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SingleCells1.xml" ContentType="application/vnd.openxmlformats-officedocument.spreadsheetml.tableSingleCell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SingleCells2.xml" ContentType="application/vnd.openxmlformats-officedocument.spreadsheetml.tableSingleCells+xml"/>
  <Override PartName="/xl/tables/tableSingleCells3.xml" ContentType="application/vnd.openxmlformats-officedocument.spreadsheetml.tableSingleCells+xml"/>
  <Override PartName="/xl/tables/tableSingleCells4.xml" ContentType="application/vnd.openxmlformats-officedocument.spreadsheetml.tableSingleCells+xml"/>
  <Override PartName="/xl/tables/tableSingleCells5.xml" ContentType="application/vnd.openxmlformats-officedocument.spreadsheetml.tableSingleCells+xml"/>
  <Override PartName="/xl/tables/tableSingleCells6.xml" ContentType="application/vnd.openxmlformats-officedocument.spreadsheetml.tableSingleCells+xml"/>
  <Override PartName="/xl/tables/tableSingleCells7.xml" ContentType="application/vnd.openxmlformats-officedocument.spreadsheetml.tableSingleCells+xml"/>
  <Override PartName="/xl/tables/tableSingleCells8.xml" ContentType="application/vnd.openxmlformats-officedocument.spreadsheetml.tableSingleCells+xml"/>
  <Override PartName="/xl/tables/tableSingleCells9.xml" ContentType="application/vnd.openxmlformats-officedocument.spreadsheetml.tableSingleCells+xml"/>
  <Override PartName="/xl/tables/tableSingleCells10.xml" ContentType="application/vnd.openxmlformats-officedocument.spreadsheetml.tableSingleCells+xml"/>
  <Override PartName="/xl/tables/tableSingleCells11.xml" ContentType="application/vnd.openxmlformats-officedocument.spreadsheetml.tableSingleCells+xml"/>
  <Override PartName="/xl/drawings/drawing3.xml" ContentType="application/vnd.openxmlformats-officedocument.drawing+xml"/>
  <Override PartName="/xl/tables/tableSingleCells12.xml" ContentType="application/vnd.openxmlformats-officedocument.spreadsheetml.tableSingleCells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SingleCells13.xml" ContentType="application/vnd.openxmlformats-officedocument.spreadsheetml.tableSingleCells+xml"/>
  <Override PartName="/xl/tables/tableSingleCells14.xml" ContentType="application/vnd.openxmlformats-officedocument.spreadsheetml.tableSingleCells+xml"/>
  <Override PartName="/xl/tables/tableSingleCells15.xml" ContentType="application/vnd.openxmlformats-officedocument.spreadsheetml.tableSingleCells+xml"/>
  <Override PartName="/xl/tables/tableSingleCells16.xml" ContentType="application/vnd.openxmlformats-officedocument.spreadsheetml.tableSingleCells+xml"/>
  <Override PartName="/xl/comments2.xml" ContentType="application/vnd.openxmlformats-officedocument.spreadsheetml.comments+xml"/>
  <Override PartName="/xl/tables/tableSingleCells17.xml" ContentType="application/vnd.openxmlformats-officedocument.spreadsheetml.tableSingleCells+xml"/>
  <Override PartName="/xl/tables/tableSingleCells18.xml" ContentType="application/vnd.openxmlformats-officedocument.spreadsheetml.tableSingleCells+xml"/>
  <Override PartName="/xl/tables/tableSingleCells19.xml" ContentType="application/vnd.openxmlformats-officedocument.spreadsheetml.tableSingleCells+xml"/>
  <Override PartName="/xl/tables/tableSingleCells20.xml" ContentType="application/vnd.openxmlformats-officedocument.spreadsheetml.tableSingleCells+xml"/>
  <Override PartName="/xl/tables/tableSingleCells21.xml" ContentType="application/vnd.openxmlformats-officedocument.spreadsheetml.tableSingleCells+xml"/>
  <Override PartName="/xl/tables/tableSingleCells22.xml" ContentType="application/vnd.openxmlformats-officedocument.spreadsheetml.tableSingleCells+xml"/>
  <Override PartName="/xl/tables/tableSingleCells23.xml" ContentType="application/vnd.openxmlformats-officedocument.spreadsheetml.tableSingleCell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ncap.sharepoint.com/sites/operations/Template/"/>
    </mc:Choice>
  </mc:AlternateContent>
  <xr:revisionPtr revIDLastSave="91" documentId="13_ncr:1_{659B068F-87E1-462D-92FD-2856F3E2F885}" xr6:coauthVersionLast="47" xr6:coauthVersionMax="47" xr10:uidLastSave="{B499B3C1-B095-487D-8FDC-5771D0FBC818}"/>
  <bookViews>
    <workbookView xWindow="-120" yWindow="-120" windowWidth="29040" windowHeight="15840" firstSheet="9" activeTab="13" autoFilterDateGrouping="0" xr2:uid="{00000000-000D-0000-FFFF-FFFF00000000}"/>
  </bookViews>
  <sheets>
    <sheet name="General Overview" sheetId="73" r:id="rId1"/>
    <sheet name="OVERALL RATING" sheetId="63" r:id="rId2"/>
    <sheet name="AOP Frontal MPDB" sheetId="95" r:id="rId3"/>
    <sheet name="AOP Frontal FW" sheetId="83" r:id="rId4"/>
    <sheet name="AOP Side MDB" sheetId="46" r:id="rId5"/>
    <sheet name="AOP Side Pole" sheetId="84" r:id="rId6"/>
    <sheet name="AOP Farside" sheetId="92" r:id="rId7"/>
    <sheet name="AOP Whiplash" sheetId="97" r:id="rId8"/>
    <sheet name="AOP Rescue" sheetId="96" r:id="rId9"/>
    <sheet name="COP Dynamic" sheetId="88" r:id="rId10"/>
    <sheet name="COP Vehicle Based" sheetId="89" r:id="rId11"/>
    <sheet name="COP CRS Installation" sheetId="90" r:id="rId12"/>
    <sheet name="COP OEM Information" sheetId="103" r:id="rId13"/>
    <sheet name="VRU Headform" sheetId="75" r:id="rId14"/>
    <sheet name="VRU Upper Legform" sheetId="62" r:id="rId15"/>
    <sheet name="VRU Legform" sheetId="79" r:id="rId16"/>
    <sheet name="VRU AEB Pedestrian" sheetId="99" r:id="rId17"/>
    <sheet name="VRU AEB Bicyclist" sheetId="100" r:id="rId18"/>
    <sheet name="VRU AEB Motorcyclist" sheetId="101" r:id="rId19"/>
    <sheet name="SA OSM" sheetId="67" r:id="rId20"/>
    <sheet name="SA SAS" sheetId="68" r:id="rId21"/>
    <sheet name="SA AEB Car-to-Car" sheetId="77" r:id="rId22"/>
    <sheet name="SA LSS" sheetId="87" r:id="rId23"/>
    <sheet name="Datasheet" sheetId="98" state="hidden" r:id="rId24"/>
  </sheets>
  <functionGroups builtInGroupCount="19"/>
  <definedNames>
    <definedName name="adult" localSheetId="13">'VRU Headform'!$E$12:$Y$15</definedName>
    <definedName name="AutoDoorLockRange">'AOP Rescue'!$AA$15:$AH$16</definedName>
    <definedName name="BRRL" localSheetId="13">'VRU Headform'!$E$16:$Y$17</definedName>
    <definedName name="BRRL_adult" localSheetId="13">'VRU Headform'!$AS$2:$AS$43</definedName>
    <definedName name="BRRL_child" localSheetId="13">'VRU Headform'!$AT$2:$AT$43</definedName>
    <definedName name="CBFA50Brown">'VRU AEB Bicyclist'!$U$33:$U$43</definedName>
    <definedName name="CBFA50Green">'VRU AEB Bicyclist'!$R$33:$R$43</definedName>
    <definedName name="CBFA50Orange">'VRU AEB Bicyclist'!$T$33:$T$43</definedName>
    <definedName name="CBFA50Red">'VRU AEB Bicyclist'!$V$33:$V$43</definedName>
    <definedName name="CBFA50Yellow">'VRU AEB Bicyclist'!$S$33:$S$43</definedName>
    <definedName name="child" localSheetId="13">'VRU Headform'!$E$18:$Y$23</definedName>
    <definedName name="CPFA50Brown">'VRU AEB Pedestrian'!$V$50:$V$60</definedName>
    <definedName name="CPFA50Green">'VRU AEB Pedestrian'!$S$50:$S$60</definedName>
    <definedName name="CPFA50Orange">'VRU AEB Pedestrian'!$U$50:$U$60</definedName>
    <definedName name="CPFA50Red">'VRU AEB Pedestrian'!$W$50:$W$60</definedName>
    <definedName name="CPFA50Yellow">'VRU AEB Pedestrian'!$T$50:$T$60</definedName>
    <definedName name="CPLA50Brown">'VRU AEB Pedestrian'!$V$52:$V$60</definedName>
    <definedName name="CPLA50Green">'VRU AEB Pedestrian'!$S$52:$S$60</definedName>
    <definedName name="CPLA50Orange">'VRU AEB Pedestrian'!$U$53:$U$60</definedName>
    <definedName name="CPLA50Red">'VRU AEB Pedestrian'!$W$52:$W$60</definedName>
    <definedName name="CPLA50Yellow">'VRU AEB Pedestrian'!$T$55:$T$60</definedName>
    <definedName name="cyclist" localSheetId="13">'VRU Headform'!$E$5:$Y$11</definedName>
    <definedName name="Dec_Sep">'SA OSM'!$S$1</definedName>
    <definedName name="DoorForcesRange">'AOP Rescue'!$AA$20:$AD$21</definedName>
    <definedName name="FrontBeltUnlatchingRange">'AOP Rescue'!$AA$30:$AD$31</definedName>
    <definedName name="FWRB_Capping">'AOP Frontal FW'!$D$62</definedName>
    <definedName name="MPDB_Capping">'AOP Frontal MPDB'!$D$128</definedName>
    <definedName name="NoOEMFarSideData">'AOP Farside'!$H$1</definedName>
    <definedName name="Pass_1">'SA OSM'!$R$1:$R$2</definedName>
    <definedName name="Pass_2">'SA OSM'!$R$1:$R$3</definedName>
    <definedName name="Pass_3">'SA OSM'!$R$1:$R$4</definedName>
    <definedName name="Pass_4">'SA OSM'!$R$1:$R$5</definedName>
    <definedName name="Pass_5">'SA OSM'!$R$1:$R$6</definedName>
    <definedName name="Pass_6">'SA OSM'!$R$1:$R$7</definedName>
    <definedName name="POLE_Capping">'AOP Side Pole'!$D$71</definedName>
    <definedName name="RetractHandlesRange">'AOP Rescue'!$AA$25:$AH$26</definedName>
    <definedName name="Round">'General Overview'!$A$2</definedName>
    <definedName name="SIDE_MDB_Capping">'AOP Side MDB'!$D$52</definedName>
    <definedName name="SideBeltUnlatchingRange">'AOP Rescue'!$AE$30:$AH$31</definedName>
    <definedName name="version">'General Overview'!$AZ$1</definedName>
    <definedName name="VRU_Capping">'VRU Headform'!$T$74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73" l="1"/>
  <c r="U55" i="103" l="1"/>
  <c r="T55" i="103"/>
  <c r="N55" i="103"/>
  <c r="M55" i="103"/>
  <c r="L55" i="103"/>
  <c r="K55" i="103"/>
  <c r="J55" i="103"/>
  <c r="I55" i="103"/>
  <c r="H55" i="103"/>
  <c r="G55" i="103"/>
  <c r="U54" i="103"/>
  <c r="T54" i="103"/>
  <c r="N54" i="103"/>
  <c r="M54" i="103"/>
  <c r="L54" i="103"/>
  <c r="K54" i="103"/>
  <c r="J54" i="103"/>
  <c r="I54" i="103"/>
  <c r="H54" i="103"/>
  <c r="G54" i="103"/>
  <c r="U53" i="103"/>
  <c r="T53" i="103"/>
  <c r="N53" i="103"/>
  <c r="M53" i="103"/>
  <c r="L53" i="103"/>
  <c r="K53" i="103"/>
  <c r="J53" i="103"/>
  <c r="I53" i="103"/>
  <c r="H53" i="103"/>
  <c r="G53" i="103"/>
  <c r="U52" i="103"/>
  <c r="T52" i="103"/>
  <c r="N52" i="103"/>
  <c r="M52" i="103"/>
  <c r="L52" i="103"/>
  <c r="K52" i="103"/>
  <c r="J52" i="103"/>
  <c r="I52" i="103"/>
  <c r="H52" i="103"/>
  <c r="G52" i="103"/>
  <c r="U50" i="103"/>
  <c r="T50" i="103"/>
  <c r="N50" i="103"/>
  <c r="M50" i="103"/>
  <c r="L50" i="103"/>
  <c r="K50" i="103"/>
  <c r="J50" i="103"/>
  <c r="I50" i="103"/>
  <c r="H50" i="103"/>
  <c r="G50" i="103"/>
  <c r="U40" i="103"/>
  <c r="U41" i="103" s="1"/>
  <c r="T40" i="103"/>
  <c r="T41" i="103" s="1"/>
  <c r="T42" i="103" s="1"/>
  <c r="N40" i="103"/>
  <c r="N41" i="103" s="1"/>
  <c r="N42" i="103" s="1"/>
  <c r="M40" i="103"/>
  <c r="M41" i="103" s="1"/>
  <c r="M42" i="103" s="1"/>
  <c r="L40" i="103"/>
  <c r="K40" i="103"/>
  <c r="J40" i="103"/>
  <c r="I40" i="103"/>
  <c r="H40" i="103"/>
  <c r="G40" i="103"/>
  <c r="K38" i="103"/>
  <c r="U36" i="103"/>
  <c r="U39" i="103" s="1"/>
  <c r="T36" i="103"/>
  <c r="T37" i="103" s="1"/>
  <c r="N36" i="103"/>
  <c r="N39" i="103" s="1"/>
  <c r="M36" i="103"/>
  <c r="M39" i="103" s="1"/>
  <c r="L36" i="103"/>
  <c r="L39" i="103" s="1"/>
  <c r="K36" i="103"/>
  <c r="K39" i="103" s="1"/>
  <c r="J36" i="103"/>
  <c r="J38" i="103" s="1"/>
  <c r="I36" i="103"/>
  <c r="I38" i="103" s="1"/>
  <c r="H36" i="103"/>
  <c r="H38" i="103" s="1"/>
  <c r="G36" i="103"/>
  <c r="G38" i="103" s="1"/>
  <c r="U35" i="103"/>
  <c r="T35" i="103"/>
  <c r="N35" i="103"/>
  <c r="M35" i="103"/>
  <c r="L35" i="103"/>
  <c r="K35" i="103"/>
  <c r="J35" i="103"/>
  <c r="I35" i="103"/>
  <c r="H35" i="103"/>
  <c r="G35" i="103"/>
  <c r="U34" i="103"/>
  <c r="T34" i="103"/>
  <c r="N34" i="103"/>
  <c r="M34" i="103"/>
  <c r="L34" i="103"/>
  <c r="K34" i="103"/>
  <c r="J34" i="103"/>
  <c r="I34" i="103"/>
  <c r="H34" i="103"/>
  <c r="G34" i="103"/>
  <c r="U33" i="103"/>
  <c r="T33" i="103"/>
  <c r="N33" i="103"/>
  <c r="M33" i="103"/>
  <c r="L33" i="103"/>
  <c r="K33" i="103"/>
  <c r="J33" i="103"/>
  <c r="I33" i="103"/>
  <c r="H33" i="103"/>
  <c r="G33" i="103"/>
  <c r="B6" i="103"/>
  <c r="L38" i="103" l="1"/>
  <c r="N37" i="103"/>
  <c r="M37" i="103"/>
  <c r="G37" i="103"/>
  <c r="I37" i="103"/>
  <c r="K37" i="103"/>
  <c r="L37" i="103"/>
  <c r="H37" i="103"/>
  <c r="M38" i="103"/>
  <c r="N38" i="103"/>
  <c r="G39" i="103"/>
  <c r="H39" i="103"/>
  <c r="T47" i="103"/>
  <c r="T49" i="103"/>
  <c r="M43" i="103"/>
  <c r="M44" i="103" s="1"/>
  <c r="J37" i="103"/>
  <c r="U38" i="103"/>
  <c r="N43" i="103"/>
  <c r="N44" i="103" s="1"/>
  <c r="N51" i="103"/>
  <c r="T43" i="103"/>
  <c r="T51" i="103"/>
  <c r="U43" i="103"/>
  <c r="U44" i="103" s="1"/>
  <c r="U51" i="103"/>
  <c r="T38" i="103"/>
  <c r="M51" i="103"/>
  <c r="I39" i="103"/>
  <c r="J39" i="103"/>
  <c r="G41" i="103"/>
  <c r="G42" i="103" s="1"/>
  <c r="T45" i="103"/>
  <c r="H41" i="103"/>
  <c r="H42" i="103" s="1"/>
  <c r="I41" i="103"/>
  <c r="J41" i="103"/>
  <c r="U42" i="103"/>
  <c r="T39" i="103"/>
  <c r="K41" i="103"/>
  <c r="K43" i="103" s="1"/>
  <c r="K44" i="103" s="1"/>
  <c r="U37" i="103"/>
  <c r="L41" i="103"/>
  <c r="L51" i="103" s="1"/>
  <c r="U45" i="103" l="1"/>
  <c r="U49" i="103"/>
  <c r="U46" i="103"/>
  <c r="M45" i="103"/>
  <c r="M49" i="103"/>
  <c r="G43" i="103"/>
  <c r="G44" i="103" s="1"/>
  <c r="N48" i="103"/>
  <c r="M46" i="103"/>
  <c r="K49" i="103"/>
  <c r="H43" i="103"/>
  <c r="H45" i="103" s="1"/>
  <c r="K47" i="103"/>
  <c r="N49" i="103"/>
  <c r="H51" i="103"/>
  <c r="J51" i="103"/>
  <c r="J43" i="103"/>
  <c r="J44" i="103" s="1"/>
  <c r="J42" i="103"/>
  <c r="N47" i="103"/>
  <c r="L42" i="103"/>
  <c r="L43" i="103"/>
  <c r="L46" i="103" s="1"/>
  <c r="M47" i="103"/>
  <c r="K42" i="103"/>
  <c r="K46" i="103"/>
  <c r="U48" i="103"/>
  <c r="M48" i="103"/>
  <c r="G51" i="103"/>
  <c r="N46" i="103"/>
  <c r="N45" i="103"/>
  <c r="K45" i="103"/>
  <c r="U47" i="103"/>
  <c r="I43" i="103"/>
  <c r="I45" i="103" s="1"/>
  <c r="I51" i="103"/>
  <c r="I42" i="103"/>
  <c r="K48" i="103"/>
  <c r="T46" i="103"/>
  <c r="T44" i="103"/>
  <c r="T48" i="103"/>
  <c r="K51" i="103"/>
  <c r="G47" i="103" l="1"/>
  <c r="G45" i="103"/>
  <c r="G48" i="103"/>
  <c r="L49" i="103"/>
  <c r="H48" i="103"/>
  <c r="H47" i="103"/>
  <c r="H46" i="103"/>
  <c r="G46" i="103"/>
  <c r="L47" i="103"/>
  <c r="J47" i="103"/>
  <c r="J46" i="103"/>
  <c r="G49" i="103"/>
  <c r="J48" i="103"/>
  <c r="I44" i="103"/>
  <c r="I47" i="103"/>
  <c r="I48" i="103"/>
  <c r="I46" i="103"/>
  <c r="L44" i="103"/>
  <c r="L48" i="103"/>
  <c r="H44" i="103"/>
  <c r="H49" i="103"/>
  <c r="L45" i="103"/>
  <c r="J45" i="103"/>
  <c r="J49" i="103"/>
  <c r="I49" i="103"/>
  <c r="J64" i="87" l="1"/>
  <c r="D64" i="87"/>
  <c r="D53" i="87"/>
  <c r="C11" i="98"/>
  <c r="C85" i="98" a="1"/>
  <c r="C85" i="98" s="1"/>
  <c r="C307" i="98"/>
  <c r="C311" i="98"/>
  <c r="F310" i="98" a="1"/>
  <c r="F310" i="98" s="1"/>
  <c r="E310" i="98" a="1"/>
  <c r="E310" i="98" s="1"/>
  <c r="D310" i="98" a="1"/>
  <c r="D310" i="98" s="1"/>
  <c r="F309" i="98"/>
  <c r="E309" i="98"/>
  <c r="D309" i="98"/>
  <c r="I31" i="90" a="1"/>
  <c r="I31" i="90" s="1"/>
  <c r="J31" i="90" a="1"/>
  <c r="J31" i="90" s="1"/>
  <c r="K31" i="90" a="1"/>
  <c r="K31" i="90" s="1"/>
  <c r="L31" i="90" a="1"/>
  <c r="L31" i="90" s="1"/>
  <c r="M31" i="90" a="1"/>
  <c r="M31" i="90" s="1"/>
  <c r="N31" i="90" a="1"/>
  <c r="N31" i="90" s="1"/>
  <c r="O31" i="90" a="1"/>
  <c r="O31" i="90" s="1"/>
  <c r="P31" i="90" a="1"/>
  <c r="P31" i="90" s="1"/>
  <c r="H31" i="90" a="1"/>
  <c r="H31" i="90" s="1"/>
  <c r="I30" i="90" a="1"/>
  <c r="I30" i="90" s="1"/>
  <c r="J30" i="90" a="1"/>
  <c r="J30" i="90" s="1"/>
  <c r="K30" i="90" a="1"/>
  <c r="K30" i="90" s="1"/>
  <c r="L30" i="90" a="1"/>
  <c r="L30" i="90" s="1"/>
  <c r="M30" i="90" a="1"/>
  <c r="M30" i="90" s="1"/>
  <c r="N30" i="90" a="1"/>
  <c r="N30" i="90" s="1"/>
  <c r="O30" i="90" a="1"/>
  <c r="O30" i="90" s="1"/>
  <c r="P30" i="90" a="1"/>
  <c r="P30" i="90" s="1"/>
  <c r="H30" i="90" a="1"/>
  <c r="H30" i="90" s="1"/>
  <c r="I29" i="90" a="1"/>
  <c r="I29" i="90" s="1"/>
  <c r="J29" i="90" a="1"/>
  <c r="J29" i="90" s="1"/>
  <c r="K29" i="90" a="1"/>
  <c r="K29" i="90" s="1"/>
  <c r="L29" i="90" a="1"/>
  <c r="L29" i="90" s="1"/>
  <c r="M29" i="90" a="1"/>
  <c r="M29" i="90" s="1"/>
  <c r="N29" i="90" a="1"/>
  <c r="N29" i="90" s="1"/>
  <c r="O29" i="90" a="1"/>
  <c r="O29" i="90" s="1"/>
  <c r="P29" i="90" a="1"/>
  <c r="P29" i="90" s="1"/>
  <c r="H29" i="90" a="1"/>
  <c r="H29" i="90" s="1"/>
  <c r="I47" i="100"/>
  <c r="I46" i="100"/>
  <c r="I45" i="100"/>
  <c r="I44" i="100"/>
  <c r="I43" i="100"/>
  <c r="I42" i="100"/>
  <c r="I41" i="100"/>
  <c r="F43" i="100" a="1"/>
  <c r="F43" i="100" s="1"/>
  <c r="F42" i="100" a="1"/>
  <c r="F42" i="100" s="1"/>
  <c r="F41" i="100" a="1"/>
  <c r="F41" i="100" s="1"/>
  <c r="F40" i="100" a="1"/>
  <c r="F40" i="100" s="1"/>
  <c r="F39" i="100" a="1"/>
  <c r="F39" i="100" s="1"/>
  <c r="F38" i="100" a="1"/>
  <c r="F38" i="100" s="1"/>
  <c r="F37" i="100" a="1"/>
  <c r="F37" i="100" s="1"/>
  <c r="F36" i="100" a="1"/>
  <c r="F36" i="100" s="1"/>
  <c r="G310" i="98" l="1"/>
  <c r="C310" i="98" s="1"/>
  <c r="G309" i="98"/>
  <c r="C309" i="98" s="1"/>
  <c r="D38" i="87"/>
  <c r="D31" i="87" l="1"/>
  <c r="J23" i="87"/>
  <c r="D23" i="87"/>
  <c r="H112" i="77"/>
  <c r="H111" i="77"/>
  <c r="H110" i="77"/>
  <c r="H109" i="77"/>
  <c r="AA31" i="96"/>
  <c r="AB31" i="96"/>
  <c r="AD31" i="96"/>
  <c r="AE31" i="96"/>
  <c r="AF31" i="96"/>
  <c r="AB30" i="96"/>
  <c r="AC30" i="96"/>
  <c r="AE30" i="96"/>
  <c r="AG30" i="96"/>
  <c r="AA30" i="96"/>
  <c r="AB25" i="96"/>
  <c r="AC25" i="96"/>
  <c r="AD25" i="96"/>
  <c r="AF25" i="96"/>
  <c r="AH25" i="96"/>
  <c r="AB26" i="96"/>
  <c r="AC26" i="96"/>
  <c r="AD26" i="96"/>
  <c r="AF26" i="96"/>
  <c r="AH26" i="96"/>
  <c r="AA26" i="96"/>
  <c r="AA25" i="96"/>
  <c r="AH21" i="96"/>
  <c r="AF21" i="96"/>
  <c r="AD21" i="96"/>
  <c r="AC21" i="96"/>
  <c r="AB21" i="96"/>
  <c r="AA21" i="96"/>
  <c r="AH20" i="96"/>
  <c r="AF20" i="96"/>
  <c r="AD20" i="96"/>
  <c r="AC20" i="96"/>
  <c r="AB20" i="96"/>
  <c r="AA20" i="96"/>
  <c r="AH16" i="96"/>
  <c r="AH15" i="96"/>
  <c r="AF16" i="96"/>
  <c r="AF15" i="96"/>
  <c r="AB15" i="96"/>
  <c r="AC15" i="96"/>
  <c r="AD15" i="96"/>
  <c r="AB16" i="96"/>
  <c r="AC16" i="96"/>
  <c r="AD16" i="96"/>
  <c r="AA16" i="96"/>
  <c r="AA15" i="96"/>
  <c r="Q26" i="75"/>
  <c r="T26" i="75" l="1"/>
  <c r="D113" i="77"/>
  <c r="D22" i="96" a="1"/>
  <c r="D22" i="96" s="1"/>
  <c r="D17" i="96" a="1"/>
  <c r="D17" i="96" s="1"/>
  <c r="D32" i="96" a="1"/>
  <c r="D32" i="96" s="1"/>
  <c r="D128" i="98"/>
  <c r="E128" i="98"/>
  <c r="F128" i="98"/>
  <c r="G128" i="98"/>
  <c r="H128" i="98"/>
  <c r="I128" i="98"/>
  <c r="J128" i="98"/>
  <c r="K128" i="98"/>
  <c r="L128" i="98"/>
  <c r="M128" i="98"/>
  <c r="N128" i="98"/>
  <c r="O128" i="98"/>
  <c r="P128" i="98"/>
  <c r="Q128" i="98"/>
  <c r="R128" i="98"/>
  <c r="S128" i="98"/>
  <c r="T128" i="98"/>
  <c r="U128" i="98"/>
  <c r="V128" i="98"/>
  <c r="W128" i="98"/>
  <c r="X128" i="98"/>
  <c r="Y128" i="98"/>
  <c r="D129" i="98"/>
  <c r="E129" i="98"/>
  <c r="F129" i="98"/>
  <c r="G129" i="98"/>
  <c r="H129" i="98"/>
  <c r="I129" i="98"/>
  <c r="J129" i="98"/>
  <c r="K129" i="98"/>
  <c r="L129" i="98"/>
  <c r="M129" i="98"/>
  <c r="N129" i="98"/>
  <c r="O129" i="98"/>
  <c r="P129" i="98"/>
  <c r="Q129" i="98"/>
  <c r="R129" i="98"/>
  <c r="S129" i="98"/>
  <c r="T129" i="98"/>
  <c r="U129" i="98"/>
  <c r="V129" i="98"/>
  <c r="W129" i="98"/>
  <c r="X129" i="98"/>
  <c r="Y129" i="98"/>
  <c r="D130" i="98"/>
  <c r="E130" i="98"/>
  <c r="F130" i="98"/>
  <c r="G130" i="98"/>
  <c r="H130" i="98"/>
  <c r="I130" i="98"/>
  <c r="J130" i="98"/>
  <c r="K130" i="98"/>
  <c r="L130" i="98"/>
  <c r="M130" i="98"/>
  <c r="N130" i="98"/>
  <c r="O130" i="98"/>
  <c r="P130" i="98"/>
  <c r="Q130" i="98"/>
  <c r="R130" i="98"/>
  <c r="S130" i="98"/>
  <c r="T130" i="98"/>
  <c r="U130" i="98"/>
  <c r="V130" i="98"/>
  <c r="W130" i="98"/>
  <c r="X130" i="98"/>
  <c r="Y130" i="98"/>
  <c r="D131" i="98"/>
  <c r="E131" i="98"/>
  <c r="F131" i="98"/>
  <c r="G131" i="98"/>
  <c r="H131" i="98"/>
  <c r="I131" i="98"/>
  <c r="J131" i="98"/>
  <c r="K131" i="98"/>
  <c r="L131" i="98"/>
  <c r="M131" i="98"/>
  <c r="N131" i="98"/>
  <c r="O131" i="98"/>
  <c r="P131" i="98"/>
  <c r="Q131" i="98"/>
  <c r="R131" i="98"/>
  <c r="S131" i="98"/>
  <c r="T131" i="98"/>
  <c r="U131" i="98"/>
  <c r="V131" i="98"/>
  <c r="W131" i="98"/>
  <c r="X131" i="98"/>
  <c r="Y131" i="98"/>
  <c r="D132" i="98"/>
  <c r="E132" i="98"/>
  <c r="F132" i="98"/>
  <c r="G132" i="98"/>
  <c r="H132" i="98"/>
  <c r="I132" i="98"/>
  <c r="J132" i="98"/>
  <c r="K132" i="98"/>
  <c r="L132" i="98"/>
  <c r="M132" i="98"/>
  <c r="N132" i="98"/>
  <c r="O132" i="98"/>
  <c r="P132" i="98"/>
  <c r="Q132" i="98"/>
  <c r="R132" i="98"/>
  <c r="S132" i="98"/>
  <c r="T132" i="98"/>
  <c r="U132" i="98"/>
  <c r="V132" i="98"/>
  <c r="W132" i="98"/>
  <c r="X132" i="98"/>
  <c r="Y132" i="98"/>
  <c r="G33" i="73" l="1"/>
  <c r="AR2" i="75" a="1"/>
  <c r="AR2" i="75" l="1"/>
  <c r="D93" i="77"/>
  <c r="F7" i="88"/>
  <c r="D7" i="88"/>
  <c r="H43" i="96"/>
  <c r="H42" i="96"/>
  <c r="D27" i="96" a="1"/>
  <c r="D27" i="96" s="1"/>
  <c r="E76" i="95"/>
  <c r="AS2" i="75" l="1"/>
  <c r="D38" i="96"/>
  <c r="D45" i="96"/>
  <c r="I36" i="67" l="1"/>
  <c r="I42" i="67"/>
  <c r="I41" i="67"/>
  <c r="I40" i="67"/>
  <c r="I39" i="67"/>
  <c r="I38" i="67"/>
  <c r="I35" i="67"/>
  <c r="I34" i="67"/>
  <c r="I33" i="67"/>
  <c r="I32" i="67"/>
  <c r="I31" i="67"/>
  <c r="I30" i="67"/>
  <c r="I29" i="67"/>
  <c r="I28" i="67"/>
  <c r="I27" i="67"/>
  <c r="I26" i="67"/>
  <c r="E31" i="68"/>
  <c r="E30" i="68"/>
  <c r="F42" i="97" l="1"/>
  <c r="G46" i="97" l="1"/>
  <c r="G47" i="97"/>
  <c r="F49" i="97" l="1"/>
  <c r="G53" i="97"/>
  <c r="G54" i="97"/>
  <c r="F58" i="97" l="1"/>
  <c r="F64" i="97" s="1"/>
  <c r="F56" i="97"/>
  <c r="D15" i="101"/>
  <c r="Y106" i="77"/>
  <c r="Z106" i="77"/>
  <c r="AA106" i="77"/>
  <c r="AB106" i="77"/>
  <c r="AC106" i="77"/>
  <c r="AD106" i="77"/>
  <c r="AE106" i="77"/>
  <c r="AF106" i="77"/>
  <c r="AG106" i="77"/>
  <c r="Y107" i="77"/>
  <c r="Z107" i="77"/>
  <c r="AA107" i="77"/>
  <c r="AB107" i="77"/>
  <c r="AC107" i="77"/>
  <c r="AD107" i="77"/>
  <c r="AE107" i="77"/>
  <c r="AF107" i="77"/>
  <c r="AG107" i="77"/>
  <c r="Y108" i="77"/>
  <c r="Z108" i="77"/>
  <c r="AA108" i="77"/>
  <c r="AB108" i="77"/>
  <c r="AC108" i="77"/>
  <c r="AD108" i="77"/>
  <c r="AE108" i="77"/>
  <c r="AF108" i="77"/>
  <c r="AG108" i="77"/>
  <c r="X107" i="77"/>
  <c r="X108" i="77"/>
  <c r="X106" i="77"/>
  <c r="D17" i="89" l="1"/>
  <c r="D13" i="89"/>
  <c r="F6" i="67" l="1"/>
  <c r="D9" i="67" s="1"/>
  <c r="G17" i="67" l="1"/>
  <c r="G14" i="67"/>
  <c r="G15" i="67"/>
  <c r="G16" i="67"/>
  <c r="I64" i="84"/>
  <c r="H62" i="84"/>
  <c r="H61" i="84"/>
  <c r="H60" i="84"/>
  <c r="H59" i="84"/>
  <c r="G13" i="73" l="1"/>
  <c r="B4" i="101" s="1"/>
  <c r="I36" i="83"/>
  <c r="I23" i="83"/>
  <c r="G23" i="83"/>
  <c r="E23" i="83"/>
  <c r="H25" i="89" l="1"/>
  <c r="I25" i="89"/>
  <c r="E22" i="89" a="1"/>
  <c r="E22" i="89" s="1"/>
  <c r="E25" i="89" s="1"/>
  <c r="F22" i="89" a="1"/>
  <c r="F22" i="89" s="1"/>
  <c r="F25" i="89" s="1"/>
  <c r="G22" i="89" a="1"/>
  <c r="G22" i="89" s="1"/>
  <c r="G25" i="89" s="1"/>
  <c r="H22" i="89" a="1"/>
  <c r="H22" i="89" s="1"/>
  <c r="I22" i="89" a="1"/>
  <c r="I22" i="89" s="1"/>
  <c r="J22" i="89" a="1"/>
  <c r="J22" i="89" s="1"/>
  <c r="J25" i="89" s="1"/>
  <c r="D22" i="89" a="1"/>
  <c r="D22" i="89" s="1"/>
  <c r="D25" i="89" s="1"/>
  <c r="D23" i="89" l="1"/>
  <c r="D26" i="89"/>
  <c r="X104" i="77" l="1"/>
  <c r="Y104" i="77"/>
  <c r="Z104" i="77"/>
  <c r="AA104" i="77"/>
  <c r="AB104" i="77"/>
  <c r="X105" i="77"/>
  <c r="Y105" i="77"/>
  <c r="Z105" i="77"/>
  <c r="AA105" i="77"/>
  <c r="AB105" i="77"/>
  <c r="Y103" i="77"/>
  <c r="Z103" i="77"/>
  <c r="AA103" i="77"/>
  <c r="AB103" i="77"/>
  <c r="X103" i="77"/>
  <c r="F21" i="100" a="1"/>
  <c r="F21" i="100" s="1"/>
  <c r="F22" i="101"/>
  <c r="D53" i="101"/>
  <c r="D67" i="101" s="1"/>
  <c r="G67" i="101" s="1"/>
  <c r="D125" i="77"/>
  <c r="F61" i="100"/>
  <c r="F62" i="100" s="1" a="1"/>
  <c r="F62" i="100" s="1"/>
  <c r="B63" i="100" s="1"/>
  <c r="L21" i="100" a="1"/>
  <c r="L21" i="100" s="1"/>
  <c r="L22" i="100" a="1"/>
  <c r="L22" i="100" s="1"/>
  <c r="L23" i="100" a="1"/>
  <c r="L23" i="100" s="1"/>
  <c r="L24" i="100" a="1"/>
  <c r="L24" i="100" s="1"/>
  <c r="L25" i="100" a="1"/>
  <c r="L25" i="100" s="1"/>
  <c r="L26" i="100" a="1"/>
  <c r="L26" i="100" s="1"/>
  <c r="L27" i="100" a="1"/>
  <c r="L27" i="100" s="1"/>
  <c r="L28" i="100" a="1"/>
  <c r="L28" i="100" s="1"/>
  <c r="L29" i="100" a="1"/>
  <c r="L29" i="100" s="1"/>
  <c r="L30" i="100" a="1"/>
  <c r="L30" i="100" s="1"/>
  <c r="L20" i="100" a="1"/>
  <c r="L20" i="100" s="1"/>
  <c r="I21" i="100" a="1"/>
  <c r="I21" i="100" s="1"/>
  <c r="I22" i="100" a="1"/>
  <c r="I22" i="100" s="1"/>
  <c r="I23" i="100" a="1"/>
  <c r="I23" i="100" s="1"/>
  <c r="I24" i="100" a="1"/>
  <c r="I24" i="100" s="1"/>
  <c r="I25" i="100" a="1"/>
  <c r="I25" i="100" s="1"/>
  <c r="I26" i="100" a="1"/>
  <c r="I26" i="100" s="1"/>
  <c r="I27" i="100" a="1"/>
  <c r="I27" i="100" s="1"/>
  <c r="I28" i="100" a="1"/>
  <c r="I28" i="100" s="1"/>
  <c r="I29" i="100" a="1"/>
  <c r="I29" i="100" s="1"/>
  <c r="I30" i="100" a="1"/>
  <c r="I30" i="100" s="1"/>
  <c r="F22" i="100" a="1"/>
  <c r="F22" i="100" s="1"/>
  <c r="F23" i="100" a="1"/>
  <c r="F23" i="100" s="1"/>
  <c r="F24" i="100" a="1"/>
  <c r="F24" i="100" s="1"/>
  <c r="F25" i="100" a="1"/>
  <c r="F25" i="100" s="1"/>
  <c r="F26" i="100" a="1"/>
  <c r="F26" i="100" s="1"/>
  <c r="F27" i="100" a="1"/>
  <c r="F27" i="100" s="1"/>
  <c r="F28" i="100" a="1"/>
  <c r="F28" i="100" s="1"/>
  <c r="F29" i="100" a="1"/>
  <c r="F29" i="100" s="1"/>
  <c r="F30" i="100" a="1"/>
  <c r="F30" i="100" s="1"/>
  <c r="I20" i="100" a="1"/>
  <c r="F20" i="100" a="1"/>
  <c r="D289" i="98" a="1"/>
  <c r="D289" i="98" l="1"/>
  <c r="AC109" i="77"/>
  <c r="I104" i="77" s="1"/>
  <c r="I126" i="77" s="1"/>
  <c r="X109" i="77"/>
  <c r="D104" i="77" s="1"/>
  <c r="D126" i="77" s="1"/>
  <c r="D127" i="77"/>
  <c r="I20" i="100"/>
  <c r="F20" i="100"/>
  <c r="O37" i="99" a="1"/>
  <c r="O37" i="99" s="1"/>
  <c r="O38" i="99" a="1"/>
  <c r="O38" i="99" s="1"/>
  <c r="O39" i="99" a="1"/>
  <c r="O39" i="99" s="1"/>
  <c r="O40" i="99" a="1"/>
  <c r="O40" i="99" s="1"/>
  <c r="O41" i="99" a="1"/>
  <c r="O41" i="99" s="1"/>
  <c r="O42" i="99" a="1"/>
  <c r="O42" i="99" s="1"/>
  <c r="O43" i="99" a="1"/>
  <c r="O43" i="99" s="1"/>
  <c r="O44" i="99" a="1"/>
  <c r="O44" i="99" s="1"/>
  <c r="O45" i="99" a="1"/>
  <c r="O45" i="99" s="1"/>
  <c r="O46" i="99" a="1"/>
  <c r="O46" i="99" s="1"/>
  <c r="L37" i="99" a="1"/>
  <c r="L37" i="99" s="1"/>
  <c r="L38" i="99" a="1"/>
  <c r="L38" i="99" s="1"/>
  <c r="L39" i="99" a="1"/>
  <c r="L39" i="99" s="1"/>
  <c r="L40" i="99" a="1"/>
  <c r="L40" i="99" s="1"/>
  <c r="L41" i="99" a="1"/>
  <c r="L41" i="99" s="1"/>
  <c r="L42" i="99" a="1"/>
  <c r="L42" i="99" s="1"/>
  <c r="L43" i="99" a="1"/>
  <c r="L43" i="99" s="1"/>
  <c r="L44" i="99" a="1"/>
  <c r="L44" i="99" s="1"/>
  <c r="L45" i="99" a="1"/>
  <c r="L45" i="99" s="1"/>
  <c r="L46" i="99" a="1"/>
  <c r="L46" i="99" s="1"/>
  <c r="I37" i="99" a="1"/>
  <c r="I37" i="99" s="1"/>
  <c r="I38" i="99" a="1"/>
  <c r="I38" i="99" s="1"/>
  <c r="I39" i="99" a="1"/>
  <c r="I39" i="99" s="1"/>
  <c r="I40" i="99" a="1"/>
  <c r="I40" i="99" s="1"/>
  <c r="I41" i="99" a="1"/>
  <c r="I41" i="99" s="1"/>
  <c r="I42" i="99" a="1"/>
  <c r="I42" i="99" s="1"/>
  <c r="I43" i="99" a="1"/>
  <c r="I43" i="99" s="1"/>
  <c r="I44" i="99" a="1"/>
  <c r="I44" i="99" s="1"/>
  <c r="I45" i="99" a="1"/>
  <c r="I45" i="99" s="1"/>
  <c r="I46" i="99" a="1"/>
  <c r="I46" i="99" s="1"/>
  <c r="O36" i="99" a="1"/>
  <c r="O36" i="99" s="1"/>
  <c r="L36" i="99" a="1"/>
  <c r="L36" i="99" s="1"/>
  <c r="I36" i="99" a="1"/>
  <c r="I36" i="99" s="1"/>
  <c r="F39" i="99" a="1"/>
  <c r="F39" i="99" s="1"/>
  <c r="F40" i="99" a="1"/>
  <c r="F40" i="99" s="1"/>
  <c r="F41" i="99" a="1"/>
  <c r="F41" i="99" s="1"/>
  <c r="F42" i="99" a="1"/>
  <c r="F42" i="99" s="1"/>
  <c r="F43" i="99" a="1"/>
  <c r="F43" i="99" s="1"/>
  <c r="F44" i="99" a="1"/>
  <c r="F44" i="99" s="1"/>
  <c r="F45" i="99" a="1"/>
  <c r="F45" i="99" s="1"/>
  <c r="F46" i="99" a="1"/>
  <c r="F46" i="99" s="1"/>
  <c r="F21" i="99" a="1"/>
  <c r="F21" i="99" s="1"/>
  <c r="O22" i="99" a="1"/>
  <c r="O22" i="99" s="1"/>
  <c r="O23" i="99" a="1"/>
  <c r="O23" i="99" s="1"/>
  <c r="O24" i="99" a="1"/>
  <c r="O24" i="99" s="1"/>
  <c r="O25" i="99" a="1"/>
  <c r="O25" i="99" s="1"/>
  <c r="O26" i="99" a="1"/>
  <c r="O26" i="99" s="1"/>
  <c r="O27" i="99" a="1"/>
  <c r="O27" i="99" s="1"/>
  <c r="O28" i="99" a="1"/>
  <c r="O28" i="99" s="1"/>
  <c r="O29" i="99" a="1"/>
  <c r="O29" i="99" s="1"/>
  <c r="O30" i="99" a="1"/>
  <c r="O30" i="99" s="1"/>
  <c r="O31" i="99" a="1"/>
  <c r="O31" i="99" s="1"/>
  <c r="L22" i="99" a="1"/>
  <c r="L22" i="99" s="1"/>
  <c r="L23" i="99" a="1"/>
  <c r="L23" i="99" s="1"/>
  <c r="L24" i="99" a="1"/>
  <c r="L24" i="99" s="1"/>
  <c r="L25" i="99" a="1"/>
  <c r="L25" i="99" s="1"/>
  <c r="L26" i="99" a="1"/>
  <c r="L26" i="99" s="1"/>
  <c r="L27" i="99" a="1"/>
  <c r="L27" i="99" s="1"/>
  <c r="L28" i="99" a="1"/>
  <c r="L28" i="99" s="1"/>
  <c r="L29" i="99" a="1"/>
  <c r="L29" i="99" s="1"/>
  <c r="L30" i="99" a="1"/>
  <c r="L30" i="99" s="1"/>
  <c r="L31" i="99" a="1"/>
  <c r="L31" i="99" s="1"/>
  <c r="I22" i="99" a="1"/>
  <c r="I22" i="99" s="1"/>
  <c r="I23" i="99" a="1"/>
  <c r="I23" i="99" s="1"/>
  <c r="I24" i="99" a="1"/>
  <c r="I24" i="99" s="1"/>
  <c r="I25" i="99" a="1"/>
  <c r="I25" i="99" s="1"/>
  <c r="I26" i="99" a="1"/>
  <c r="I26" i="99" s="1"/>
  <c r="I27" i="99" a="1"/>
  <c r="I27" i="99" s="1"/>
  <c r="I28" i="99" a="1"/>
  <c r="I28" i="99" s="1"/>
  <c r="I29" i="99" a="1"/>
  <c r="I29" i="99" s="1"/>
  <c r="I30" i="99" a="1"/>
  <c r="I30" i="99" s="1"/>
  <c r="I31" i="99" a="1"/>
  <c r="I31" i="99" s="1"/>
  <c r="I21" i="99" a="1"/>
  <c r="I21" i="99" s="1"/>
  <c r="F22" i="99" a="1"/>
  <c r="F22" i="99" s="1"/>
  <c r="F23" i="99" a="1"/>
  <c r="F23" i="99" s="1"/>
  <c r="F24" i="99" a="1"/>
  <c r="F24" i="99" s="1"/>
  <c r="F25" i="99" a="1"/>
  <c r="F25" i="99" s="1"/>
  <c r="F26" i="99" a="1"/>
  <c r="F26" i="99" s="1"/>
  <c r="F27" i="99" a="1"/>
  <c r="F27" i="99" s="1"/>
  <c r="F28" i="99" a="1"/>
  <c r="F28" i="99" s="1"/>
  <c r="F29" i="99" a="1"/>
  <c r="F29" i="99" s="1"/>
  <c r="F30" i="99" a="1"/>
  <c r="F30" i="99" s="1"/>
  <c r="F31" i="99" a="1"/>
  <c r="F31" i="99" s="1"/>
  <c r="D16" i="99"/>
  <c r="H1" i="92"/>
  <c r="V43" i="100"/>
  <c r="V42" i="100"/>
  <c r="V41" i="100"/>
  <c r="V40" i="100"/>
  <c r="V39" i="100"/>
  <c r="V38" i="100"/>
  <c r="V37" i="100"/>
  <c r="V36" i="100"/>
  <c r="V35" i="100"/>
  <c r="F53" i="99" a="1"/>
  <c r="F53" i="99" s="1"/>
  <c r="F54" i="99" a="1"/>
  <c r="F54" i="99" s="1"/>
  <c r="F55" i="99" a="1"/>
  <c r="F55" i="99" s="1"/>
  <c r="F56" i="99" a="1"/>
  <c r="F56" i="99" s="1"/>
  <c r="F57" i="99" a="1"/>
  <c r="F57" i="99" s="1"/>
  <c r="F58" i="99" a="1"/>
  <c r="F58" i="99" s="1"/>
  <c r="F59" i="99" a="1"/>
  <c r="F59" i="99" s="1"/>
  <c r="F60" i="99" a="1"/>
  <c r="F60" i="99" s="1"/>
  <c r="L60" i="99" a="1"/>
  <c r="L60" i="99" s="1"/>
  <c r="L59" i="99" a="1"/>
  <c r="L59" i="99" s="1"/>
  <c r="L58" i="99" a="1"/>
  <c r="L58" i="99" s="1"/>
  <c r="L57" i="99" a="1"/>
  <c r="L57" i="99" s="1"/>
  <c r="L56" i="99" a="1"/>
  <c r="L56" i="99" s="1"/>
  <c r="L55" i="99" a="1"/>
  <c r="L55" i="99" s="1"/>
  <c r="L54" i="99" a="1"/>
  <c r="L54" i="99" s="1"/>
  <c r="L53" i="99" a="1"/>
  <c r="L53" i="99" s="1"/>
  <c r="L52" i="99" a="1"/>
  <c r="L52" i="99" s="1"/>
  <c r="W53" i="99"/>
  <c r="W54" i="99"/>
  <c r="W55" i="99"/>
  <c r="W56" i="99"/>
  <c r="W57" i="99"/>
  <c r="W58" i="99"/>
  <c r="W59" i="99"/>
  <c r="W60" i="99"/>
  <c r="W52" i="99"/>
  <c r="F37" i="99" a="1"/>
  <c r="F38" i="99" a="1"/>
  <c r="F36" i="99" a="1"/>
  <c r="F52" i="99" a="1"/>
  <c r="L21" i="99" a="1"/>
  <c r="O21" i="99" a="1"/>
  <c r="D287" i="98" a="1"/>
  <c r="D288" i="98" a="1"/>
  <c r="F287" i="98" a="1"/>
  <c r="AR36" i="75" a="1"/>
  <c r="AR5" i="75" a="1"/>
  <c r="AR20" i="75" a="1"/>
  <c r="AR39" i="75" a="1"/>
  <c r="AR33" i="75" a="1"/>
  <c r="AR16" i="75" a="1"/>
  <c r="AR15" i="75" a="1"/>
  <c r="AR42" i="75" a="1"/>
  <c r="AR43" i="75" a="1"/>
  <c r="AR6" i="75" a="1"/>
  <c r="AR19" i="75" a="1"/>
  <c r="AR13" i="75" a="1"/>
  <c r="AR27" i="75" a="1"/>
  <c r="AR32" i="75" a="1"/>
  <c r="AR3" i="75" a="1"/>
  <c r="AR10" i="75" a="1"/>
  <c r="AR31" i="75" a="1"/>
  <c r="AR25" i="75" a="1"/>
  <c r="AR12" i="75" a="1"/>
  <c r="AR37" i="75" a="1"/>
  <c r="AR35" i="75" a="1"/>
  <c r="AR24" i="75" a="1"/>
  <c r="AR17" i="75" a="1"/>
  <c r="AR18" i="75" a="1"/>
  <c r="AR14" i="75" a="1"/>
  <c r="AR38" i="75" a="1"/>
  <c r="AR29" i="75" a="1"/>
  <c r="AR9" i="75" a="1"/>
  <c r="AR34" i="75" a="1"/>
  <c r="AR40" i="75" a="1"/>
  <c r="AR26" i="75" a="1"/>
  <c r="AR30" i="75" a="1"/>
  <c r="AR7" i="75" a="1"/>
  <c r="AR41" i="75" a="1"/>
  <c r="AR4" i="75" a="1"/>
  <c r="AR8" i="75" a="1"/>
  <c r="AR21" i="75" a="1"/>
  <c r="AR28" i="75" a="1"/>
  <c r="AR23" i="75" a="1"/>
  <c r="AR22" i="75" a="1"/>
  <c r="AR11" i="75" a="1"/>
  <c r="D288" i="98" l="1"/>
  <c r="F287" i="98"/>
  <c r="D287" i="98"/>
  <c r="F38" i="99"/>
  <c r="F37" i="99"/>
  <c r="F36" i="99"/>
  <c r="O21" i="99"/>
  <c r="M32" i="99" s="1"/>
  <c r="D88" i="99" s="1"/>
  <c r="G88" i="99" s="1"/>
  <c r="L21" i="99"/>
  <c r="F52" i="99"/>
  <c r="AR18" i="75"/>
  <c r="AR25" i="75"/>
  <c r="AT25" i="75" s="1"/>
  <c r="AR8" i="75"/>
  <c r="AS8" i="75" s="1"/>
  <c r="AR31" i="75"/>
  <c r="AR15" i="75"/>
  <c r="AT15" i="75" s="1"/>
  <c r="AR38" i="75"/>
  <c r="AT38" i="75" s="1"/>
  <c r="AR30" i="75"/>
  <c r="AR22" i="75"/>
  <c r="AS22" i="75" s="1"/>
  <c r="AR14" i="75"/>
  <c r="AR6" i="75"/>
  <c r="AS6" i="75" s="1"/>
  <c r="AR10" i="75"/>
  <c r="AT10" i="75" s="1"/>
  <c r="AR41" i="75"/>
  <c r="AR42" i="75"/>
  <c r="AR17" i="75"/>
  <c r="AS17" i="75" s="1"/>
  <c r="AR32" i="75"/>
  <c r="AR37" i="75"/>
  <c r="AR29" i="75"/>
  <c r="AT29" i="75" s="1"/>
  <c r="AR21" i="75"/>
  <c r="AS21" i="75" s="1"/>
  <c r="AR13" i="75"/>
  <c r="AR5" i="75"/>
  <c r="AS5" i="75" s="1"/>
  <c r="AR26" i="75"/>
  <c r="AT26" i="75" s="1"/>
  <c r="AR33" i="75"/>
  <c r="AR16" i="75"/>
  <c r="AR23" i="75"/>
  <c r="AT23" i="75" s="1"/>
  <c r="AR40" i="75"/>
  <c r="AR36" i="75"/>
  <c r="AT36" i="75" s="1"/>
  <c r="AR28" i="75"/>
  <c r="AR20" i="75"/>
  <c r="AS20" i="75" s="1"/>
  <c r="AR12" i="75"/>
  <c r="AR4" i="75"/>
  <c r="AR39" i="75"/>
  <c r="AT39" i="75" s="1"/>
  <c r="AR34" i="75"/>
  <c r="AR9" i="75"/>
  <c r="AT9" i="75" s="1"/>
  <c r="AR24" i="75"/>
  <c r="AT24" i="75" s="1"/>
  <c r="AR7" i="75"/>
  <c r="AS7" i="75" s="1"/>
  <c r="AR43" i="75"/>
  <c r="AR35" i="75"/>
  <c r="AS35" i="75" s="1"/>
  <c r="AR27" i="75"/>
  <c r="AT27" i="75" s="1"/>
  <c r="AR19" i="75"/>
  <c r="AS19" i="75" s="1"/>
  <c r="AR11" i="75"/>
  <c r="AR3" i="75"/>
  <c r="AT3" i="75" s="1"/>
  <c r="G31" i="100"/>
  <c r="J31" i="100"/>
  <c r="M47" i="99"/>
  <c r="J88" i="99" s="1"/>
  <c r="M88" i="99" s="1"/>
  <c r="J47" i="99"/>
  <c r="J87" i="99" s="1"/>
  <c r="M87" i="99" s="1"/>
  <c r="G47" i="99"/>
  <c r="J86" i="99" s="1"/>
  <c r="M86" i="99" s="1"/>
  <c r="O64" i="99"/>
  <c r="I64" i="99"/>
  <c r="O63" i="99"/>
  <c r="I63" i="99"/>
  <c r="O62" i="99"/>
  <c r="I62" i="99"/>
  <c r="O61" i="99"/>
  <c r="I61" i="99"/>
  <c r="O60" i="99"/>
  <c r="I60" i="99"/>
  <c r="O59" i="99"/>
  <c r="I59" i="99"/>
  <c r="O58" i="99"/>
  <c r="I58" i="99"/>
  <c r="AS34" i="75" l="1"/>
  <c r="AS33" i="75"/>
  <c r="AS32" i="75"/>
  <c r="AT16" i="75"/>
  <c r="AU18" i="75" s="1" a="1"/>
  <c r="AU18" i="75" s="1"/>
  <c r="AT14" i="75"/>
  <c r="AU16" i="75" s="1" a="1"/>
  <c r="AU16" i="75" s="1"/>
  <c r="AT13" i="75"/>
  <c r="AU15" i="75" s="1" a="1"/>
  <c r="AU15" i="75" s="1"/>
  <c r="AT12" i="75"/>
  <c r="AU14" i="75" s="1" a="1"/>
  <c r="AU14" i="75" s="1"/>
  <c r="AT11" i="75"/>
  <c r="AT43" i="75"/>
  <c r="AU45" i="75" s="1" a="1"/>
  <c r="AU45" i="75" s="1"/>
  <c r="AT42" i="75"/>
  <c r="AU44" i="75" s="1" a="1"/>
  <c r="AU44" i="75" s="1"/>
  <c r="AT41" i="75"/>
  <c r="AU43" i="75" s="1" a="1"/>
  <c r="AU43" i="75" s="1"/>
  <c r="AT40" i="75"/>
  <c r="AU42" i="75" s="1" a="1"/>
  <c r="AU42" i="75" s="1"/>
  <c r="AT37" i="75"/>
  <c r="AU39" i="75" s="1" a="1"/>
  <c r="AU39" i="75" s="1"/>
  <c r="AU37" i="75" a="1"/>
  <c r="AU37" i="75" s="1"/>
  <c r="AT31" i="75"/>
  <c r="AU33" i="75" s="1" a="1"/>
  <c r="AU33" i="75" s="1"/>
  <c r="AT30" i="75"/>
  <c r="AT28" i="75"/>
  <c r="AU30" i="75" s="1" a="1"/>
  <c r="AU30" i="75" s="1"/>
  <c r="AS18" i="75"/>
  <c r="AU17" i="75" a="1"/>
  <c r="AU17" i="75" s="1"/>
  <c r="AU12" i="75" a="1"/>
  <c r="AU12" i="75" s="1"/>
  <c r="AU11" i="75" a="1"/>
  <c r="AU11" i="75" s="1"/>
  <c r="AS4" i="75"/>
  <c r="AU4" i="75" s="1" a="1"/>
  <c r="AU4" i="75" s="1"/>
  <c r="D31" i="100"/>
  <c r="D47" i="99"/>
  <c r="J85" i="99" s="1"/>
  <c r="M85" i="99" s="1"/>
  <c r="G32" i="99"/>
  <c r="D86" i="99" s="1"/>
  <c r="G86" i="99" s="1"/>
  <c r="D32" i="99"/>
  <c r="D85" i="99" s="1"/>
  <c r="G85" i="99" s="1"/>
  <c r="J32" i="99"/>
  <c r="D87" i="99" s="1"/>
  <c r="G87" i="99" s="1"/>
  <c r="AU19" i="75" a="1"/>
  <c r="AU19" i="75" s="1"/>
  <c r="AU10" i="75" a="1"/>
  <c r="AU10" i="75" s="1"/>
  <c r="AU9" i="75" a="1"/>
  <c r="AU9" i="75" s="1"/>
  <c r="AU31" i="75" a="1"/>
  <c r="AU31" i="75" s="1"/>
  <c r="AU5" i="75" a="1"/>
  <c r="AU5" i="75" s="1"/>
  <c r="AU40" i="75" a="1"/>
  <c r="AU40" i="75" s="1"/>
  <c r="AU29" i="75" a="1"/>
  <c r="AU29" i="75" s="1"/>
  <c r="AU28" i="75" a="1"/>
  <c r="AU28" i="75" s="1"/>
  <c r="AU27" i="75" a="1"/>
  <c r="AU27" i="75" s="1"/>
  <c r="AU26" i="75" a="1"/>
  <c r="AU26" i="75" s="1"/>
  <c r="AU25" i="75" a="1"/>
  <c r="AU25" i="75" s="1"/>
  <c r="AU24" i="75" a="1"/>
  <c r="AU24" i="75" s="1"/>
  <c r="AU23" i="75" a="1"/>
  <c r="AU23" i="75" s="1"/>
  <c r="AU22" i="75" a="1"/>
  <c r="AU22" i="75" s="1"/>
  <c r="AU8" i="75" a="1"/>
  <c r="AU8" i="75" s="1"/>
  <c r="AU21" i="75" a="1"/>
  <c r="AU21" i="75" s="1"/>
  <c r="AU2" i="75" a="1"/>
  <c r="AU2" i="75" s="1"/>
  <c r="T73" i="75" l="1"/>
  <c r="AU32" i="75" a="1"/>
  <c r="AU32" i="75" s="1"/>
  <c r="T72" i="75"/>
  <c r="AU3" i="75" a="1"/>
  <c r="AU3" i="75" s="1"/>
  <c r="AU41" i="75" a="1"/>
  <c r="AU41" i="75" s="1"/>
  <c r="AU38" i="75" a="1"/>
  <c r="AU38" i="75" s="1"/>
  <c r="AU36" i="75" a="1"/>
  <c r="AU36" i="75" s="1"/>
  <c r="AU35" i="75" a="1"/>
  <c r="AU35" i="75" s="1"/>
  <c r="AU34" i="75" a="1"/>
  <c r="AU34" i="75" s="1"/>
  <c r="AU20" i="75" a="1"/>
  <c r="AU20" i="75" s="1"/>
  <c r="AU13" i="75" a="1"/>
  <c r="AU13" i="75" s="1"/>
  <c r="F63" i="100" l="1"/>
  <c r="D64" i="100" s="1"/>
  <c r="D73" i="100" l="1"/>
  <c r="D15" i="100"/>
  <c r="G12" i="73"/>
  <c r="F21" i="101"/>
  <c r="F23" i="101"/>
  <c r="F24" i="101"/>
  <c r="F25" i="101"/>
  <c r="I25" i="101"/>
  <c r="F26" i="101"/>
  <c r="I26" i="101"/>
  <c r="F27" i="101"/>
  <c r="I27" i="101"/>
  <c r="F28" i="101"/>
  <c r="I28" i="101"/>
  <c r="F29" i="101"/>
  <c r="I29" i="101"/>
  <c r="L29" i="101"/>
  <c r="J32" i="101" s="1"/>
  <c r="D61" i="101" s="1"/>
  <c r="G61" i="101" s="1"/>
  <c r="O29" i="101"/>
  <c r="M32" i="101" s="1"/>
  <c r="D62" i="101" s="1"/>
  <c r="G62" i="101" s="1"/>
  <c r="R29" i="101"/>
  <c r="P32" i="101" s="1"/>
  <c r="D64" i="101" s="1"/>
  <c r="G64" i="101" s="1"/>
  <c r="U29" i="101"/>
  <c r="S32" i="101" s="1"/>
  <c r="D65" i="101" s="1"/>
  <c r="G65" i="101" s="1"/>
  <c r="F30" i="101"/>
  <c r="I30" i="101"/>
  <c r="F31" i="101"/>
  <c r="I31" i="101"/>
  <c r="F38" i="101"/>
  <c r="I38" i="101"/>
  <c r="L38" i="101"/>
  <c r="F39" i="101"/>
  <c r="I39" i="101"/>
  <c r="L39" i="101"/>
  <c r="F40" i="101"/>
  <c r="I40" i="101"/>
  <c r="L40" i="101"/>
  <c r="F53" i="101"/>
  <c r="H53" i="101"/>
  <c r="J53" i="101"/>
  <c r="L53" i="101"/>
  <c r="N53" i="101"/>
  <c r="F53" i="100"/>
  <c r="I53" i="100"/>
  <c r="F54" i="100"/>
  <c r="F55" i="100"/>
  <c r="F70" i="99"/>
  <c r="I70" i="99"/>
  <c r="L70" i="99"/>
  <c r="O70" i="99"/>
  <c r="F71" i="99"/>
  <c r="L71" i="99"/>
  <c r="F72" i="99"/>
  <c r="L72" i="99"/>
  <c r="F78" i="99"/>
  <c r="I78" i="99"/>
  <c r="L78" i="99"/>
  <c r="O78" i="99"/>
  <c r="F79" i="99"/>
  <c r="I79" i="99"/>
  <c r="L79" i="99"/>
  <c r="O79" i="99"/>
  <c r="D68" i="101" l="1"/>
  <c r="G68" i="101" s="1"/>
  <c r="M81" i="99"/>
  <c r="D81" i="99"/>
  <c r="G32" i="101"/>
  <c r="D59" i="101" s="1"/>
  <c r="G59" i="101" s="1"/>
  <c r="D32" i="101"/>
  <c r="D58" i="101" s="1"/>
  <c r="G58" i="101" s="1"/>
  <c r="J73" i="99"/>
  <c r="D73" i="99"/>
  <c r="G41" i="101"/>
  <c r="J41" i="101"/>
  <c r="D41" i="101"/>
  <c r="B4" i="100"/>
  <c r="D48" i="100"/>
  <c r="D56" i="100"/>
  <c r="G48" i="100"/>
  <c r="J65" i="99"/>
  <c r="G65" i="99"/>
  <c r="D65" i="99"/>
  <c r="M65" i="99"/>
  <c r="F242" i="98" a="1"/>
  <c r="D245" i="98" a="1"/>
  <c r="D242" i="98" a="1"/>
  <c r="D246" i="98" a="1"/>
  <c r="J89" i="99" l="1"/>
  <c r="M89" i="99" s="1"/>
  <c r="J92" i="99" s="1"/>
  <c r="D91" i="99"/>
  <c r="G91" i="99" s="1"/>
  <c r="D90" i="99"/>
  <c r="G90" i="99" s="1"/>
  <c r="D89" i="99"/>
  <c r="G89" i="99" s="1"/>
  <c r="D66" i="101"/>
  <c r="G66" i="101" s="1"/>
  <c r="D69" i="101" s="1"/>
  <c r="D246" i="98"/>
  <c r="D245" i="98"/>
  <c r="F242" i="98"/>
  <c r="D242" i="98"/>
  <c r="C244" i="98"/>
  <c r="G73" i="100"/>
  <c r="D72" i="100"/>
  <c r="G72" i="100" s="1"/>
  <c r="D71" i="100"/>
  <c r="G71" i="100" s="1"/>
  <c r="D70" i="100"/>
  <c r="G70" i="100" s="1"/>
  <c r="D69" i="100"/>
  <c r="G69" i="100" s="1"/>
  <c r="D68" i="100"/>
  <c r="G68" i="100" s="1"/>
  <c r="D231" i="98" a="1"/>
  <c r="D229" i="98" a="1"/>
  <c r="D237" i="98" a="1"/>
  <c r="F241" i="98" a="1"/>
  <c r="F231" i="98" a="1"/>
  <c r="F230" i="98" a="1"/>
  <c r="D228" i="98" a="1"/>
  <c r="D235" i="98" a="1"/>
  <c r="D241" i="98" a="1"/>
  <c r="D244" i="98" a="1"/>
  <c r="D238" i="98" a="1"/>
  <c r="D244" i="98" l="1"/>
  <c r="D92" i="99"/>
  <c r="F241" i="98"/>
  <c r="D241" i="98"/>
  <c r="D237" i="98"/>
  <c r="D235" i="98"/>
  <c r="F230" i="98"/>
  <c r="F231" i="98"/>
  <c r="D231" i="98"/>
  <c r="D229" i="98"/>
  <c r="D228" i="98"/>
  <c r="C240" i="98"/>
  <c r="D238" i="98"/>
  <c r="C238" i="98"/>
  <c r="C233" i="98"/>
  <c r="D71" i="101"/>
  <c r="D74" i="100"/>
  <c r="D76" i="100" s="1"/>
  <c r="H6" i="67"/>
  <c r="F232" i="98" a="1"/>
  <c r="D243" i="98" a="1"/>
  <c r="D232" i="98" a="1"/>
  <c r="D240" i="98" a="1"/>
  <c r="D230" i="98" a="1"/>
  <c r="D234" i="98" a="1"/>
  <c r="D233" i="98" a="1"/>
  <c r="D236" i="98" a="1"/>
  <c r="F232" i="98" l="1"/>
  <c r="D243" i="98"/>
  <c r="D230" i="98"/>
  <c r="D232" i="98"/>
  <c r="D233" i="98"/>
  <c r="D236" i="98"/>
  <c r="D234" i="98"/>
  <c r="D240" i="98"/>
  <c r="I17" i="67"/>
  <c r="I15" i="67"/>
  <c r="I16" i="67"/>
  <c r="D94" i="99"/>
  <c r="B7" i="67"/>
  <c r="B8" i="67"/>
  <c r="T71" i="75"/>
  <c r="H57" i="96"/>
  <c r="H56" i="96"/>
  <c r="D53" i="96"/>
  <c r="H49" i="96"/>
  <c r="H50" i="96"/>
  <c r="H51" i="96"/>
  <c r="H52" i="96"/>
  <c r="H48" i="96"/>
  <c r="D10" i="96"/>
  <c r="H9" i="67" l="1" a="1"/>
  <c r="H9" i="67" s="1"/>
  <c r="D58" i="96"/>
  <c r="E29" i="68" l="1"/>
  <c r="E49" i="68"/>
  <c r="E50" i="68" s="1"/>
  <c r="E10" i="68"/>
  <c r="E13" i="68"/>
  <c r="E12" i="68"/>
  <c r="E14" i="68"/>
  <c r="D15" i="68" l="1"/>
  <c r="E38" i="68"/>
  <c r="E39" i="68"/>
  <c r="E40" i="68"/>
  <c r="E41" i="68"/>
  <c r="E42" i="68"/>
  <c r="E43" i="68"/>
  <c r="E44" i="68"/>
  <c r="E45" i="68"/>
  <c r="E46" i="68"/>
  <c r="E35" i="68"/>
  <c r="E34" i="68"/>
  <c r="E33" i="68"/>
  <c r="E32" i="68"/>
  <c r="E25" i="68"/>
  <c r="E24" i="68"/>
  <c r="E26" i="68"/>
  <c r="E23" i="68"/>
  <c r="E22" i="68"/>
  <c r="E21" i="68"/>
  <c r="E20" i="68"/>
  <c r="E19" i="68"/>
  <c r="E18" i="68"/>
  <c r="E17" i="68"/>
  <c r="E47" i="68" l="1"/>
  <c r="E36" i="68"/>
  <c r="D23" i="67"/>
  <c r="I43" i="67" l="1"/>
  <c r="D34" i="89"/>
  <c r="D42" i="89" s="1"/>
  <c r="D43" i="89" s="1"/>
  <c r="D27" i="89" l="1"/>
  <c r="M12" i="79"/>
  <c r="M23" i="79"/>
  <c r="AC15" i="79"/>
  <c r="AC9" i="79"/>
  <c r="AC12" i="79"/>
  <c r="M19" i="79"/>
  <c r="AC22" i="79"/>
  <c r="AC17" i="79"/>
  <c r="M28" i="79"/>
  <c r="AC14" i="79"/>
  <c r="M9" i="79"/>
  <c r="AC11" i="79"/>
  <c r="M16" i="79"/>
  <c r="AC8" i="79"/>
  <c r="AC16" i="79"/>
  <c r="AC19" i="79"/>
  <c r="M24" i="79"/>
  <c r="M15" i="79"/>
  <c r="AC21" i="79"/>
  <c r="M25" i="79"/>
  <c r="M27" i="79"/>
  <c r="AC13" i="79"/>
  <c r="M26" i="79"/>
  <c r="M11" i="79"/>
  <c r="AC20" i="79"/>
  <c r="M21" i="79"/>
  <c r="AC27" i="79"/>
  <c r="M8" i="79"/>
  <c r="AC25" i="79"/>
  <c r="M13" i="79"/>
  <c r="M14" i="79"/>
  <c r="M17" i="79"/>
  <c r="AC23" i="79"/>
  <c r="AC10" i="79"/>
  <c r="AC26" i="79"/>
  <c r="AC24" i="79"/>
  <c r="M20" i="79"/>
  <c r="AC28" i="79"/>
  <c r="AC18" i="79"/>
  <c r="M22" i="79"/>
  <c r="M10" i="79"/>
  <c r="M18" i="79"/>
  <c r="AG24" i="79" l="1"/>
  <c r="AG27" i="79"/>
  <c r="AG10" i="79"/>
  <c r="AG8" i="79"/>
  <c r="AG26" i="79"/>
  <c r="AG25" i="79"/>
  <c r="AG12" i="79"/>
  <c r="AG9" i="79"/>
  <c r="AG28" i="79"/>
  <c r="AG11" i="79"/>
  <c r="AG13" i="79"/>
  <c r="AG17" i="79"/>
  <c r="C185" i="98" s="1"/>
  <c r="AG15" i="79"/>
  <c r="AG19" i="79"/>
  <c r="C187" i="98" s="1"/>
  <c r="AG23" i="79"/>
  <c r="C191" i="98" s="1"/>
  <c r="AG21" i="79"/>
  <c r="C189" i="98" s="1"/>
  <c r="U8" i="79"/>
  <c r="U10" i="79"/>
  <c r="U21" i="79"/>
  <c r="U27" i="79"/>
  <c r="U12" i="79"/>
  <c r="U16" i="79"/>
  <c r="U14" i="79"/>
  <c r="U20" i="79"/>
  <c r="U26" i="79"/>
  <c r="U18" i="79"/>
  <c r="U9" i="79"/>
  <c r="U13" i="79"/>
  <c r="U28" i="79"/>
  <c r="U17" i="79"/>
  <c r="U15" i="79"/>
  <c r="U25" i="79"/>
  <c r="U19" i="79"/>
  <c r="U22" i="79"/>
  <c r="U11" i="79"/>
  <c r="U24" i="79"/>
  <c r="U23" i="79"/>
  <c r="AF24" i="79" l="1"/>
  <c r="C217" i="98" s="1"/>
  <c r="AF12" i="79"/>
  <c r="C205" i="98" s="1"/>
  <c r="AF11" i="79"/>
  <c r="C204" i="98" s="1"/>
  <c r="AF28" i="79"/>
  <c r="C221" i="98" s="1"/>
  <c r="AF26" i="79"/>
  <c r="C219" i="98" s="1"/>
  <c r="AF25" i="79"/>
  <c r="C218" i="98" s="1"/>
  <c r="AF8" i="79"/>
  <c r="C201" i="98" s="1"/>
  <c r="AF10" i="79"/>
  <c r="C203" i="98" s="1"/>
  <c r="AF9" i="79"/>
  <c r="C202" i="98" s="1"/>
  <c r="AF27" i="79"/>
  <c r="C220" i="98" s="1"/>
  <c r="C194" i="98"/>
  <c r="W31" i="79"/>
  <c r="C176" i="98"/>
  <c r="E31" i="79"/>
  <c r="C178" i="98"/>
  <c r="G31" i="79"/>
  <c r="C193" i="98"/>
  <c r="V31" i="79"/>
  <c r="L31" i="79"/>
  <c r="C183" i="98"/>
  <c r="J31" i="79"/>
  <c r="C181" i="98"/>
  <c r="C177" i="98"/>
  <c r="F31" i="79"/>
  <c r="C195" i="98"/>
  <c r="X31" i="79"/>
  <c r="C179" i="98"/>
  <c r="H31" i="79"/>
  <c r="C196" i="98"/>
  <c r="Y31" i="79"/>
  <c r="C180" i="98"/>
  <c r="I31" i="79"/>
  <c r="C192" i="98"/>
  <c r="U31" i="79"/>
  <c r="P31" i="79"/>
  <c r="AG22" i="79"/>
  <c r="C190" i="98" s="1"/>
  <c r="AG16" i="79"/>
  <c r="AG20" i="79"/>
  <c r="AG18" i="79"/>
  <c r="C186" i="98" s="1"/>
  <c r="N31" i="79"/>
  <c r="AG14" i="79"/>
  <c r="AF15" i="79"/>
  <c r="C208" i="98" s="1"/>
  <c r="AF17" i="79"/>
  <c r="C210" i="98" s="1"/>
  <c r="AF13" i="79"/>
  <c r="C206" i="98" s="1"/>
  <c r="R31" i="79"/>
  <c r="E10" i="95"/>
  <c r="S13" i="90"/>
  <c r="S12" i="90"/>
  <c r="S11" i="90"/>
  <c r="B7" i="90"/>
  <c r="B8" i="90" s="1"/>
  <c r="B9" i="90" s="1"/>
  <c r="B10" i="90" s="1"/>
  <c r="B11" i="90" s="1"/>
  <c r="B12" i="90" s="1"/>
  <c r="B13" i="90" s="1"/>
  <c r="B14" i="90" s="1"/>
  <c r="B15" i="90" s="1"/>
  <c r="AF23" i="79"/>
  <c r="C216" i="98" s="1"/>
  <c r="AF19" i="79"/>
  <c r="C212" i="98" s="1"/>
  <c r="AF21" i="79"/>
  <c r="C214" i="98" s="1"/>
  <c r="Q31" i="79" l="1"/>
  <c r="C188" i="98"/>
  <c r="K31" i="79"/>
  <c r="C182" i="98"/>
  <c r="M31" i="79"/>
  <c r="C184" i="98"/>
  <c r="AF18" i="79"/>
  <c r="C211" i="98" s="1"/>
  <c r="AF22" i="79"/>
  <c r="C215" i="98" s="1"/>
  <c r="AF14" i="79"/>
  <c r="C207" i="98" s="1"/>
  <c r="AF20" i="79"/>
  <c r="C213" i="98" s="1"/>
  <c r="AF16" i="79"/>
  <c r="C209" i="98" s="1"/>
  <c r="O31" i="79"/>
  <c r="G34" i="88"/>
  <c r="I40" i="83"/>
  <c r="G40" i="83"/>
  <c r="E40" i="83"/>
  <c r="C471" i="98"/>
  <c r="C470" i="98"/>
  <c r="O44" i="73"/>
  <c r="C458" i="98"/>
  <c r="C460" i="98" a="1"/>
  <c r="C460" i="98" s="1"/>
  <c r="P10" i="87"/>
  <c r="P9" i="87"/>
  <c r="P6" i="87"/>
  <c r="N5" i="77"/>
  <c r="N8" i="77"/>
  <c r="O8" i="77"/>
  <c r="N9" i="77"/>
  <c r="O9" i="77"/>
  <c r="O7" i="77"/>
  <c r="N7" i="77"/>
  <c r="F6" i="68"/>
  <c r="N64" i="73"/>
  <c r="O64" i="73"/>
  <c r="P64" i="73"/>
  <c r="M65" i="73"/>
  <c r="M67" i="73"/>
  <c r="M68" i="73"/>
  <c r="M69" i="73"/>
  <c r="M64" i="73"/>
  <c r="M60" i="73"/>
  <c r="M58" i="73"/>
  <c r="M57" i="73"/>
  <c r="M53" i="73"/>
  <c r="M52" i="73"/>
  <c r="N45" i="73"/>
  <c r="O45" i="73"/>
  <c r="P45" i="73"/>
  <c r="N46" i="73"/>
  <c r="O46" i="73"/>
  <c r="P46" i="73"/>
  <c r="P44" i="73"/>
  <c r="N44" i="73"/>
  <c r="M36" i="73"/>
  <c r="M35" i="73"/>
  <c r="M31" i="73"/>
  <c r="N31" i="73"/>
  <c r="O31" i="73"/>
  <c r="P31" i="73"/>
  <c r="M32" i="73"/>
  <c r="N32" i="73"/>
  <c r="O32" i="73"/>
  <c r="P32" i="73"/>
  <c r="M33" i="73"/>
  <c r="N35" i="73" s="1"/>
  <c r="N33" i="73"/>
  <c r="O33" i="73"/>
  <c r="P33" i="73"/>
  <c r="N30" i="73"/>
  <c r="O30" i="73"/>
  <c r="P30" i="73"/>
  <c r="M30" i="73"/>
  <c r="M26" i="73"/>
  <c r="N26" i="73"/>
  <c r="O26" i="73"/>
  <c r="P26" i="73"/>
  <c r="M27" i="73"/>
  <c r="N27" i="73"/>
  <c r="O27" i="73"/>
  <c r="P27" i="73"/>
  <c r="M28" i="73"/>
  <c r="N28" i="73"/>
  <c r="O28" i="73"/>
  <c r="P28" i="73"/>
  <c r="N25" i="73"/>
  <c r="O25" i="73"/>
  <c r="P25" i="73"/>
  <c r="M25" i="73"/>
  <c r="M18" i="73"/>
  <c r="M17" i="73"/>
  <c r="K19" i="73"/>
  <c r="K17" i="73"/>
  <c r="K18" i="73"/>
  <c r="K16" i="73"/>
  <c r="K5" i="73"/>
  <c r="K6" i="73"/>
  <c r="K7" i="73"/>
  <c r="K8" i="73"/>
  <c r="K9" i="73"/>
  <c r="K10" i="73"/>
  <c r="K11" i="73"/>
  <c r="K12" i="73"/>
  <c r="K13" i="73"/>
  <c r="K14" i="73"/>
  <c r="K4" i="73"/>
  <c r="N3" i="73"/>
  <c r="G28" i="92"/>
  <c r="E28" i="92"/>
  <c r="G23" i="92"/>
  <c r="E23" i="92"/>
  <c r="G22" i="92"/>
  <c r="E22" i="92"/>
  <c r="G16" i="92"/>
  <c r="E16" i="92"/>
  <c r="F12" i="92"/>
  <c r="D12" i="92"/>
  <c r="E26" i="92"/>
  <c r="G17" i="92"/>
  <c r="E34" i="92"/>
  <c r="G35" i="92"/>
  <c r="E36" i="92"/>
  <c r="G36" i="92"/>
  <c r="G34" i="92"/>
  <c r="G26" i="92"/>
  <c r="E39" i="92"/>
  <c r="E17" i="92"/>
  <c r="G39" i="92"/>
  <c r="E35" i="92"/>
  <c r="G25" i="92"/>
  <c r="E40" i="92"/>
  <c r="E25" i="92"/>
  <c r="G40" i="92"/>
  <c r="C467" i="98" l="1"/>
  <c r="M16" i="73"/>
  <c r="E8" i="83"/>
  <c r="E7" i="83"/>
  <c r="G9" i="95"/>
  <c r="F65" i="98" l="1"/>
  <c r="F64" i="98"/>
  <c r="F63" i="98"/>
  <c r="D63" i="98"/>
  <c r="D65" i="98"/>
  <c r="D64" i="98"/>
  <c r="D98" i="98" l="1"/>
  <c r="R20" i="98" l="1"/>
  <c r="L1547" i="95" l="1"/>
  <c r="K1547" i="95"/>
  <c r="L1546" i="95"/>
  <c r="K1546" i="95"/>
  <c r="L1545" i="95"/>
  <c r="K1545" i="95"/>
  <c r="L1544" i="95"/>
  <c r="K1544" i="95"/>
  <c r="L1543" i="95"/>
  <c r="K1543" i="95"/>
  <c r="L1542" i="95"/>
  <c r="K1542" i="95"/>
  <c r="L1541" i="95"/>
  <c r="K1541" i="95"/>
  <c r="L1540" i="95"/>
  <c r="K1540" i="95"/>
  <c r="L1539" i="95"/>
  <c r="K1539" i="95"/>
  <c r="L1538" i="95"/>
  <c r="K1538" i="95"/>
  <c r="L1537" i="95"/>
  <c r="K1537" i="95"/>
  <c r="L1536" i="95"/>
  <c r="K1536" i="95"/>
  <c r="L1535" i="95"/>
  <c r="K1535" i="95"/>
  <c r="L1534" i="95"/>
  <c r="K1534" i="95"/>
  <c r="L1533" i="95"/>
  <c r="K1533" i="95"/>
  <c r="L1532" i="95"/>
  <c r="K1532" i="95"/>
  <c r="L1531" i="95"/>
  <c r="K1531" i="95"/>
  <c r="L1530" i="95"/>
  <c r="K1530" i="95"/>
  <c r="L1529" i="95"/>
  <c r="K1529" i="95"/>
  <c r="L1528" i="95"/>
  <c r="K1528" i="95"/>
  <c r="L1527" i="95"/>
  <c r="K1527" i="95"/>
  <c r="L1526" i="95"/>
  <c r="K1526" i="95"/>
  <c r="L1525" i="95"/>
  <c r="K1525" i="95"/>
  <c r="L1524" i="95"/>
  <c r="K1524" i="95"/>
  <c r="L1523" i="95"/>
  <c r="K1523" i="95"/>
  <c r="L1522" i="95"/>
  <c r="K1522" i="95"/>
  <c r="L1521" i="95"/>
  <c r="K1521" i="95"/>
  <c r="L1520" i="95"/>
  <c r="K1520" i="95"/>
  <c r="L1519" i="95"/>
  <c r="K1519" i="95"/>
  <c r="L1518" i="95"/>
  <c r="K1518" i="95"/>
  <c r="L1517" i="95"/>
  <c r="K1517" i="95"/>
  <c r="L1516" i="95"/>
  <c r="K1516" i="95"/>
  <c r="L1515" i="95"/>
  <c r="K1515" i="95"/>
  <c r="L1514" i="95"/>
  <c r="K1514" i="95"/>
  <c r="L1513" i="95"/>
  <c r="K1513" i="95"/>
  <c r="L1512" i="95"/>
  <c r="K1512" i="95"/>
  <c r="L1511" i="95"/>
  <c r="K1511" i="95"/>
  <c r="L1510" i="95"/>
  <c r="K1510" i="95"/>
  <c r="L1509" i="95"/>
  <c r="K1509" i="95"/>
  <c r="L1508" i="95"/>
  <c r="K1508" i="95"/>
  <c r="L1507" i="95"/>
  <c r="K1507" i="95"/>
  <c r="L1506" i="95"/>
  <c r="K1506" i="95"/>
  <c r="L1505" i="95"/>
  <c r="K1505" i="95"/>
  <c r="L1504" i="95"/>
  <c r="K1504" i="95"/>
  <c r="L1503" i="95"/>
  <c r="K1503" i="95"/>
  <c r="L1502" i="95"/>
  <c r="K1502" i="95"/>
  <c r="L1501" i="95"/>
  <c r="K1501" i="95"/>
  <c r="L1500" i="95"/>
  <c r="K1500" i="95"/>
  <c r="L1499" i="95"/>
  <c r="K1499" i="95"/>
  <c r="L1498" i="95"/>
  <c r="K1498" i="95"/>
  <c r="L1497" i="95"/>
  <c r="K1497" i="95"/>
  <c r="L1496" i="95"/>
  <c r="K1496" i="95"/>
  <c r="L1495" i="95"/>
  <c r="K1495" i="95"/>
  <c r="L1494" i="95"/>
  <c r="K1494" i="95"/>
  <c r="L1493" i="95"/>
  <c r="K1493" i="95"/>
  <c r="L1492" i="95"/>
  <c r="K1492" i="95"/>
  <c r="L1491" i="95"/>
  <c r="K1491" i="95"/>
  <c r="L1490" i="95"/>
  <c r="K1490" i="95"/>
  <c r="L1489" i="95"/>
  <c r="K1489" i="95"/>
  <c r="L1488" i="95"/>
  <c r="K1488" i="95"/>
  <c r="L1487" i="95"/>
  <c r="K1487" i="95"/>
  <c r="L1486" i="95"/>
  <c r="K1486" i="95"/>
  <c r="L1485" i="95"/>
  <c r="K1485" i="95"/>
  <c r="L1484" i="95"/>
  <c r="K1484" i="95"/>
  <c r="L1483" i="95"/>
  <c r="K1483" i="95"/>
  <c r="L1482" i="95"/>
  <c r="K1482" i="95"/>
  <c r="L1481" i="95"/>
  <c r="K1481" i="95"/>
  <c r="L1480" i="95"/>
  <c r="K1480" i="95"/>
  <c r="L1479" i="95"/>
  <c r="K1479" i="95"/>
  <c r="L1478" i="95"/>
  <c r="K1478" i="95"/>
  <c r="L1477" i="95"/>
  <c r="K1477" i="95"/>
  <c r="L1476" i="95"/>
  <c r="K1476" i="95"/>
  <c r="L1475" i="95"/>
  <c r="K1475" i="95"/>
  <c r="L1474" i="95"/>
  <c r="K1474" i="95"/>
  <c r="L1473" i="95"/>
  <c r="K1473" i="95"/>
  <c r="L1472" i="95"/>
  <c r="K1472" i="95"/>
  <c r="L1471" i="95"/>
  <c r="K1471" i="95"/>
  <c r="L1470" i="95"/>
  <c r="K1470" i="95"/>
  <c r="L1469" i="95"/>
  <c r="K1469" i="95"/>
  <c r="L1468" i="95"/>
  <c r="K1468" i="95"/>
  <c r="L1467" i="95"/>
  <c r="K1467" i="95"/>
  <c r="L1466" i="95"/>
  <c r="K1466" i="95"/>
  <c r="L1465" i="95"/>
  <c r="K1465" i="95"/>
  <c r="L1464" i="95"/>
  <c r="K1464" i="95"/>
  <c r="L1463" i="95"/>
  <c r="K1463" i="95"/>
  <c r="L1462" i="95"/>
  <c r="K1462" i="95"/>
  <c r="L1461" i="95"/>
  <c r="K1461" i="95"/>
  <c r="L1460" i="95"/>
  <c r="K1460" i="95"/>
  <c r="L1459" i="95"/>
  <c r="K1459" i="95"/>
  <c r="L1458" i="95"/>
  <c r="K1458" i="95"/>
  <c r="L1457" i="95"/>
  <c r="K1457" i="95"/>
  <c r="L1456" i="95"/>
  <c r="K1456" i="95"/>
  <c r="L1455" i="95"/>
  <c r="K1455" i="95"/>
  <c r="L1454" i="95"/>
  <c r="K1454" i="95"/>
  <c r="L1453" i="95"/>
  <c r="K1453" i="95"/>
  <c r="L1452" i="95"/>
  <c r="K1452" i="95"/>
  <c r="L1451" i="95"/>
  <c r="K1451" i="95"/>
  <c r="L1450" i="95"/>
  <c r="K1450" i="95"/>
  <c r="L1449" i="95"/>
  <c r="K1449" i="95"/>
  <c r="L1448" i="95"/>
  <c r="K1448" i="95"/>
  <c r="L1447" i="95"/>
  <c r="K1447" i="95"/>
  <c r="L1446" i="95"/>
  <c r="K1446" i="95"/>
  <c r="L1445" i="95"/>
  <c r="K1445" i="95"/>
  <c r="L1444" i="95"/>
  <c r="K1444" i="95"/>
  <c r="L1443" i="95"/>
  <c r="K1443" i="95"/>
  <c r="L1442" i="95"/>
  <c r="K1442" i="95"/>
  <c r="L1441" i="95"/>
  <c r="K1441" i="95"/>
  <c r="L1440" i="95"/>
  <c r="K1440" i="95"/>
  <c r="L1439" i="95"/>
  <c r="K1439" i="95"/>
  <c r="L1438" i="95"/>
  <c r="K1438" i="95"/>
  <c r="L1437" i="95"/>
  <c r="K1437" i="95"/>
  <c r="L1436" i="95"/>
  <c r="K1436" i="95"/>
  <c r="L1435" i="95"/>
  <c r="K1435" i="95"/>
  <c r="L1434" i="95"/>
  <c r="K1434" i="95"/>
  <c r="L1433" i="95"/>
  <c r="K1433" i="95"/>
  <c r="L1432" i="95"/>
  <c r="K1432" i="95"/>
  <c r="L1431" i="95"/>
  <c r="K1431" i="95"/>
  <c r="L1430" i="95"/>
  <c r="K1430" i="95"/>
  <c r="L1429" i="95"/>
  <c r="K1429" i="95"/>
  <c r="L1428" i="95"/>
  <c r="K1428" i="95"/>
  <c r="L1427" i="95"/>
  <c r="K1427" i="95"/>
  <c r="L1426" i="95"/>
  <c r="K1426" i="95"/>
  <c r="L1425" i="95"/>
  <c r="K1425" i="95"/>
  <c r="L1424" i="95"/>
  <c r="K1424" i="95"/>
  <c r="L1423" i="95"/>
  <c r="K1423" i="95"/>
  <c r="L1422" i="95"/>
  <c r="K1422" i="95"/>
  <c r="L1421" i="95"/>
  <c r="K1421" i="95"/>
  <c r="L1420" i="95"/>
  <c r="K1420" i="95"/>
  <c r="L1419" i="95"/>
  <c r="K1419" i="95"/>
  <c r="L1418" i="95"/>
  <c r="K1418" i="95"/>
  <c r="L1417" i="95"/>
  <c r="K1417" i="95"/>
  <c r="L1416" i="95"/>
  <c r="K1416" i="95"/>
  <c r="L1415" i="95"/>
  <c r="K1415" i="95"/>
  <c r="L1414" i="95"/>
  <c r="K1414" i="95"/>
  <c r="L1413" i="95"/>
  <c r="K1413" i="95"/>
  <c r="L1412" i="95"/>
  <c r="K1412" i="95"/>
  <c r="L1411" i="95"/>
  <c r="K1411" i="95"/>
  <c r="L1410" i="95"/>
  <c r="K1410" i="95"/>
  <c r="L1409" i="95"/>
  <c r="K1409" i="95"/>
  <c r="L1408" i="95"/>
  <c r="K1408" i="95"/>
  <c r="L1407" i="95"/>
  <c r="K1407" i="95"/>
  <c r="L1406" i="95"/>
  <c r="K1406" i="95"/>
  <c r="L1405" i="95"/>
  <c r="K1405" i="95"/>
  <c r="L1404" i="95"/>
  <c r="K1404" i="95"/>
  <c r="L1403" i="95"/>
  <c r="K1403" i="95"/>
  <c r="L1402" i="95"/>
  <c r="K1402" i="95"/>
  <c r="L1401" i="95"/>
  <c r="K1401" i="95"/>
  <c r="L1400" i="95"/>
  <c r="K1400" i="95"/>
  <c r="L1399" i="95"/>
  <c r="K1399" i="95"/>
  <c r="L1398" i="95"/>
  <c r="K1398" i="95"/>
  <c r="L1397" i="95"/>
  <c r="K1397" i="95"/>
  <c r="L1396" i="95"/>
  <c r="K1396" i="95"/>
  <c r="L1395" i="95"/>
  <c r="K1395" i="95"/>
  <c r="L1394" i="95"/>
  <c r="K1394" i="95"/>
  <c r="L1393" i="95"/>
  <c r="K1393" i="95"/>
  <c r="L1392" i="95"/>
  <c r="K1392" i="95"/>
  <c r="L1391" i="95"/>
  <c r="K1391" i="95"/>
  <c r="L1390" i="95"/>
  <c r="K1390" i="95"/>
  <c r="L1389" i="95"/>
  <c r="K1389" i="95"/>
  <c r="L1388" i="95"/>
  <c r="K1388" i="95"/>
  <c r="L1387" i="95"/>
  <c r="K1387" i="95"/>
  <c r="L1386" i="95"/>
  <c r="K1386" i="95"/>
  <c r="L1385" i="95"/>
  <c r="K1385" i="95"/>
  <c r="L1384" i="95"/>
  <c r="K1384" i="95"/>
  <c r="L1383" i="95"/>
  <c r="K1383" i="95"/>
  <c r="L1382" i="95"/>
  <c r="K1382" i="95"/>
  <c r="L1381" i="95"/>
  <c r="K1381" i="95"/>
  <c r="L1380" i="95"/>
  <c r="K1380" i="95"/>
  <c r="L1379" i="95"/>
  <c r="K1379" i="95"/>
  <c r="L1378" i="95"/>
  <c r="K1378" i="95"/>
  <c r="L1377" i="95"/>
  <c r="K1377" i="95"/>
  <c r="L1376" i="95"/>
  <c r="K1376" i="95"/>
  <c r="L1375" i="95"/>
  <c r="K1375" i="95"/>
  <c r="L1374" i="95"/>
  <c r="K1374" i="95"/>
  <c r="L1373" i="95"/>
  <c r="K1373" i="95"/>
  <c r="L1372" i="95"/>
  <c r="K1372" i="95"/>
  <c r="L1371" i="95"/>
  <c r="K1371" i="95"/>
  <c r="L1370" i="95"/>
  <c r="K1370" i="95"/>
  <c r="L1369" i="95"/>
  <c r="K1369" i="95"/>
  <c r="L1368" i="95"/>
  <c r="K1368" i="95"/>
  <c r="L1367" i="95"/>
  <c r="K1367" i="95"/>
  <c r="L1366" i="95"/>
  <c r="K1366" i="95"/>
  <c r="L1365" i="95"/>
  <c r="K1365" i="95"/>
  <c r="L1364" i="95"/>
  <c r="K1364" i="95"/>
  <c r="L1363" i="95"/>
  <c r="K1363" i="95"/>
  <c r="L1362" i="95"/>
  <c r="K1362" i="95"/>
  <c r="L1361" i="95"/>
  <c r="K1361" i="95"/>
  <c r="L1360" i="95"/>
  <c r="K1360" i="95"/>
  <c r="L1359" i="95"/>
  <c r="K1359" i="95"/>
  <c r="L1358" i="95"/>
  <c r="K1358" i="95"/>
  <c r="L1357" i="95"/>
  <c r="K1357" i="95"/>
  <c r="L1356" i="95"/>
  <c r="K1356" i="95"/>
  <c r="L1355" i="95"/>
  <c r="K1355" i="95"/>
  <c r="L1354" i="95"/>
  <c r="K1354" i="95"/>
  <c r="L1353" i="95"/>
  <c r="K1353" i="95"/>
  <c r="L1352" i="95"/>
  <c r="K1352" i="95"/>
  <c r="L1351" i="95"/>
  <c r="K1351" i="95"/>
  <c r="L1350" i="95"/>
  <c r="K1350" i="95"/>
  <c r="L1349" i="95"/>
  <c r="K1349" i="95"/>
  <c r="L1348" i="95"/>
  <c r="K1348" i="95"/>
  <c r="L1347" i="95"/>
  <c r="K1347" i="95"/>
  <c r="L1346" i="95"/>
  <c r="K1346" i="95"/>
  <c r="L1345" i="95"/>
  <c r="K1345" i="95"/>
  <c r="L1344" i="95"/>
  <c r="K1344" i="95"/>
  <c r="L1343" i="95"/>
  <c r="K1343" i="95"/>
  <c r="L1342" i="95"/>
  <c r="K1342" i="95"/>
  <c r="L1341" i="95"/>
  <c r="K1341" i="95"/>
  <c r="L1340" i="95"/>
  <c r="K1340" i="95"/>
  <c r="L1339" i="95"/>
  <c r="K1339" i="95"/>
  <c r="L1338" i="95"/>
  <c r="K1338" i="95"/>
  <c r="L1337" i="95"/>
  <c r="K1337" i="95"/>
  <c r="L1336" i="95"/>
  <c r="K1336" i="95"/>
  <c r="L1335" i="95"/>
  <c r="K1335" i="95"/>
  <c r="L1334" i="95"/>
  <c r="K1334" i="95"/>
  <c r="L1333" i="95"/>
  <c r="K1333" i="95"/>
  <c r="L1332" i="95"/>
  <c r="K1332" i="95"/>
  <c r="L1331" i="95"/>
  <c r="K1331" i="95"/>
  <c r="L1330" i="95"/>
  <c r="K1330" i="95"/>
  <c r="L1329" i="95"/>
  <c r="K1329" i="95"/>
  <c r="L1328" i="95"/>
  <c r="K1328" i="95"/>
  <c r="L1327" i="95"/>
  <c r="K1327" i="95"/>
  <c r="L1326" i="95"/>
  <c r="K1326" i="95"/>
  <c r="L1325" i="95"/>
  <c r="K1325" i="95"/>
  <c r="L1324" i="95"/>
  <c r="K1324" i="95"/>
  <c r="L1323" i="95"/>
  <c r="K1323" i="95"/>
  <c r="L1322" i="95"/>
  <c r="K1322" i="95"/>
  <c r="L1321" i="95"/>
  <c r="K1321" i="95"/>
  <c r="L1320" i="95"/>
  <c r="K1320" i="95"/>
  <c r="L1319" i="95"/>
  <c r="K1319" i="95"/>
  <c r="L1318" i="95"/>
  <c r="K1318" i="95"/>
  <c r="L1317" i="95"/>
  <c r="K1317" i="95"/>
  <c r="L1316" i="95"/>
  <c r="K1316" i="95"/>
  <c r="L1315" i="95"/>
  <c r="K1315" i="95"/>
  <c r="L1314" i="95"/>
  <c r="K1314" i="95"/>
  <c r="L1313" i="95"/>
  <c r="K1313" i="95"/>
  <c r="L1312" i="95"/>
  <c r="K1312" i="95"/>
  <c r="L1311" i="95"/>
  <c r="K1311" i="95"/>
  <c r="L1310" i="95"/>
  <c r="K1310" i="95"/>
  <c r="L1309" i="95"/>
  <c r="K1309" i="95"/>
  <c r="L1308" i="95"/>
  <c r="K1308" i="95"/>
  <c r="L1307" i="95"/>
  <c r="K1307" i="95"/>
  <c r="L1306" i="95"/>
  <c r="K1306" i="95"/>
  <c r="L1305" i="95"/>
  <c r="K1305" i="95"/>
  <c r="L1304" i="95"/>
  <c r="K1304" i="95"/>
  <c r="L1303" i="95"/>
  <c r="K1303" i="95"/>
  <c r="L1302" i="95"/>
  <c r="K1302" i="95"/>
  <c r="L1301" i="95"/>
  <c r="K1301" i="95"/>
  <c r="L1300" i="95"/>
  <c r="K1300" i="95"/>
  <c r="L1299" i="95"/>
  <c r="K1299" i="95"/>
  <c r="L1298" i="95"/>
  <c r="K1298" i="95"/>
  <c r="L1297" i="95"/>
  <c r="K1297" i="95"/>
  <c r="L1296" i="95"/>
  <c r="K1296" i="95"/>
  <c r="L1295" i="95"/>
  <c r="K1295" i="95"/>
  <c r="L1294" i="95"/>
  <c r="K1294" i="95"/>
  <c r="L1293" i="95"/>
  <c r="K1293" i="95"/>
  <c r="L1292" i="95"/>
  <c r="K1292" i="95"/>
  <c r="L1291" i="95"/>
  <c r="K1291" i="95"/>
  <c r="L1290" i="95"/>
  <c r="K1290" i="95"/>
  <c r="L1289" i="95"/>
  <c r="K1289" i="95"/>
  <c r="L1288" i="95"/>
  <c r="K1288" i="95"/>
  <c r="L1287" i="95"/>
  <c r="K1287" i="95"/>
  <c r="L1286" i="95"/>
  <c r="K1286" i="95"/>
  <c r="L1285" i="95"/>
  <c r="K1285" i="95"/>
  <c r="L1284" i="95"/>
  <c r="K1284" i="95"/>
  <c r="L1283" i="95"/>
  <c r="K1283" i="95"/>
  <c r="L1282" i="95"/>
  <c r="K1282" i="95"/>
  <c r="L1281" i="95"/>
  <c r="K1281" i="95"/>
  <c r="L1280" i="95"/>
  <c r="K1280" i="95"/>
  <c r="L1279" i="95"/>
  <c r="K1279" i="95"/>
  <c r="L1278" i="95"/>
  <c r="K1278" i="95"/>
  <c r="L1277" i="95"/>
  <c r="K1277" i="95"/>
  <c r="L1276" i="95"/>
  <c r="K1276" i="95"/>
  <c r="L1275" i="95"/>
  <c r="K1275" i="95"/>
  <c r="L1274" i="95"/>
  <c r="K1274" i="95"/>
  <c r="L1273" i="95"/>
  <c r="K1273" i="95"/>
  <c r="L1272" i="95"/>
  <c r="K1272" i="95"/>
  <c r="L1271" i="95"/>
  <c r="K1271" i="95"/>
  <c r="L1270" i="95"/>
  <c r="K1270" i="95"/>
  <c r="L1269" i="95"/>
  <c r="K1269" i="95"/>
  <c r="L1268" i="95"/>
  <c r="K1268" i="95"/>
  <c r="L1267" i="95"/>
  <c r="K1267" i="95"/>
  <c r="L1266" i="95"/>
  <c r="K1266" i="95"/>
  <c r="L1265" i="95"/>
  <c r="K1265" i="95"/>
  <c r="L1264" i="95"/>
  <c r="K1264" i="95"/>
  <c r="L1263" i="95"/>
  <c r="K1263" i="95"/>
  <c r="L1262" i="95"/>
  <c r="K1262" i="95"/>
  <c r="L1261" i="95"/>
  <c r="K1261" i="95"/>
  <c r="L1260" i="95"/>
  <c r="K1260" i="95"/>
  <c r="L1259" i="95"/>
  <c r="K1259" i="95"/>
  <c r="L1258" i="95"/>
  <c r="K1258" i="95"/>
  <c r="L1257" i="95"/>
  <c r="K1257" i="95"/>
  <c r="L1256" i="95"/>
  <c r="K1256" i="95"/>
  <c r="L1255" i="95"/>
  <c r="K1255" i="95"/>
  <c r="L1254" i="95"/>
  <c r="K1254" i="95"/>
  <c r="L1253" i="95"/>
  <c r="K1253" i="95"/>
  <c r="L1252" i="95"/>
  <c r="K1252" i="95"/>
  <c r="L1251" i="95"/>
  <c r="K1251" i="95"/>
  <c r="L1250" i="95"/>
  <c r="K1250" i="95"/>
  <c r="L1249" i="95"/>
  <c r="K1249" i="95"/>
  <c r="L1248" i="95"/>
  <c r="K1248" i="95"/>
  <c r="L1247" i="95"/>
  <c r="K1247" i="95"/>
  <c r="L1246" i="95"/>
  <c r="K1246" i="95"/>
  <c r="L1245" i="95"/>
  <c r="K1245" i="95"/>
  <c r="L1244" i="95"/>
  <c r="K1244" i="95"/>
  <c r="L1243" i="95"/>
  <c r="K1243" i="95"/>
  <c r="L1242" i="95"/>
  <c r="K1242" i="95"/>
  <c r="L1241" i="95"/>
  <c r="K1241" i="95"/>
  <c r="L1240" i="95"/>
  <c r="K1240" i="95"/>
  <c r="L1239" i="95"/>
  <c r="K1239" i="95"/>
  <c r="L1238" i="95"/>
  <c r="K1238" i="95"/>
  <c r="L1237" i="95"/>
  <c r="K1237" i="95"/>
  <c r="L1236" i="95"/>
  <c r="K1236" i="95"/>
  <c r="L1235" i="95"/>
  <c r="K1235" i="95"/>
  <c r="L1234" i="95"/>
  <c r="K1234" i="95"/>
  <c r="L1233" i="95"/>
  <c r="K1233" i="95"/>
  <c r="L1232" i="95"/>
  <c r="K1232" i="95"/>
  <c r="L1231" i="95"/>
  <c r="K1231" i="95"/>
  <c r="L1230" i="95"/>
  <c r="K1230" i="95"/>
  <c r="L1229" i="95"/>
  <c r="K1229" i="95"/>
  <c r="L1228" i="95"/>
  <c r="K1228" i="95"/>
  <c r="L1227" i="95"/>
  <c r="K1227" i="95"/>
  <c r="L1226" i="95"/>
  <c r="K1226" i="95"/>
  <c r="L1225" i="95"/>
  <c r="K1225" i="95"/>
  <c r="L1224" i="95"/>
  <c r="K1224" i="95"/>
  <c r="L1223" i="95"/>
  <c r="K1223" i="95"/>
  <c r="L1222" i="95"/>
  <c r="K1222" i="95"/>
  <c r="L1221" i="95"/>
  <c r="K1221" i="95"/>
  <c r="L1220" i="95"/>
  <c r="K1220" i="95"/>
  <c r="L1219" i="95"/>
  <c r="K1219" i="95"/>
  <c r="L1218" i="95"/>
  <c r="K1218" i="95"/>
  <c r="L1217" i="95"/>
  <c r="K1217" i="95"/>
  <c r="L1216" i="95"/>
  <c r="K1216" i="95"/>
  <c r="L1215" i="95"/>
  <c r="K1215" i="95"/>
  <c r="L1214" i="95"/>
  <c r="K1214" i="95"/>
  <c r="L1213" i="95"/>
  <c r="K1213" i="95"/>
  <c r="L1212" i="95"/>
  <c r="K1212" i="95"/>
  <c r="L1211" i="95"/>
  <c r="K1211" i="95"/>
  <c r="L1210" i="95"/>
  <c r="K1210" i="95"/>
  <c r="L1209" i="95"/>
  <c r="K1209" i="95"/>
  <c r="L1208" i="95"/>
  <c r="K1208" i="95"/>
  <c r="L1207" i="95"/>
  <c r="K1207" i="95"/>
  <c r="L1206" i="95"/>
  <c r="K1206" i="95"/>
  <c r="L1205" i="95"/>
  <c r="K1205" i="95"/>
  <c r="L1204" i="95"/>
  <c r="K1204" i="95"/>
  <c r="L1203" i="95"/>
  <c r="K1203" i="95"/>
  <c r="L1202" i="95"/>
  <c r="K1202" i="95"/>
  <c r="L1201" i="95"/>
  <c r="K1201" i="95"/>
  <c r="L1200" i="95"/>
  <c r="K1200" i="95"/>
  <c r="L1199" i="95"/>
  <c r="K1199" i="95"/>
  <c r="L1198" i="95"/>
  <c r="K1198" i="95"/>
  <c r="L1197" i="95"/>
  <c r="K1197" i="95"/>
  <c r="L1196" i="95"/>
  <c r="K1196" i="95"/>
  <c r="L1195" i="95"/>
  <c r="K1195" i="95"/>
  <c r="L1194" i="95"/>
  <c r="K1194" i="95"/>
  <c r="L1193" i="95"/>
  <c r="K1193" i="95"/>
  <c r="L1192" i="95"/>
  <c r="K1192" i="95"/>
  <c r="L1191" i="95"/>
  <c r="K1191" i="95"/>
  <c r="L1190" i="95"/>
  <c r="K1190" i="95"/>
  <c r="L1189" i="95"/>
  <c r="K1189" i="95"/>
  <c r="L1188" i="95"/>
  <c r="K1188" i="95"/>
  <c r="L1187" i="95"/>
  <c r="K1187" i="95"/>
  <c r="L1186" i="95"/>
  <c r="K1186" i="95"/>
  <c r="L1185" i="95"/>
  <c r="K1185" i="95"/>
  <c r="L1184" i="95"/>
  <c r="K1184" i="95"/>
  <c r="L1183" i="95"/>
  <c r="K1183" i="95"/>
  <c r="L1182" i="95"/>
  <c r="K1182" i="95"/>
  <c r="L1181" i="95"/>
  <c r="K1181" i="95"/>
  <c r="L1180" i="95"/>
  <c r="K1180" i="95"/>
  <c r="L1179" i="95"/>
  <c r="K1179" i="95"/>
  <c r="L1178" i="95"/>
  <c r="K1178" i="95"/>
  <c r="L1177" i="95"/>
  <c r="K1177" i="95"/>
  <c r="L1176" i="95"/>
  <c r="K1176" i="95"/>
  <c r="L1175" i="95"/>
  <c r="K1175" i="95"/>
  <c r="L1174" i="95"/>
  <c r="K1174" i="95"/>
  <c r="L1173" i="95"/>
  <c r="K1173" i="95"/>
  <c r="L1172" i="95"/>
  <c r="K1172" i="95"/>
  <c r="L1171" i="95"/>
  <c r="K1171" i="95"/>
  <c r="L1170" i="95"/>
  <c r="K1170" i="95"/>
  <c r="L1169" i="95"/>
  <c r="K1169" i="95"/>
  <c r="L1168" i="95"/>
  <c r="K1168" i="95"/>
  <c r="L1167" i="95"/>
  <c r="K1167" i="95"/>
  <c r="L1166" i="95"/>
  <c r="K1166" i="95"/>
  <c r="L1165" i="95"/>
  <c r="K1165" i="95"/>
  <c r="L1164" i="95"/>
  <c r="K1164" i="95"/>
  <c r="L1163" i="95"/>
  <c r="K1163" i="95"/>
  <c r="L1162" i="95"/>
  <c r="K1162" i="95"/>
  <c r="L1161" i="95"/>
  <c r="K1161" i="95"/>
  <c r="L1160" i="95"/>
  <c r="K1160" i="95"/>
  <c r="L1159" i="95"/>
  <c r="K1159" i="95"/>
  <c r="L1158" i="95"/>
  <c r="K1158" i="95"/>
  <c r="L1157" i="95"/>
  <c r="K1157" i="95"/>
  <c r="L1156" i="95"/>
  <c r="K1156" i="95"/>
  <c r="L1155" i="95"/>
  <c r="K1155" i="95"/>
  <c r="L1154" i="95"/>
  <c r="K1154" i="95"/>
  <c r="L1153" i="95"/>
  <c r="K1153" i="95"/>
  <c r="L1152" i="95"/>
  <c r="K1152" i="95"/>
  <c r="L1151" i="95"/>
  <c r="K1151" i="95"/>
  <c r="L1150" i="95"/>
  <c r="K1150" i="95"/>
  <c r="L1149" i="95"/>
  <c r="K1149" i="95"/>
  <c r="L1148" i="95"/>
  <c r="K1148" i="95"/>
  <c r="L1147" i="95"/>
  <c r="K1147" i="95"/>
  <c r="L1146" i="95"/>
  <c r="K1146" i="95"/>
  <c r="L1145" i="95"/>
  <c r="K1145" i="95"/>
  <c r="L1144" i="95"/>
  <c r="K1144" i="95"/>
  <c r="L1143" i="95"/>
  <c r="K1143" i="95"/>
  <c r="L1142" i="95"/>
  <c r="K1142" i="95"/>
  <c r="L1141" i="95"/>
  <c r="K1141" i="95"/>
  <c r="L1140" i="95"/>
  <c r="K1140" i="95"/>
  <c r="L1139" i="95"/>
  <c r="K1139" i="95"/>
  <c r="L1138" i="95"/>
  <c r="K1138" i="95"/>
  <c r="L1137" i="95"/>
  <c r="K1137" i="95"/>
  <c r="L1136" i="95"/>
  <c r="K1136" i="95"/>
  <c r="L1135" i="95"/>
  <c r="K1135" i="95"/>
  <c r="L1134" i="95"/>
  <c r="K1134" i="95"/>
  <c r="L1133" i="95"/>
  <c r="K1133" i="95"/>
  <c r="L1132" i="95"/>
  <c r="K1132" i="95"/>
  <c r="L1131" i="95"/>
  <c r="K1131" i="95"/>
  <c r="L1130" i="95"/>
  <c r="K1130" i="95"/>
  <c r="L1129" i="95"/>
  <c r="K1129" i="95"/>
  <c r="L1128" i="95"/>
  <c r="K1128" i="95"/>
  <c r="L1127" i="95"/>
  <c r="K1127" i="95"/>
  <c r="L1126" i="95"/>
  <c r="K1126" i="95"/>
  <c r="L1125" i="95"/>
  <c r="K1125" i="95"/>
  <c r="L1124" i="95"/>
  <c r="K1124" i="95"/>
  <c r="L1123" i="95"/>
  <c r="K1123" i="95"/>
  <c r="L1122" i="95"/>
  <c r="K1122" i="95"/>
  <c r="L1121" i="95"/>
  <c r="K1121" i="95"/>
  <c r="L1120" i="95"/>
  <c r="K1120" i="95"/>
  <c r="L1119" i="95"/>
  <c r="K1119" i="95"/>
  <c r="L1118" i="95"/>
  <c r="K1118" i="95"/>
  <c r="L1117" i="95"/>
  <c r="K1117" i="95"/>
  <c r="L1116" i="95"/>
  <c r="K1116" i="95"/>
  <c r="L1115" i="95"/>
  <c r="K1115" i="95"/>
  <c r="L1114" i="95"/>
  <c r="K1114" i="95"/>
  <c r="L1113" i="95"/>
  <c r="K1113" i="95"/>
  <c r="L1112" i="95"/>
  <c r="K1112" i="95"/>
  <c r="L1111" i="95"/>
  <c r="K1111" i="95"/>
  <c r="L1110" i="95"/>
  <c r="K1110" i="95"/>
  <c r="L1109" i="95"/>
  <c r="K1109" i="95"/>
  <c r="L1108" i="95"/>
  <c r="K1108" i="95"/>
  <c r="L1107" i="95"/>
  <c r="K1107" i="95"/>
  <c r="L1106" i="95"/>
  <c r="K1106" i="95"/>
  <c r="L1105" i="95"/>
  <c r="K1105" i="95"/>
  <c r="L1104" i="95"/>
  <c r="K1104" i="95"/>
  <c r="L1103" i="95"/>
  <c r="K1103" i="95"/>
  <c r="L1102" i="95"/>
  <c r="K1102" i="95"/>
  <c r="L1101" i="95"/>
  <c r="K1101" i="95"/>
  <c r="L1100" i="95"/>
  <c r="K1100" i="95"/>
  <c r="L1099" i="95"/>
  <c r="K1099" i="95"/>
  <c r="L1098" i="95"/>
  <c r="K1098" i="95"/>
  <c r="L1097" i="95"/>
  <c r="K1097" i="95"/>
  <c r="L1096" i="95"/>
  <c r="K1096" i="95"/>
  <c r="L1095" i="95"/>
  <c r="K1095" i="95"/>
  <c r="L1094" i="95"/>
  <c r="K1094" i="95"/>
  <c r="L1093" i="95"/>
  <c r="K1093" i="95"/>
  <c r="L1092" i="95"/>
  <c r="K1092" i="95"/>
  <c r="L1091" i="95"/>
  <c r="K1091" i="95"/>
  <c r="L1090" i="95"/>
  <c r="K1090" i="95"/>
  <c r="L1089" i="95"/>
  <c r="K1089" i="95"/>
  <c r="L1088" i="95"/>
  <c r="K1088" i="95"/>
  <c r="L1087" i="95"/>
  <c r="K1087" i="95"/>
  <c r="L1086" i="95"/>
  <c r="K1086" i="95"/>
  <c r="L1085" i="95"/>
  <c r="K1085" i="95"/>
  <c r="L1084" i="95"/>
  <c r="K1084" i="95"/>
  <c r="L1083" i="95"/>
  <c r="K1083" i="95"/>
  <c r="L1082" i="95"/>
  <c r="K1082" i="95"/>
  <c r="L1081" i="95"/>
  <c r="K1081" i="95"/>
  <c r="L1080" i="95"/>
  <c r="K1080" i="95"/>
  <c r="L1079" i="95"/>
  <c r="K1079" i="95"/>
  <c r="L1078" i="95"/>
  <c r="K1078" i="95"/>
  <c r="L1077" i="95"/>
  <c r="K1077" i="95"/>
  <c r="L1076" i="95"/>
  <c r="K1076" i="95"/>
  <c r="L1075" i="95"/>
  <c r="K1075" i="95"/>
  <c r="L1074" i="95"/>
  <c r="K1074" i="95"/>
  <c r="L1073" i="95"/>
  <c r="K1073" i="95"/>
  <c r="L1072" i="95"/>
  <c r="K1072" i="95"/>
  <c r="L1071" i="95"/>
  <c r="K1071" i="95"/>
  <c r="L1070" i="95"/>
  <c r="K1070" i="95"/>
  <c r="L1069" i="95"/>
  <c r="K1069" i="95"/>
  <c r="L1068" i="95"/>
  <c r="K1068" i="95"/>
  <c r="L1067" i="95"/>
  <c r="K1067" i="95"/>
  <c r="L1066" i="95"/>
  <c r="K1066" i="95"/>
  <c r="L1065" i="95"/>
  <c r="K1065" i="95"/>
  <c r="L1064" i="95"/>
  <c r="K1064" i="95"/>
  <c r="L1063" i="95"/>
  <c r="K1063" i="95"/>
  <c r="L1062" i="95"/>
  <c r="K1062" i="95"/>
  <c r="L1061" i="95"/>
  <c r="K1061" i="95"/>
  <c r="L1060" i="95"/>
  <c r="K1060" i="95"/>
  <c r="L1059" i="95"/>
  <c r="K1059" i="95"/>
  <c r="L1058" i="95"/>
  <c r="K1058" i="95"/>
  <c r="L1057" i="95"/>
  <c r="K1057" i="95"/>
  <c r="L1056" i="95"/>
  <c r="K1056" i="95"/>
  <c r="L1055" i="95"/>
  <c r="K1055" i="95"/>
  <c r="L1054" i="95"/>
  <c r="K1054" i="95"/>
  <c r="L1053" i="95"/>
  <c r="K1053" i="95"/>
  <c r="L1052" i="95"/>
  <c r="K1052" i="95"/>
  <c r="L1051" i="95"/>
  <c r="K1051" i="95"/>
  <c r="L1050" i="95"/>
  <c r="K1050" i="95"/>
  <c r="L1049" i="95"/>
  <c r="K1049" i="95"/>
  <c r="L1048" i="95"/>
  <c r="K1048" i="95"/>
  <c r="L1047" i="95"/>
  <c r="K1047" i="95"/>
  <c r="L1046" i="95"/>
  <c r="K1046" i="95"/>
  <c r="L1045" i="95"/>
  <c r="K1045" i="95"/>
  <c r="L1044" i="95"/>
  <c r="K1044" i="95"/>
  <c r="L1043" i="95"/>
  <c r="K1043" i="95"/>
  <c r="L1042" i="95"/>
  <c r="K1042" i="95"/>
  <c r="L1041" i="95"/>
  <c r="K1041" i="95"/>
  <c r="L1040" i="95"/>
  <c r="K1040" i="95"/>
  <c r="L1039" i="95"/>
  <c r="K1039" i="95"/>
  <c r="L1038" i="95"/>
  <c r="K1038" i="95"/>
  <c r="L1037" i="95"/>
  <c r="K1037" i="95"/>
  <c r="L1036" i="95"/>
  <c r="K1036" i="95"/>
  <c r="L1035" i="95"/>
  <c r="K1035" i="95"/>
  <c r="L1034" i="95"/>
  <c r="K1034" i="95"/>
  <c r="L1033" i="95"/>
  <c r="K1033" i="95"/>
  <c r="L1032" i="95"/>
  <c r="K1032" i="95"/>
  <c r="L1031" i="95"/>
  <c r="K1031" i="95"/>
  <c r="L1030" i="95"/>
  <c r="K1030" i="95"/>
  <c r="L1029" i="95"/>
  <c r="K1029" i="95"/>
  <c r="L1028" i="95"/>
  <c r="K1028" i="95"/>
  <c r="L1027" i="95"/>
  <c r="K1027" i="95"/>
  <c r="L1026" i="95"/>
  <c r="K1026" i="95"/>
  <c r="L1025" i="95"/>
  <c r="K1025" i="95"/>
  <c r="L1024" i="95"/>
  <c r="K1024" i="95"/>
  <c r="L1023" i="95"/>
  <c r="K1023" i="95"/>
  <c r="L1022" i="95"/>
  <c r="K1022" i="95"/>
  <c r="L1021" i="95"/>
  <c r="K1021" i="95"/>
  <c r="L1020" i="95"/>
  <c r="K1020" i="95"/>
  <c r="L1019" i="95"/>
  <c r="K1019" i="95"/>
  <c r="L1018" i="95"/>
  <c r="K1018" i="95"/>
  <c r="L1017" i="95"/>
  <c r="K1017" i="95"/>
  <c r="L1016" i="95"/>
  <c r="K1016" i="95"/>
  <c r="L1015" i="95"/>
  <c r="K1015" i="95"/>
  <c r="L1014" i="95"/>
  <c r="K1014" i="95"/>
  <c r="L1013" i="95"/>
  <c r="K1013" i="95"/>
  <c r="L1012" i="95"/>
  <c r="K1012" i="95"/>
  <c r="L1011" i="95"/>
  <c r="K1011" i="95"/>
  <c r="L1010" i="95"/>
  <c r="K1010" i="95"/>
  <c r="L1009" i="95"/>
  <c r="K1009" i="95"/>
  <c r="L1008" i="95"/>
  <c r="K1008" i="95"/>
  <c r="L1007" i="95"/>
  <c r="K1007" i="95"/>
  <c r="L1006" i="95"/>
  <c r="K1006" i="95"/>
  <c r="L1005" i="95"/>
  <c r="K1005" i="95"/>
  <c r="L1004" i="95"/>
  <c r="K1004" i="95"/>
  <c r="L1003" i="95"/>
  <c r="K1003" i="95"/>
  <c r="L1002" i="95"/>
  <c r="K1002" i="95"/>
  <c r="L1001" i="95"/>
  <c r="K1001" i="95"/>
  <c r="L1000" i="95"/>
  <c r="K1000" i="95"/>
  <c r="L999" i="95"/>
  <c r="K999" i="95"/>
  <c r="L998" i="95"/>
  <c r="K998" i="95"/>
  <c r="L997" i="95"/>
  <c r="K997" i="95"/>
  <c r="L996" i="95"/>
  <c r="K996" i="95"/>
  <c r="L995" i="95"/>
  <c r="K995" i="95"/>
  <c r="L994" i="95"/>
  <c r="K994" i="95"/>
  <c r="L993" i="95"/>
  <c r="K993" i="95"/>
  <c r="L992" i="95"/>
  <c r="K992" i="95"/>
  <c r="L991" i="95"/>
  <c r="K991" i="95"/>
  <c r="L990" i="95"/>
  <c r="K990" i="95"/>
  <c r="L989" i="95"/>
  <c r="K989" i="95"/>
  <c r="L988" i="95"/>
  <c r="K988" i="95"/>
  <c r="L987" i="95"/>
  <c r="K987" i="95"/>
  <c r="L986" i="95"/>
  <c r="K986" i="95"/>
  <c r="L985" i="95"/>
  <c r="K985" i="95"/>
  <c r="L984" i="95"/>
  <c r="K984" i="95"/>
  <c r="L983" i="95"/>
  <c r="K983" i="95"/>
  <c r="L982" i="95"/>
  <c r="K982" i="95"/>
  <c r="L981" i="95"/>
  <c r="K981" i="95"/>
  <c r="L980" i="95"/>
  <c r="K980" i="95"/>
  <c r="L979" i="95"/>
  <c r="K979" i="95"/>
  <c r="L978" i="95"/>
  <c r="K978" i="95"/>
  <c r="L977" i="95"/>
  <c r="K977" i="95"/>
  <c r="L976" i="95"/>
  <c r="K976" i="95"/>
  <c r="L975" i="95"/>
  <c r="K975" i="95"/>
  <c r="L974" i="95"/>
  <c r="K974" i="95"/>
  <c r="L973" i="95"/>
  <c r="K973" i="95"/>
  <c r="L972" i="95"/>
  <c r="K972" i="95"/>
  <c r="L971" i="95"/>
  <c r="K971" i="95"/>
  <c r="L970" i="95"/>
  <c r="K970" i="95"/>
  <c r="L969" i="95"/>
  <c r="K969" i="95"/>
  <c r="L968" i="95"/>
  <c r="K968" i="95"/>
  <c r="L967" i="95"/>
  <c r="K967" i="95"/>
  <c r="L966" i="95"/>
  <c r="K966" i="95"/>
  <c r="L965" i="95"/>
  <c r="K965" i="95"/>
  <c r="L964" i="95"/>
  <c r="K964" i="95"/>
  <c r="L963" i="95"/>
  <c r="K963" i="95"/>
  <c r="L962" i="95"/>
  <c r="K962" i="95"/>
  <c r="L961" i="95"/>
  <c r="K961" i="95"/>
  <c r="L960" i="95"/>
  <c r="K960" i="95"/>
  <c r="L959" i="95"/>
  <c r="K959" i="95"/>
  <c r="L958" i="95"/>
  <c r="K958" i="95"/>
  <c r="L957" i="95"/>
  <c r="K957" i="95"/>
  <c r="L956" i="95"/>
  <c r="K956" i="95"/>
  <c r="L955" i="95"/>
  <c r="K955" i="95"/>
  <c r="L954" i="95"/>
  <c r="K954" i="95"/>
  <c r="L953" i="95"/>
  <c r="K953" i="95"/>
  <c r="L952" i="95"/>
  <c r="K952" i="95"/>
  <c r="L951" i="95"/>
  <c r="K951" i="95"/>
  <c r="L950" i="95"/>
  <c r="K950" i="95"/>
  <c r="L949" i="95"/>
  <c r="K949" i="95"/>
  <c r="L948" i="95"/>
  <c r="K948" i="95"/>
  <c r="L947" i="95"/>
  <c r="K947" i="95"/>
  <c r="L946" i="95"/>
  <c r="K946" i="95"/>
  <c r="L945" i="95"/>
  <c r="K945" i="95"/>
  <c r="L944" i="95"/>
  <c r="K944" i="95"/>
  <c r="L943" i="95"/>
  <c r="K943" i="95"/>
  <c r="L942" i="95"/>
  <c r="K942" i="95"/>
  <c r="L941" i="95"/>
  <c r="K941" i="95"/>
  <c r="L940" i="95"/>
  <c r="K940" i="95"/>
  <c r="L939" i="95"/>
  <c r="K939" i="95"/>
  <c r="L938" i="95"/>
  <c r="K938" i="95"/>
  <c r="L937" i="95"/>
  <c r="K937" i="95"/>
  <c r="L936" i="95"/>
  <c r="K936" i="95"/>
  <c r="L935" i="95"/>
  <c r="K935" i="95"/>
  <c r="L934" i="95"/>
  <c r="K934" i="95"/>
  <c r="L933" i="95"/>
  <c r="K933" i="95"/>
  <c r="L932" i="95"/>
  <c r="K932" i="95"/>
  <c r="L931" i="95"/>
  <c r="K931" i="95"/>
  <c r="L930" i="95"/>
  <c r="K930" i="95"/>
  <c r="L929" i="95"/>
  <c r="K929" i="95"/>
  <c r="L928" i="95"/>
  <c r="K928" i="95"/>
  <c r="L927" i="95"/>
  <c r="K927" i="95"/>
  <c r="L926" i="95"/>
  <c r="K926" i="95"/>
  <c r="L925" i="95"/>
  <c r="K925" i="95"/>
  <c r="L924" i="95"/>
  <c r="K924" i="95"/>
  <c r="L923" i="95"/>
  <c r="K923" i="95"/>
  <c r="L922" i="95"/>
  <c r="K922" i="95"/>
  <c r="L921" i="95"/>
  <c r="K921" i="95"/>
  <c r="L920" i="95"/>
  <c r="K920" i="95"/>
  <c r="L919" i="95"/>
  <c r="K919" i="95"/>
  <c r="L918" i="95"/>
  <c r="K918" i="95"/>
  <c r="L917" i="95"/>
  <c r="K917" i="95"/>
  <c r="L916" i="95"/>
  <c r="K916" i="95"/>
  <c r="L915" i="95"/>
  <c r="K915" i="95"/>
  <c r="L914" i="95"/>
  <c r="K914" i="95"/>
  <c r="L913" i="95"/>
  <c r="K913" i="95"/>
  <c r="L912" i="95"/>
  <c r="K912" i="95"/>
  <c r="L911" i="95"/>
  <c r="K911" i="95"/>
  <c r="L910" i="95"/>
  <c r="K910" i="95"/>
  <c r="L909" i="95"/>
  <c r="K909" i="95"/>
  <c r="L908" i="95"/>
  <c r="K908" i="95"/>
  <c r="L907" i="95"/>
  <c r="K907" i="95"/>
  <c r="L906" i="95"/>
  <c r="K906" i="95"/>
  <c r="L905" i="95"/>
  <c r="K905" i="95"/>
  <c r="L904" i="95"/>
  <c r="K904" i="95"/>
  <c r="L903" i="95"/>
  <c r="K903" i="95"/>
  <c r="L902" i="95"/>
  <c r="K902" i="95"/>
  <c r="L901" i="95"/>
  <c r="K901" i="95"/>
  <c r="L900" i="95"/>
  <c r="K900" i="95"/>
  <c r="L899" i="95"/>
  <c r="K899" i="95"/>
  <c r="L898" i="95"/>
  <c r="K898" i="95"/>
  <c r="L897" i="95"/>
  <c r="K897" i="95"/>
  <c r="L896" i="95"/>
  <c r="K896" i="95"/>
  <c r="L895" i="95"/>
  <c r="K895" i="95"/>
  <c r="L894" i="95"/>
  <c r="K894" i="95"/>
  <c r="L893" i="95"/>
  <c r="K893" i="95"/>
  <c r="L892" i="95"/>
  <c r="K892" i="95"/>
  <c r="L891" i="95"/>
  <c r="K891" i="95"/>
  <c r="L890" i="95"/>
  <c r="K890" i="95"/>
  <c r="L889" i="95"/>
  <c r="K889" i="95"/>
  <c r="L888" i="95"/>
  <c r="K888" i="95"/>
  <c r="L887" i="95"/>
  <c r="K887" i="95"/>
  <c r="L886" i="95"/>
  <c r="K886" i="95"/>
  <c r="L885" i="95"/>
  <c r="K885" i="95"/>
  <c r="L884" i="95"/>
  <c r="K884" i="95"/>
  <c r="L883" i="95"/>
  <c r="K883" i="95"/>
  <c r="L882" i="95"/>
  <c r="K882" i="95"/>
  <c r="L881" i="95"/>
  <c r="K881" i="95"/>
  <c r="L880" i="95"/>
  <c r="K880" i="95"/>
  <c r="L879" i="95"/>
  <c r="K879" i="95"/>
  <c r="L878" i="95"/>
  <c r="K878" i="95"/>
  <c r="L877" i="95"/>
  <c r="K877" i="95"/>
  <c r="L876" i="95"/>
  <c r="K876" i="95"/>
  <c r="L875" i="95"/>
  <c r="K875" i="95"/>
  <c r="L874" i="95"/>
  <c r="K874" i="95"/>
  <c r="L873" i="95"/>
  <c r="K873" i="95"/>
  <c r="L872" i="95"/>
  <c r="K872" i="95"/>
  <c r="L871" i="95"/>
  <c r="K871" i="95"/>
  <c r="L870" i="95"/>
  <c r="K870" i="95"/>
  <c r="L869" i="95"/>
  <c r="K869" i="95"/>
  <c r="L868" i="95"/>
  <c r="K868" i="95"/>
  <c r="L867" i="95"/>
  <c r="K867" i="95"/>
  <c r="L866" i="95"/>
  <c r="K866" i="95"/>
  <c r="L865" i="95"/>
  <c r="K865" i="95"/>
  <c r="L864" i="95"/>
  <c r="K864" i="95"/>
  <c r="L863" i="95"/>
  <c r="K863" i="95"/>
  <c r="L862" i="95"/>
  <c r="K862" i="95"/>
  <c r="L861" i="95"/>
  <c r="K861" i="95"/>
  <c r="L860" i="95"/>
  <c r="K860" i="95"/>
  <c r="L859" i="95"/>
  <c r="K859" i="95"/>
  <c r="L858" i="95"/>
  <c r="K858" i="95"/>
  <c r="L857" i="95"/>
  <c r="K857" i="95"/>
  <c r="L856" i="95"/>
  <c r="K856" i="95"/>
  <c r="L855" i="95"/>
  <c r="K855" i="95"/>
  <c r="L854" i="95"/>
  <c r="K854" i="95"/>
  <c r="L853" i="95"/>
  <c r="K853" i="95"/>
  <c r="L852" i="95"/>
  <c r="K852" i="95"/>
  <c r="L851" i="95"/>
  <c r="K851" i="95"/>
  <c r="L850" i="95"/>
  <c r="K850" i="95"/>
  <c r="L849" i="95"/>
  <c r="K849" i="95"/>
  <c r="L848" i="95"/>
  <c r="K848" i="95"/>
  <c r="L847" i="95"/>
  <c r="K847" i="95"/>
  <c r="L846" i="95"/>
  <c r="K846" i="95"/>
  <c r="L845" i="95"/>
  <c r="K845" i="95"/>
  <c r="L844" i="95"/>
  <c r="K844" i="95"/>
  <c r="L843" i="95"/>
  <c r="K843" i="95"/>
  <c r="L842" i="95"/>
  <c r="K842" i="95"/>
  <c r="L841" i="95"/>
  <c r="K841" i="95"/>
  <c r="L840" i="95"/>
  <c r="K840" i="95"/>
  <c r="L839" i="95"/>
  <c r="K839" i="95"/>
  <c r="L838" i="95"/>
  <c r="K838" i="95"/>
  <c r="L837" i="95"/>
  <c r="K837" i="95"/>
  <c r="L836" i="95"/>
  <c r="K836" i="95"/>
  <c r="L835" i="95"/>
  <c r="K835" i="95"/>
  <c r="L834" i="95"/>
  <c r="K834" i="95"/>
  <c r="L833" i="95"/>
  <c r="K833" i="95"/>
  <c r="L832" i="95"/>
  <c r="K832" i="95"/>
  <c r="L831" i="95"/>
  <c r="K831" i="95"/>
  <c r="L830" i="95"/>
  <c r="K830" i="95"/>
  <c r="L829" i="95"/>
  <c r="K829" i="95"/>
  <c r="L828" i="95"/>
  <c r="K828" i="95"/>
  <c r="L827" i="95"/>
  <c r="K827" i="95"/>
  <c r="L826" i="95"/>
  <c r="K826" i="95"/>
  <c r="L825" i="95"/>
  <c r="K825" i="95"/>
  <c r="L824" i="95"/>
  <c r="K824" i="95"/>
  <c r="L823" i="95"/>
  <c r="K823" i="95"/>
  <c r="L822" i="95"/>
  <c r="K822" i="95"/>
  <c r="L821" i="95"/>
  <c r="K821" i="95"/>
  <c r="L820" i="95"/>
  <c r="K820" i="95"/>
  <c r="L819" i="95"/>
  <c r="K819" i="95"/>
  <c r="L818" i="95"/>
  <c r="K818" i="95"/>
  <c r="L817" i="95"/>
  <c r="K817" i="95"/>
  <c r="L816" i="95"/>
  <c r="K816" i="95"/>
  <c r="L815" i="95"/>
  <c r="K815" i="95"/>
  <c r="L814" i="95"/>
  <c r="K814" i="95"/>
  <c r="L813" i="95"/>
  <c r="K813" i="95"/>
  <c r="L812" i="95"/>
  <c r="K812" i="95"/>
  <c r="L811" i="95"/>
  <c r="K811" i="95"/>
  <c r="L810" i="95"/>
  <c r="K810" i="95"/>
  <c r="L809" i="95"/>
  <c r="K809" i="95"/>
  <c r="L808" i="95"/>
  <c r="K808" i="95"/>
  <c r="L807" i="95"/>
  <c r="K807" i="95"/>
  <c r="L806" i="95"/>
  <c r="K806" i="95"/>
  <c r="L805" i="95"/>
  <c r="K805" i="95"/>
  <c r="L804" i="95"/>
  <c r="K804" i="95"/>
  <c r="L803" i="95"/>
  <c r="K803" i="95"/>
  <c r="L802" i="95"/>
  <c r="K802" i="95"/>
  <c r="L801" i="95"/>
  <c r="K801" i="95"/>
  <c r="L800" i="95"/>
  <c r="K800" i="95"/>
  <c r="L799" i="95"/>
  <c r="K799" i="95"/>
  <c r="L798" i="95"/>
  <c r="K798" i="95"/>
  <c r="L797" i="95"/>
  <c r="K797" i="95"/>
  <c r="L796" i="95"/>
  <c r="K796" i="95"/>
  <c r="L795" i="95"/>
  <c r="K795" i="95"/>
  <c r="L794" i="95"/>
  <c r="K794" i="95"/>
  <c r="L793" i="95"/>
  <c r="K793" i="95"/>
  <c r="L792" i="95"/>
  <c r="K792" i="95"/>
  <c r="L791" i="95"/>
  <c r="K791" i="95"/>
  <c r="L790" i="95"/>
  <c r="K790" i="95"/>
  <c r="L789" i="95"/>
  <c r="K789" i="95"/>
  <c r="L788" i="95"/>
  <c r="K788" i="95"/>
  <c r="L787" i="95"/>
  <c r="K787" i="95"/>
  <c r="L786" i="95"/>
  <c r="K786" i="95"/>
  <c r="L785" i="95"/>
  <c r="K785" i="95"/>
  <c r="L784" i="95"/>
  <c r="K784" i="95"/>
  <c r="L783" i="95"/>
  <c r="K783" i="95"/>
  <c r="L782" i="95"/>
  <c r="K782" i="95"/>
  <c r="L781" i="95"/>
  <c r="K781" i="95"/>
  <c r="L780" i="95"/>
  <c r="K780" i="95"/>
  <c r="L779" i="95"/>
  <c r="K779" i="95"/>
  <c r="L778" i="95"/>
  <c r="K778" i="95"/>
  <c r="L777" i="95"/>
  <c r="K777" i="95"/>
  <c r="L776" i="95"/>
  <c r="K776" i="95"/>
  <c r="L775" i="95"/>
  <c r="K775" i="95"/>
  <c r="L774" i="95"/>
  <c r="K774" i="95"/>
  <c r="L773" i="95"/>
  <c r="K773" i="95"/>
  <c r="L772" i="95"/>
  <c r="K772" i="95"/>
  <c r="L771" i="95"/>
  <c r="K771" i="95"/>
  <c r="L770" i="95"/>
  <c r="K770" i="95"/>
  <c r="L769" i="95"/>
  <c r="K769" i="95"/>
  <c r="L768" i="95"/>
  <c r="K768" i="95"/>
  <c r="L767" i="95"/>
  <c r="K767" i="95"/>
  <c r="L766" i="95"/>
  <c r="K766" i="95"/>
  <c r="L765" i="95"/>
  <c r="K765" i="95"/>
  <c r="L764" i="95"/>
  <c r="K764" i="95"/>
  <c r="L763" i="95"/>
  <c r="K763" i="95"/>
  <c r="L762" i="95"/>
  <c r="K762" i="95"/>
  <c r="L761" i="95"/>
  <c r="K761" i="95"/>
  <c r="L760" i="95"/>
  <c r="K760" i="95"/>
  <c r="L759" i="95"/>
  <c r="K759" i="95"/>
  <c r="L758" i="95"/>
  <c r="K758" i="95"/>
  <c r="L757" i="95"/>
  <c r="K757" i="95"/>
  <c r="L756" i="95"/>
  <c r="K756" i="95"/>
  <c r="L755" i="95"/>
  <c r="K755" i="95"/>
  <c r="L754" i="95"/>
  <c r="K754" i="95"/>
  <c r="L753" i="95"/>
  <c r="K753" i="95"/>
  <c r="L752" i="95"/>
  <c r="K752" i="95"/>
  <c r="L751" i="95"/>
  <c r="K751" i="95"/>
  <c r="L750" i="95"/>
  <c r="K750" i="95"/>
  <c r="L749" i="95"/>
  <c r="K749" i="95"/>
  <c r="L748" i="95"/>
  <c r="K748" i="95"/>
  <c r="L747" i="95"/>
  <c r="K747" i="95"/>
  <c r="L746" i="95"/>
  <c r="K746" i="95"/>
  <c r="L745" i="95"/>
  <c r="K745" i="95"/>
  <c r="L744" i="95"/>
  <c r="K744" i="95"/>
  <c r="L743" i="95"/>
  <c r="K743" i="95"/>
  <c r="L742" i="95"/>
  <c r="K742" i="95"/>
  <c r="L741" i="95"/>
  <c r="K741" i="95"/>
  <c r="L740" i="95"/>
  <c r="K740" i="95"/>
  <c r="L739" i="95"/>
  <c r="K739" i="95"/>
  <c r="L738" i="95"/>
  <c r="K738" i="95"/>
  <c r="L737" i="95"/>
  <c r="K737" i="95"/>
  <c r="L736" i="95"/>
  <c r="K736" i="95"/>
  <c r="L735" i="95"/>
  <c r="K735" i="95"/>
  <c r="L734" i="95"/>
  <c r="K734" i="95"/>
  <c r="L733" i="95"/>
  <c r="K733" i="95"/>
  <c r="L732" i="95"/>
  <c r="K732" i="95"/>
  <c r="L731" i="95"/>
  <c r="K731" i="95"/>
  <c r="L730" i="95"/>
  <c r="K730" i="95"/>
  <c r="L729" i="95"/>
  <c r="K729" i="95"/>
  <c r="L728" i="95"/>
  <c r="K728" i="95"/>
  <c r="L727" i="95"/>
  <c r="K727" i="95"/>
  <c r="L726" i="95"/>
  <c r="K726" i="95"/>
  <c r="L725" i="95"/>
  <c r="K725" i="95"/>
  <c r="L724" i="95"/>
  <c r="K724" i="95"/>
  <c r="L723" i="95"/>
  <c r="K723" i="95"/>
  <c r="L722" i="95"/>
  <c r="K722" i="95"/>
  <c r="L721" i="95"/>
  <c r="K721" i="95"/>
  <c r="L720" i="95"/>
  <c r="K720" i="95"/>
  <c r="L719" i="95"/>
  <c r="K719" i="95"/>
  <c r="L718" i="95"/>
  <c r="K718" i="95"/>
  <c r="L717" i="95"/>
  <c r="K717" i="95"/>
  <c r="L716" i="95"/>
  <c r="K716" i="95"/>
  <c r="L715" i="95"/>
  <c r="K715" i="95"/>
  <c r="L714" i="95"/>
  <c r="K714" i="95"/>
  <c r="L713" i="95"/>
  <c r="K713" i="95"/>
  <c r="L712" i="95"/>
  <c r="K712" i="95"/>
  <c r="L711" i="95"/>
  <c r="K711" i="95"/>
  <c r="L710" i="95"/>
  <c r="K710" i="95"/>
  <c r="L709" i="95"/>
  <c r="K709" i="95"/>
  <c r="L708" i="95"/>
  <c r="K708" i="95"/>
  <c r="L707" i="95"/>
  <c r="K707" i="95"/>
  <c r="L706" i="95"/>
  <c r="K706" i="95"/>
  <c r="L705" i="95"/>
  <c r="K705" i="95"/>
  <c r="L704" i="95"/>
  <c r="K704" i="95"/>
  <c r="L703" i="95"/>
  <c r="K703" i="95"/>
  <c r="L702" i="95"/>
  <c r="K702" i="95"/>
  <c r="L701" i="95"/>
  <c r="K701" i="95"/>
  <c r="L700" i="95"/>
  <c r="K700" i="95"/>
  <c r="L699" i="95"/>
  <c r="K699" i="95"/>
  <c r="L698" i="95"/>
  <c r="K698" i="95"/>
  <c r="L697" i="95"/>
  <c r="K697" i="95"/>
  <c r="L696" i="95"/>
  <c r="K696" i="95"/>
  <c r="L695" i="95"/>
  <c r="K695" i="95"/>
  <c r="L694" i="95"/>
  <c r="K694" i="95"/>
  <c r="L693" i="95"/>
  <c r="K693" i="95"/>
  <c r="L692" i="95"/>
  <c r="K692" i="95"/>
  <c r="L691" i="95"/>
  <c r="K691" i="95"/>
  <c r="L690" i="95"/>
  <c r="K690" i="95"/>
  <c r="L689" i="95"/>
  <c r="K689" i="95"/>
  <c r="L688" i="95"/>
  <c r="K688" i="95"/>
  <c r="L687" i="95"/>
  <c r="K687" i="95"/>
  <c r="L686" i="95"/>
  <c r="K686" i="95"/>
  <c r="L685" i="95"/>
  <c r="K685" i="95"/>
  <c r="L684" i="95"/>
  <c r="K684" i="95"/>
  <c r="L683" i="95"/>
  <c r="K683" i="95"/>
  <c r="L682" i="95"/>
  <c r="K682" i="95"/>
  <c r="L681" i="95"/>
  <c r="K681" i="95"/>
  <c r="L680" i="95"/>
  <c r="K680" i="95"/>
  <c r="L679" i="95"/>
  <c r="K679" i="95"/>
  <c r="L678" i="95"/>
  <c r="K678" i="95"/>
  <c r="L677" i="95"/>
  <c r="K677" i="95"/>
  <c r="L676" i="95"/>
  <c r="K676" i="95"/>
  <c r="L675" i="95"/>
  <c r="K675" i="95"/>
  <c r="L674" i="95"/>
  <c r="K674" i="95"/>
  <c r="L673" i="95"/>
  <c r="K673" i="95"/>
  <c r="L672" i="95"/>
  <c r="K672" i="95"/>
  <c r="L671" i="95"/>
  <c r="K671" i="95"/>
  <c r="L670" i="95"/>
  <c r="K670" i="95"/>
  <c r="L669" i="95"/>
  <c r="K669" i="95"/>
  <c r="L668" i="95"/>
  <c r="K668" i="95"/>
  <c r="L667" i="95"/>
  <c r="K667" i="95"/>
  <c r="L666" i="95"/>
  <c r="K666" i="95"/>
  <c r="L665" i="95"/>
  <c r="K665" i="95"/>
  <c r="L664" i="95"/>
  <c r="K664" i="95"/>
  <c r="L663" i="95"/>
  <c r="K663" i="95"/>
  <c r="L662" i="95"/>
  <c r="K662" i="95"/>
  <c r="L661" i="95"/>
  <c r="K661" i="95"/>
  <c r="L660" i="95"/>
  <c r="K660" i="95"/>
  <c r="L659" i="95"/>
  <c r="K659" i="95"/>
  <c r="L658" i="95"/>
  <c r="K658" i="95"/>
  <c r="L657" i="95"/>
  <c r="K657" i="95"/>
  <c r="L656" i="95"/>
  <c r="K656" i="95"/>
  <c r="L655" i="95"/>
  <c r="K655" i="95"/>
  <c r="L654" i="95"/>
  <c r="K654" i="95"/>
  <c r="L653" i="95"/>
  <c r="K653" i="95"/>
  <c r="L652" i="95"/>
  <c r="K652" i="95"/>
  <c r="L651" i="95"/>
  <c r="K651" i="95"/>
  <c r="L650" i="95"/>
  <c r="K650" i="95"/>
  <c r="L649" i="95"/>
  <c r="K649" i="95"/>
  <c r="L648" i="95"/>
  <c r="K648" i="95"/>
  <c r="L647" i="95"/>
  <c r="K647" i="95"/>
  <c r="L646" i="95"/>
  <c r="K646" i="95"/>
  <c r="L645" i="95"/>
  <c r="K645" i="95"/>
  <c r="L644" i="95"/>
  <c r="K644" i="95"/>
  <c r="L643" i="95"/>
  <c r="K643" i="95"/>
  <c r="L642" i="95"/>
  <c r="K642" i="95"/>
  <c r="L641" i="95"/>
  <c r="K641" i="95"/>
  <c r="L640" i="95"/>
  <c r="K640" i="95"/>
  <c r="L639" i="95"/>
  <c r="K639" i="95"/>
  <c r="L638" i="95"/>
  <c r="K638" i="95"/>
  <c r="L637" i="95"/>
  <c r="K637" i="95"/>
  <c r="L636" i="95"/>
  <c r="K636" i="95"/>
  <c r="L635" i="95"/>
  <c r="K635" i="95"/>
  <c r="L634" i="95"/>
  <c r="K634" i="95"/>
  <c r="L633" i="95"/>
  <c r="K633" i="95"/>
  <c r="L632" i="95"/>
  <c r="K632" i="95"/>
  <c r="L631" i="95"/>
  <c r="K631" i="95"/>
  <c r="L630" i="95"/>
  <c r="K630" i="95"/>
  <c r="L629" i="95"/>
  <c r="K629" i="95"/>
  <c r="L628" i="95"/>
  <c r="K628" i="95"/>
  <c r="L627" i="95"/>
  <c r="K627" i="95"/>
  <c r="L626" i="95"/>
  <c r="K626" i="95"/>
  <c r="L625" i="95"/>
  <c r="K625" i="95"/>
  <c r="L624" i="95"/>
  <c r="K624" i="95"/>
  <c r="L623" i="95"/>
  <c r="K623" i="95"/>
  <c r="L622" i="95"/>
  <c r="K622" i="95"/>
  <c r="L621" i="95"/>
  <c r="K621" i="95"/>
  <c r="L620" i="95"/>
  <c r="K620" i="95"/>
  <c r="L619" i="95"/>
  <c r="K619" i="95"/>
  <c r="L618" i="95"/>
  <c r="K618" i="95"/>
  <c r="L617" i="95"/>
  <c r="K617" i="95"/>
  <c r="L616" i="95"/>
  <c r="K616" i="95"/>
  <c r="L615" i="95"/>
  <c r="K615" i="95"/>
  <c r="L614" i="95"/>
  <c r="K614" i="95"/>
  <c r="L613" i="95"/>
  <c r="K613" i="95"/>
  <c r="L612" i="95"/>
  <c r="K612" i="95"/>
  <c r="L611" i="95"/>
  <c r="K611" i="95"/>
  <c r="L610" i="95"/>
  <c r="K610" i="95"/>
  <c r="L609" i="95"/>
  <c r="K609" i="95"/>
  <c r="L608" i="95"/>
  <c r="K608" i="95"/>
  <c r="L607" i="95"/>
  <c r="K607" i="95"/>
  <c r="L606" i="95"/>
  <c r="K606" i="95"/>
  <c r="L605" i="95"/>
  <c r="K605" i="95"/>
  <c r="L604" i="95"/>
  <c r="K604" i="95"/>
  <c r="L603" i="95"/>
  <c r="K603" i="95"/>
  <c r="L602" i="95"/>
  <c r="K602" i="95"/>
  <c r="L601" i="95"/>
  <c r="K601" i="95"/>
  <c r="L600" i="95"/>
  <c r="K600" i="95"/>
  <c r="L599" i="95"/>
  <c r="K599" i="95"/>
  <c r="L598" i="95"/>
  <c r="K598" i="95"/>
  <c r="L597" i="95"/>
  <c r="K597" i="95"/>
  <c r="L596" i="95"/>
  <c r="K596" i="95"/>
  <c r="L595" i="95"/>
  <c r="K595" i="95"/>
  <c r="L594" i="95"/>
  <c r="K594" i="95"/>
  <c r="L593" i="95"/>
  <c r="K593" i="95"/>
  <c r="L592" i="95"/>
  <c r="K592" i="95"/>
  <c r="L591" i="95"/>
  <c r="K591" i="95"/>
  <c r="L590" i="95"/>
  <c r="K590" i="95"/>
  <c r="L589" i="95"/>
  <c r="K589" i="95"/>
  <c r="L588" i="95"/>
  <c r="K588" i="95"/>
  <c r="L587" i="95"/>
  <c r="K587" i="95"/>
  <c r="L586" i="95"/>
  <c r="K586" i="95"/>
  <c r="L585" i="95"/>
  <c r="K585" i="95"/>
  <c r="L584" i="95"/>
  <c r="K584" i="95"/>
  <c r="L583" i="95"/>
  <c r="K583" i="95"/>
  <c r="L582" i="95"/>
  <c r="K582" i="95"/>
  <c r="L581" i="95"/>
  <c r="K581" i="95"/>
  <c r="L580" i="95"/>
  <c r="K580" i="95"/>
  <c r="L579" i="95"/>
  <c r="K579" i="95"/>
  <c r="L578" i="95"/>
  <c r="K578" i="95"/>
  <c r="L577" i="95"/>
  <c r="K577" i="95"/>
  <c r="L576" i="95"/>
  <c r="K576" i="95"/>
  <c r="L575" i="95"/>
  <c r="K575" i="95"/>
  <c r="L574" i="95"/>
  <c r="K574" i="95"/>
  <c r="L573" i="95"/>
  <c r="K573" i="95"/>
  <c r="L572" i="95"/>
  <c r="K572" i="95"/>
  <c r="L571" i="95"/>
  <c r="K571" i="95"/>
  <c r="L570" i="95"/>
  <c r="K570" i="95"/>
  <c r="L569" i="95"/>
  <c r="K569" i="95"/>
  <c r="L568" i="95"/>
  <c r="K568" i="95"/>
  <c r="L567" i="95"/>
  <c r="K567" i="95"/>
  <c r="L566" i="95"/>
  <c r="K566" i="95"/>
  <c r="L565" i="95"/>
  <c r="K565" i="95"/>
  <c r="L564" i="95"/>
  <c r="K564" i="95"/>
  <c r="L563" i="95"/>
  <c r="K563" i="95"/>
  <c r="L562" i="95"/>
  <c r="K562" i="95"/>
  <c r="L561" i="95"/>
  <c r="K561" i="95"/>
  <c r="L560" i="95"/>
  <c r="K560" i="95"/>
  <c r="L559" i="95"/>
  <c r="K559" i="95"/>
  <c r="L558" i="95"/>
  <c r="K558" i="95"/>
  <c r="L557" i="95"/>
  <c r="K557" i="95"/>
  <c r="L556" i="95"/>
  <c r="K556" i="95"/>
  <c r="L555" i="95"/>
  <c r="K555" i="95"/>
  <c r="L554" i="95"/>
  <c r="K554" i="95"/>
  <c r="L553" i="95"/>
  <c r="K553" i="95"/>
  <c r="L552" i="95"/>
  <c r="K552" i="95"/>
  <c r="L551" i="95"/>
  <c r="K551" i="95"/>
  <c r="L550" i="95"/>
  <c r="K550" i="95"/>
  <c r="L549" i="95"/>
  <c r="K549" i="95"/>
  <c r="L548" i="95"/>
  <c r="K548" i="95"/>
  <c r="L547" i="95"/>
  <c r="K547" i="95"/>
  <c r="L546" i="95"/>
  <c r="K546" i="95"/>
  <c r="L545" i="95"/>
  <c r="K545" i="95"/>
  <c r="L544" i="95"/>
  <c r="K544" i="95"/>
  <c r="L543" i="95"/>
  <c r="K543" i="95"/>
  <c r="L542" i="95"/>
  <c r="K542" i="95"/>
  <c r="L541" i="95"/>
  <c r="K541" i="95"/>
  <c r="L540" i="95"/>
  <c r="K540" i="95"/>
  <c r="L539" i="95"/>
  <c r="K539" i="95"/>
  <c r="L538" i="95"/>
  <c r="K538" i="95"/>
  <c r="L537" i="95"/>
  <c r="K537" i="95"/>
  <c r="L536" i="95"/>
  <c r="K536" i="95"/>
  <c r="L535" i="95"/>
  <c r="K535" i="95"/>
  <c r="L534" i="95"/>
  <c r="K534" i="95"/>
  <c r="L533" i="95"/>
  <c r="K533" i="95"/>
  <c r="L532" i="95"/>
  <c r="K532" i="95"/>
  <c r="L531" i="95"/>
  <c r="K531" i="95"/>
  <c r="L530" i="95"/>
  <c r="K530" i="95"/>
  <c r="L529" i="95"/>
  <c r="K529" i="95"/>
  <c r="L528" i="95"/>
  <c r="K528" i="95"/>
  <c r="L527" i="95"/>
  <c r="K527" i="95"/>
  <c r="L526" i="95"/>
  <c r="K526" i="95"/>
  <c r="L525" i="95"/>
  <c r="K525" i="95"/>
  <c r="L524" i="95"/>
  <c r="K524" i="95"/>
  <c r="L523" i="95"/>
  <c r="K523" i="95"/>
  <c r="L522" i="95"/>
  <c r="K522" i="95"/>
  <c r="L521" i="95"/>
  <c r="K521" i="95"/>
  <c r="L520" i="95"/>
  <c r="K520" i="95"/>
  <c r="L519" i="95"/>
  <c r="K519" i="95"/>
  <c r="L518" i="95"/>
  <c r="K518" i="95"/>
  <c r="L517" i="95"/>
  <c r="K517" i="95"/>
  <c r="L516" i="95"/>
  <c r="K516" i="95"/>
  <c r="L515" i="95"/>
  <c r="K515" i="95"/>
  <c r="L514" i="95"/>
  <c r="K514" i="95"/>
  <c r="L513" i="95"/>
  <c r="K513" i="95"/>
  <c r="L512" i="95"/>
  <c r="K512" i="95"/>
  <c r="L511" i="95"/>
  <c r="K511" i="95"/>
  <c r="L510" i="95"/>
  <c r="K510" i="95"/>
  <c r="L509" i="95"/>
  <c r="K509" i="95"/>
  <c r="L508" i="95"/>
  <c r="K508" i="95"/>
  <c r="L507" i="95"/>
  <c r="K507" i="95"/>
  <c r="L506" i="95"/>
  <c r="K506" i="95"/>
  <c r="L505" i="95"/>
  <c r="K505" i="95"/>
  <c r="L504" i="95"/>
  <c r="K504" i="95"/>
  <c r="L503" i="95"/>
  <c r="K503" i="95"/>
  <c r="L502" i="95"/>
  <c r="K502" i="95"/>
  <c r="L501" i="95"/>
  <c r="K501" i="95"/>
  <c r="L500" i="95"/>
  <c r="K500" i="95"/>
  <c r="L499" i="95"/>
  <c r="K499" i="95"/>
  <c r="L498" i="95"/>
  <c r="K498" i="95"/>
  <c r="L497" i="95"/>
  <c r="K497" i="95"/>
  <c r="L496" i="95"/>
  <c r="K496" i="95"/>
  <c r="L495" i="95"/>
  <c r="K495" i="95"/>
  <c r="L494" i="95"/>
  <c r="K494" i="95"/>
  <c r="L493" i="95"/>
  <c r="K493" i="95"/>
  <c r="L492" i="95"/>
  <c r="K492" i="95"/>
  <c r="L491" i="95"/>
  <c r="K491" i="95"/>
  <c r="L490" i="95"/>
  <c r="K490" i="95"/>
  <c r="L489" i="95"/>
  <c r="K489" i="95"/>
  <c r="L488" i="95"/>
  <c r="K488" i="95"/>
  <c r="L487" i="95"/>
  <c r="K487" i="95"/>
  <c r="L486" i="95"/>
  <c r="K486" i="95"/>
  <c r="L485" i="95"/>
  <c r="K485" i="95"/>
  <c r="L484" i="95"/>
  <c r="K484" i="95"/>
  <c r="L483" i="95"/>
  <c r="K483" i="95"/>
  <c r="L482" i="95"/>
  <c r="K482" i="95"/>
  <c r="L481" i="95"/>
  <c r="K481" i="95"/>
  <c r="L480" i="95"/>
  <c r="K480" i="95"/>
  <c r="L479" i="95"/>
  <c r="K479" i="95"/>
  <c r="L478" i="95"/>
  <c r="K478" i="95"/>
  <c r="L477" i="95"/>
  <c r="K477" i="95"/>
  <c r="L476" i="95"/>
  <c r="K476" i="95"/>
  <c r="L475" i="95"/>
  <c r="K475" i="95"/>
  <c r="L474" i="95"/>
  <c r="K474" i="95"/>
  <c r="L473" i="95"/>
  <c r="K473" i="95"/>
  <c r="L472" i="95"/>
  <c r="K472" i="95"/>
  <c r="L471" i="95"/>
  <c r="K471" i="95"/>
  <c r="L470" i="95"/>
  <c r="K470" i="95"/>
  <c r="L469" i="95"/>
  <c r="K469" i="95"/>
  <c r="L468" i="95"/>
  <c r="K468" i="95"/>
  <c r="L467" i="95"/>
  <c r="K467" i="95"/>
  <c r="L466" i="95"/>
  <c r="K466" i="95"/>
  <c r="L465" i="95"/>
  <c r="K465" i="95"/>
  <c r="L464" i="95"/>
  <c r="K464" i="95"/>
  <c r="L463" i="95"/>
  <c r="K463" i="95"/>
  <c r="L462" i="95"/>
  <c r="K462" i="95"/>
  <c r="L461" i="95"/>
  <c r="K461" i="95"/>
  <c r="L460" i="95"/>
  <c r="K460" i="95"/>
  <c r="L459" i="95"/>
  <c r="K459" i="95"/>
  <c r="L458" i="95"/>
  <c r="K458" i="95"/>
  <c r="L457" i="95"/>
  <c r="K457" i="95"/>
  <c r="L456" i="95"/>
  <c r="K456" i="95"/>
  <c r="L455" i="95"/>
  <c r="K455" i="95"/>
  <c r="L454" i="95"/>
  <c r="K454" i="95"/>
  <c r="L453" i="95"/>
  <c r="K453" i="95"/>
  <c r="L452" i="95"/>
  <c r="K452" i="95"/>
  <c r="L451" i="95"/>
  <c r="K451" i="95"/>
  <c r="L450" i="95"/>
  <c r="K450" i="95"/>
  <c r="L449" i="95"/>
  <c r="K449" i="95"/>
  <c r="L448" i="95"/>
  <c r="K448" i="95"/>
  <c r="L447" i="95"/>
  <c r="K447" i="95"/>
  <c r="L446" i="95"/>
  <c r="K446" i="95"/>
  <c r="L445" i="95"/>
  <c r="K445" i="95"/>
  <c r="L444" i="95"/>
  <c r="K444" i="95"/>
  <c r="L443" i="95"/>
  <c r="K443" i="95"/>
  <c r="L442" i="95"/>
  <c r="K442" i="95"/>
  <c r="L441" i="95"/>
  <c r="K441" i="95"/>
  <c r="L440" i="95"/>
  <c r="K440" i="95"/>
  <c r="L439" i="95"/>
  <c r="K439" i="95"/>
  <c r="L438" i="95"/>
  <c r="K438" i="95"/>
  <c r="L437" i="95"/>
  <c r="K437" i="95"/>
  <c r="L436" i="95"/>
  <c r="K436" i="95"/>
  <c r="L435" i="95"/>
  <c r="K435" i="95"/>
  <c r="L434" i="95"/>
  <c r="K434" i="95"/>
  <c r="L433" i="95"/>
  <c r="K433" i="95"/>
  <c r="L432" i="95"/>
  <c r="K432" i="95"/>
  <c r="L431" i="95"/>
  <c r="K431" i="95"/>
  <c r="L430" i="95"/>
  <c r="K430" i="95"/>
  <c r="L429" i="95"/>
  <c r="K429" i="95"/>
  <c r="L428" i="95"/>
  <c r="K428" i="95"/>
  <c r="L427" i="95"/>
  <c r="K427" i="95"/>
  <c r="L426" i="95"/>
  <c r="K426" i="95"/>
  <c r="L425" i="95"/>
  <c r="K425" i="95"/>
  <c r="L424" i="95"/>
  <c r="K424" i="95"/>
  <c r="L423" i="95"/>
  <c r="K423" i="95"/>
  <c r="L422" i="95"/>
  <c r="K422" i="95"/>
  <c r="L421" i="95"/>
  <c r="K421" i="95"/>
  <c r="L420" i="95"/>
  <c r="K420" i="95"/>
  <c r="L419" i="95"/>
  <c r="K419" i="95"/>
  <c r="L418" i="95"/>
  <c r="K418" i="95"/>
  <c r="L417" i="95"/>
  <c r="K417" i="95"/>
  <c r="L416" i="95"/>
  <c r="K416" i="95"/>
  <c r="L415" i="95"/>
  <c r="K415" i="95"/>
  <c r="L414" i="95"/>
  <c r="K414" i="95"/>
  <c r="L413" i="95"/>
  <c r="K413" i="95"/>
  <c r="L412" i="95"/>
  <c r="K412" i="95"/>
  <c r="L411" i="95"/>
  <c r="K411" i="95"/>
  <c r="L410" i="95"/>
  <c r="K410" i="95"/>
  <c r="L409" i="95"/>
  <c r="K409" i="95"/>
  <c r="L408" i="95"/>
  <c r="K408" i="95"/>
  <c r="L407" i="95"/>
  <c r="K407" i="95"/>
  <c r="L406" i="95"/>
  <c r="K406" i="95"/>
  <c r="L405" i="95"/>
  <c r="K405" i="95"/>
  <c r="L404" i="95"/>
  <c r="K404" i="95"/>
  <c r="L403" i="95"/>
  <c r="K403" i="95"/>
  <c r="L402" i="95"/>
  <c r="K402" i="95"/>
  <c r="L401" i="95"/>
  <c r="K401" i="95"/>
  <c r="L400" i="95"/>
  <c r="K400" i="95"/>
  <c r="L399" i="95"/>
  <c r="K399" i="95"/>
  <c r="L398" i="95"/>
  <c r="K398" i="95"/>
  <c r="L397" i="95"/>
  <c r="K397" i="95"/>
  <c r="L396" i="95"/>
  <c r="K396" i="95"/>
  <c r="L395" i="95"/>
  <c r="K395" i="95"/>
  <c r="L394" i="95"/>
  <c r="K394" i="95"/>
  <c r="L393" i="95"/>
  <c r="K393" i="95"/>
  <c r="L392" i="95"/>
  <c r="K392" i="95"/>
  <c r="L391" i="95"/>
  <c r="K391" i="95"/>
  <c r="L390" i="95"/>
  <c r="K390" i="95"/>
  <c r="L389" i="95"/>
  <c r="K389" i="95"/>
  <c r="L388" i="95"/>
  <c r="K388" i="95"/>
  <c r="L387" i="95"/>
  <c r="K387" i="95"/>
  <c r="L386" i="95"/>
  <c r="K386" i="95"/>
  <c r="L385" i="95"/>
  <c r="K385" i="95"/>
  <c r="L384" i="95"/>
  <c r="K384" i="95"/>
  <c r="L383" i="95"/>
  <c r="K383" i="95"/>
  <c r="L382" i="95"/>
  <c r="K382" i="95"/>
  <c r="L381" i="95"/>
  <c r="K381" i="95"/>
  <c r="L380" i="95"/>
  <c r="K380" i="95"/>
  <c r="L379" i="95"/>
  <c r="K379" i="95"/>
  <c r="L378" i="95"/>
  <c r="K378" i="95"/>
  <c r="L377" i="95"/>
  <c r="K377" i="95"/>
  <c r="L376" i="95"/>
  <c r="K376" i="95"/>
  <c r="L375" i="95"/>
  <c r="K375" i="95"/>
  <c r="L374" i="95"/>
  <c r="K374" i="95"/>
  <c r="L373" i="95"/>
  <c r="K373" i="95"/>
  <c r="L372" i="95"/>
  <c r="K372" i="95"/>
  <c r="L371" i="95"/>
  <c r="K371" i="95"/>
  <c r="L370" i="95"/>
  <c r="K370" i="95"/>
  <c r="L369" i="95"/>
  <c r="K369" i="95"/>
  <c r="L368" i="95"/>
  <c r="K368" i="95"/>
  <c r="L367" i="95"/>
  <c r="K367" i="95"/>
  <c r="L366" i="95"/>
  <c r="K366" i="95"/>
  <c r="L365" i="95"/>
  <c r="K365" i="95"/>
  <c r="L364" i="95"/>
  <c r="K364" i="95"/>
  <c r="L363" i="95"/>
  <c r="K363" i="95"/>
  <c r="L362" i="95"/>
  <c r="K362" i="95"/>
  <c r="L361" i="95"/>
  <c r="K361" i="95"/>
  <c r="L360" i="95"/>
  <c r="K360" i="95"/>
  <c r="L359" i="95"/>
  <c r="K359" i="95"/>
  <c r="L358" i="95"/>
  <c r="K358" i="95"/>
  <c r="L357" i="95"/>
  <c r="K357" i="95"/>
  <c r="L356" i="95"/>
  <c r="K356" i="95"/>
  <c r="L355" i="95"/>
  <c r="K355" i="95"/>
  <c r="L354" i="95"/>
  <c r="K354" i="95"/>
  <c r="L353" i="95"/>
  <c r="K353" i="95"/>
  <c r="L352" i="95"/>
  <c r="K352" i="95"/>
  <c r="L351" i="95"/>
  <c r="K351" i="95"/>
  <c r="L350" i="95"/>
  <c r="K350" i="95"/>
  <c r="L349" i="95"/>
  <c r="K349" i="95"/>
  <c r="L348" i="95"/>
  <c r="K348" i="95"/>
  <c r="L347" i="95"/>
  <c r="K347" i="95"/>
  <c r="L346" i="95"/>
  <c r="K346" i="95"/>
  <c r="L345" i="95"/>
  <c r="K345" i="95"/>
  <c r="L344" i="95"/>
  <c r="K344" i="95"/>
  <c r="L343" i="95"/>
  <c r="K343" i="95"/>
  <c r="L342" i="95"/>
  <c r="K342" i="95"/>
  <c r="L341" i="95"/>
  <c r="K341" i="95"/>
  <c r="L340" i="95"/>
  <c r="K340" i="95"/>
  <c r="L339" i="95"/>
  <c r="K339" i="95"/>
  <c r="L338" i="95"/>
  <c r="K338" i="95"/>
  <c r="L337" i="95"/>
  <c r="K337" i="95"/>
  <c r="L336" i="95"/>
  <c r="K336" i="95"/>
  <c r="L335" i="95"/>
  <c r="K335" i="95"/>
  <c r="L334" i="95"/>
  <c r="K334" i="95"/>
  <c r="L333" i="95"/>
  <c r="K333" i="95"/>
  <c r="L332" i="95"/>
  <c r="K332" i="95"/>
  <c r="L331" i="95"/>
  <c r="K331" i="95"/>
  <c r="L330" i="95"/>
  <c r="K330" i="95"/>
  <c r="L329" i="95"/>
  <c r="K329" i="95"/>
  <c r="L328" i="95"/>
  <c r="K328" i="95"/>
  <c r="L327" i="95"/>
  <c r="K327" i="95"/>
  <c r="L326" i="95"/>
  <c r="K326" i="95"/>
  <c r="L325" i="95"/>
  <c r="K325" i="95"/>
  <c r="L324" i="95"/>
  <c r="K324" i="95"/>
  <c r="L323" i="95"/>
  <c r="K323" i="95"/>
  <c r="L322" i="95"/>
  <c r="K322" i="95"/>
  <c r="L321" i="95"/>
  <c r="K321" i="95"/>
  <c r="L320" i="95"/>
  <c r="K320" i="95"/>
  <c r="L319" i="95"/>
  <c r="K319" i="95"/>
  <c r="L318" i="95"/>
  <c r="K318" i="95"/>
  <c r="L317" i="95"/>
  <c r="K317" i="95"/>
  <c r="L316" i="95"/>
  <c r="K316" i="95"/>
  <c r="L315" i="95"/>
  <c r="K315" i="95"/>
  <c r="L314" i="95"/>
  <c r="K314" i="95"/>
  <c r="L313" i="95"/>
  <c r="K313" i="95"/>
  <c r="L312" i="95"/>
  <c r="K312" i="95"/>
  <c r="L311" i="95"/>
  <c r="K311" i="95"/>
  <c r="L310" i="95"/>
  <c r="K310" i="95"/>
  <c r="L309" i="95"/>
  <c r="K309" i="95"/>
  <c r="L308" i="95"/>
  <c r="K308" i="95"/>
  <c r="L307" i="95"/>
  <c r="K307" i="95"/>
  <c r="L306" i="95"/>
  <c r="K306" i="95"/>
  <c r="L305" i="95"/>
  <c r="K305" i="95"/>
  <c r="L304" i="95"/>
  <c r="K304" i="95"/>
  <c r="L303" i="95"/>
  <c r="K303" i="95"/>
  <c r="L302" i="95"/>
  <c r="K302" i="95"/>
  <c r="L301" i="95"/>
  <c r="K301" i="95"/>
  <c r="L300" i="95"/>
  <c r="K300" i="95"/>
  <c r="L299" i="95"/>
  <c r="K299" i="95"/>
  <c r="L298" i="95"/>
  <c r="K298" i="95"/>
  <c r="L297" i="95"/>
  <c r="K297" i="95"/>
  <c r="L296" i="95"/>
  <c r="K296" i="95"/>
  <c r="L295" i="95"/>
  <c r="K295" i="95"/>
  <c r="L294" i="95"/>
  <c r="K294" i="95"/>
  <c r="L293" i="95"/>
  <c r="K293" i="95"/>
  <c r="L292" i="95"/>
  <c r="K292" i="95"/>
  <c r="L291" i="95"/>
  <c r="K291" i="95"/>
  <c r="L290" i="95"/>
  <c r="K290" i="95"/>
  <c r="L289" i="95"/>
  <c r="K289" i="95"/>
  <c r="L288" i="95"/>
  <c r="K288" i="95"/>
  <c r="L287" i="95"/>
  <c r="K287" i="95"/>
  <c r="L286" i="95"/>
  <c r="K286" i="95"/>
  <c r="L285" i="95"/>
  <c r="K285" i="95"/>
  <c r="L284" i="95"/>
  <c r="K284" i="95"/>
  <c r="L283" i="95"/>
  <c r="K283" i="95"/>
  <c r="L282" i="95"/>
  <c r="K282" i="95"/>
  <c r="L281" i="95"/>
  <c r="K281" i="95"/>
  <c r="L280" i="95"/>
  <c r="K280" i="95"/>
  <c r="L279" i="95"/>
  <c r="K279" i="95"/>
  <c r="L278" i="95"/>
  <c r="K278" i="95"/>
  <c r="L277" i="95"/>
  <c r="K277" i="95"/>
  <c r="L276" i="95"/>
  <c r="K276" i="95"/>
  <c r="L275" i="95"/>
  <c r="K275" i="95"/>
  <c r="L274" i="95"/>
  <c r="K274" i="95"/>
  <c r="L273" i="95"/>
  <c r="K273" i="95"/>
  <c r="L272" i="95"/>
  <c r="K272" i="95"/>
  <c r="L271" i="95"/>
  <c r="K271" i="95"/>
  <c r="L270" i="95"/>
  <c r="K270" i="95"/>
  <c r="L269" i="95"/>
  <c r="K269" i="95"/>
  <c r="L268" i="95"/>
  <c r="K268" i="95"/>
  <c r="L267" i="95"/>
  <c r="K267" i="95"/>
  <c r="L266" i="95"/>
  <c r="K266" i="95"/>
  <c r="L265" i="95"/>
  <c r="K265" i="95"/>
  <c r="L264" i="95"/>
  <c r="K264" i="95"/>
  <c r="L263" i="95"/>
  <c r="K263" i="95"/>
  <c r="L262" i="95"/>
  <c r="K262" i="95"/>
  <c r="L261" i="95"/>
  <c r="K261" i="95"/>
  <c r="L260" i="95"/>
  <c r="K260" i="95"/>
  <c r="L259" i="95"/>
  <c r="K259" i="95"/>
  <c r="L258" i="95"/>
  <c r="K258" i="95"/>
  <c r="L257" i="95"/>
  <c r="K257" i="95"/>
  <c r="L256" i="95"/>
  <c r="K256" i="95"/>
  <c r="L255" i="95"/>
  <c r="K255" i="95"/>
  <c r="L254" i="95"/>
  <c r="K254" i="95"/>
  <c r="L253" i="95"/>
  <c r="K253" i="95"/>
  <c r="L252" i="95"/>
  <c r="K252" i="95"/>
  <c r="L251" i="95"/>
  <c r="K251" i="95"/>
  <c r="L250" i="95"/>
  <c r="K250" i="95"/>
  <c r="L249" i="95"/>
  <c r="K249" i="95"/>
  <c r="L248" i="95"/>
  <c r="K248" i="95"/>
  <c r="L247" i="95"/>
  <c r="K247" i="95"/>
  <c r="L246" i="95"/>
  <c r="K246" i="95"/>
  <c r="L245" i="95"/>
  <c r="K245" i="95"/>
  <c r="L244" i="95"/>
  <c r="K244" i="95"/>
  <c r="L243" i="95"/>
  <c r="K243" i="95"/>
  <c r="L242" i="95"/>
  <c r="K242" i="95"/>
  <c r="L241" i="95"/>
  <c r="K241" i="95"/>
  <c r="L240" i="95"/>
  <c r="K240" i="95"/>
  <c r="L239" i="95"/>
  <c r="K239" i="95"/>
  <c r="L238" i="95"/>
  <c r="K238" i="95"/>
  <c r="L237" i="95"/>
  <c r="K237" i="95"/>
  <c r="L236" i="95"/>
  <c r="K236" i="95"/>
  <c r="L235" i="95"/>
  <c r="K235" i="95"/>
  <c r="L234" i="95"/>
  <c r="K234" i="95"/>
  <c r="L233" i="95"/>
  <c r="K233" i="95"/>
  <c r="L232" i="95"/>
  <c r="K232" i="95"/>
  <c r="L231" i="95"/>
  <c r="K231" i="95"/>
  <c r="L230" i="95"/>
  <c r="K230" i="95"/>
  <c r="L229" i="95"/>
  <c r="K229" i="95"/>
  <c r="L228" i="95"/>
  <c r="K228" i="95"/>
  <c r="L227" i="95"/>
  <c r="K227" i="95"/>
  <c r="L226" i="95"/>
  <c r="K226" i="95"/>
  <c r="L225" i="95"/>
  <c r="K225" i="95"/>
  <c r="L224" i="95"/>
  <c r="K224" i="95"/>
  <c r="L223" i="95"/>
  <c r="K223" i="95"/>
  <c r="L222" i="95"/>
  <c r="K222" i="95"/>
  <c r="L221" i="95"/>
  <c r="K221" i="95"/>
  <c r="L220" i="95"/>
  <c r="K220" i="95"/>
  <c r="L219" i="95"/>
  <c r="K219" i="95"/>
  <c r="L218" i="95"/>
  <c r="K218" i="95"/>
  <c r="L217" i="95"/>
  <c r="K217" i="95"/>
  <c r="L216" i="95"/>
  <c r="K216" i="95"/>
  <c r="L215" i="95"/>
  <c r="K215" i="95"/>
  <c r="L214" i="95"/>
  <c r="K214" i="95"/>
  <c r="L213" i="95"/>
  <c r="K213" i="95"/>
  <c r="L212" i="95"/>
  <c r="K212" i="95"/>
  <c r="L211" i="95"/>
  <c r="K211" i="95"/>
  <c r="L210" i="95"/>
  <c r="K210" i="95"/>
  <c r="L209" i="95"/>
  <c r="K209" i="95"/>
  <c r="L208" i="95"/>
  <c r="K208" i="95"/>
  <c r="L207" i="95"/>
  <c r="K207" i="95"/>
  <c r="L206" i="95"/>
  <c r="K206" i="95"/>
  <c r="L205" i="95"/>
  <c r="K205" i="95"/>
  <c r="L204" i="95"/>
  <c r="K204" i="95"/>
  <c r="L203" i="95"/>
  <c r="K203" i="95"/>
  <c r="L202" i="95"/>
  <c r="K202" i="95"/>
  <c r="L201" i="95"/>
  <c r="K201" i="95"/>
  <c r="L200" i="95"/>
  <c r="K200" i="95"/>
  <c r="L199" i="95"/>
  <c r="K199" i="95"/>
  <c r="L198" i="95"/>
  <c r="K198" i="95"/>
  <c r="L197" i="95"/>
  <c r="K197" i="95"/>
  <c r="L196" i="95"/>
  <c r="K196" i="95"/>
  <c r="L195" i="95"/>
  <c r="K195" i="95"/>
  <c r="L194" i="95"/>
  <c r="K194" i="95"/>
  <c r="L193" i="95"/>
  <c r="K193" i="95"/>
  <c r="L192" i="95"/>
  <c r="K192" i="95"/>
  <c r="L191" i="95"/>
  <c r="K191" i="95"/>
  <c r="L190" i="95"/>
  <c r="K190" i="95"/>
  <c r="L189" i="95"/>
  <c r="K189" i="95"/>
  <c r="L188" i="95"/>
  <c r="K188" i="95"/>
  <c r="L187" i="95"/>
  <c r="K187" i="95"/>
  <c r="L186" i="95"/>
  <c r="K186" i="95"/>
  <c r="L185" i="95"/>
  <c r="K185" i="95"/>
  <c r="L184" i="95"/>
  <c r="K184" i="95"/>
  <c r="L183" i="95"/>
  <c r="K183" i="95"/>
  <c r="L182" i="95"/>
  <c r="K182" i="95"/>
  <c r="L181" i="95"/>
  <c r="K181" i="95"/>
  <c r="L180" i="95"/>
  <c r="K180" i="95"/>
  <c r="L179" i="95"/>
  <c r="K179" i="95"/>
  <c r="L178" i="95"/>
  <c r="K178" i="95"/>
  <c r="L177" i="95"/>
  <c r="K177" i="95"/>
  <c r="L176" i="95"/>
  <c r="K176" i="95"/>
  <c r="L175" i="95"/>
  <c r="K175" i="95"/>
  <c r="L174" i="95"/>
  <c r="K174" i="95"/>
  <c r="L173" i="95"/>
  <c r="K173" i="95"/>
  <c r="L172" i="95"/>
  <c r="K172" i="95"/>
  <c r="L171" i="95"/>
  <c r="K171" i="95"/>
  <c r="L170" i="95"/>
  <c r="K170" i="95"/>
  <c r="L169" i="95"/>
  <c r="K169" i="95"/>
  <c r="L168" i="95"/>
  <c r="K168" i="95"/>
  <c r="L167" i="95"/>
  <c r="K167" i="95"/>
  <c r="L166" i="95"/>
  <c r="K166" i="95"/>
  <c r="L165" i="95"/>
  <c r="K165" i="95"/>
  <c r="L164" i="95"/>
  <c r="K164" i="95"/>
  <c r="L163" i="95"/>
  <c r="K163" i="95"/>
  <c r="L162" i="95"/>
  <c r="K162" i="95"/>
  <c r="L161" i="95"/>
  <c r="K161" i="95"/>
  <c r="L160" i="95"/>
  <c r="K160" i="95"/>
  <c r="L159" i="95"/>
  <c r="K159" i="95"/>
  <c r="L158" i="95"/>
  <c r="K158" i="95"/>
  <c r="L157" i="95"/>
  <c r="K157" i="95"/>
  <c r="L156" i="95"/>
  <c r="K156" i="95"/>
  <c r="L155" i="95"/>
  <c r="K155" i="95"/>
  <c r="L154" i="95"/>
  <c r="K154" i="95"/>
  <c r="L153" i="95"/>
  <c r="K153" i="95"/>
  <c r="L152" i="95"/>
  <c r="K152" i="95"/>
  <c r="L151" i="95"/>
  <c r="K151" i="95"/>
  <c r="L150" i="95"/>
  <c r="K150" i="95"/>
  <c r="L149" i="95"/>
  <c r="K149" i="95"/>
  <c r="L148" i="95"/>
  <c r="K148" i="95"/>
  <c r="M140" i="95"/>
  <c r="M141" i="95" s="1"/>
  <c r="M143" i="95" s="1"/>
  <c r="M145" i="95" l="1"/>
  <c r="N143" i="95"/>
  <c r="M144" i="95"/>
  <c r="H62" i="77"/>
  <c r="N517" i="95" l="1"/>
  <c r="P21" i="98"/>
  <c r="O21" i="98"/>
  <c r="N21" i="98"/>
  <c r="M21" i="98"/>
  <c r="L21" i="98"/>
  <c r="K21" i="98"/>
  <c r="N1223" i="95"/>
  <c r="N1535" i="95"/>
  <c r="N1248" i="95"/>
  <c r="N1219" i="95"/>
  <c r="N1031" i="95"/>
  <c r="N1523" i="95"/>
  <c r="N1522" i="95"/>
  <c r="N1482" i="95"/>
  <c r="N933" i="95"/>
  <c r="N220" i="95"/>
  <c r="N1415" i="95"/>
  <c r="N1497" i="95"/>
  <c r="N1191" i="95"/>
  <c r="N1365" i="95"/>
  <c r="N1457" i="95"/>
  <c r="N1146" i="95"/>
  <c r="N1303" i="95"/>
  <c r="N1132" i="95"/>
  <c r="N878" i="95"/>
  <c r="N1179" i="95"/>
  <c r="N865" i="95"/>
  <c r="N737" i="95"/>
  <c r="N1330" i="95"/>
  <c r="N992" i="95"/>
  <c r="N1546" i="95"/>
  <c r="N1352" i="95"/>
  <c r="N814" i="95"/>
  <c r="N1440" i="95"/>
  <c r="N1375" i="95"/>
  <c r="N1328" i="95"/>
  <c r="N1192" i="95"/>
  <c r="N1063" i="95"/>
  <c r="N1351" i="95"/>
  <c r="N1121" i="95"/>
  <c r="N1297" i="95"/>
  <c r="N1393" i="95"/>
  <c r="N1098" i="95"/>
  <c r="N1229" i="95"/>
  <c r="N965" i="95"/>
  <c r="N1363" i="95"/>
  <c r="N1530" i="95"/>
  <c r="N810" i="95"/>
  <c r="N1504" i="95"/>
  <c r="N1439" i="95"/>
  <c r="N1392" i="95"/>
  <c r="N560" i="95"/>
  <c r="N1202" i="95"/>
  <c r="N1176" i="95"/>
  <c r="N1320" i="95"/>
  <c r="N1185" i="95"/>
  <c r="N1433" i="95"/>
  <c r="N1341" i="95"/>
  <c r="N1419" i="95"/>
  <c r="N1105" i="95"/>
  <c r="N1269" i="95"/>
  <c r="N1379" i="95"/>
  <c r="N1026" i="95"/>
  <c r="N1162" i="95"/>
  <c r="N1512" i="95"/>
  <c r="N1317" i="95"/>
  <c r="N1339" i="95"/>
  <c r="N693" i="95"/>
  <c r="N212" i="95"/>
  <c r="N1255" i="95"/>
  <c r="N1355" i="95"/>
  <c r="N954" i="95"/>
  <c r="N1159" i="95"/>
  <c r="N1315" i="95"/>
  <c r="N1495" i="95"/>
  <c r="N976" i="95"/>
  <c r="N1314" i="95"/>
  <c r="N1091" i="95"/>
  <c r="N910" i="95"/>
  <c r="N806" i="95"/>
  <c r="N937" i="95"/>
  <c r="N1080" i="95"/>
  <c r="N1290" i="95"/>
  <c r="N1485" i="95"/>
  <c r="N912" i="95"/>
  <c r="N1268" i="95"/>
  <c r="N1048" i="95"/>
  <c r="N1396" i="95"/>
  <c r="N696" i="95"/>
  <c r="N593" i="95"/>
  <c r="N1533" i="95"/>
  <c r="N1090" i="95"/>
  <c r="N1273" i="95"/>
  <c r="N1464" i="95"/>
  <c r="N904" i="95"/>
  <c r="N1233" i="95"/>
  <c r="N1421" i="95"/>
  <c r="N1402" i="95"/>
  <c r="N1128" i="95"/>
  <c r="N915" i="95"/>
  <c r="N981" i="95"/>
  <c r="N718" i="95"/>
  <c r="N468" i="95"/>
  <c r="N539" i="95"/>
  <c r="N258" i="95"/>
  <c r="N259" i="95"/>
  <c r="N735" i="95"/>
  <c r="N473" i="95"/>
  <c r="N1124" i="95"/>
  <c r="N1165" i="95"/>
  <c r="N885" i="95"/>
  <c r="N827" i="95"/>
  <c r="N747" i="95"/>
  <c r="N1270" i="95"/>
  <c r="N1015" i="95"/>
  <c r="N817" i="95"/>
  <c r="N793" i="95"/>
  <c r="N379" i="95"/>
  <c r="N683" i="95"/>
  <c r="N595" i="95"/>
  <c r="N496" i="95"/>
  <c r="N416" i="95"/>
  <c r="N975" i="95"/>
  <c r="N899" i="95"/>
  <c r="N635" i="95"/>
  <c r="N228" i="95"/>
  <c r="N311" i="95"/>
  <c r="N442" i="95"/>
  <c r="N643" i="95"/>
  <c r="N828" i="95"/>
  <c r="N309" i="95"/>
  <c r="N407" i="95"/>
  <c r="N471" i="95"/>
  <c r="N531" i="95"/>
  <c r="N596" i="95"/>
  <c r="N681" i="95"/>
  <c r="N783" i="95"/>
  <c r="N997" i="95"/>
  <c r="N450" i="95"/>
  <c r="N622" i="95"/>
  <c r="N818" i="95"/>
  <c r="N728" i="95"/>
  <c r="N877" i="95"/>
  <c r="N1296" i="95"/>
  <c r="N621" i="95"/>
  <c r="N762" i="95"/>
  <c r="N903" i="95"/>
  <c r="N1388" i="95"/>
  <c r="N722" i="95"/>
  <c r="N850" i="95"/>
  <c r="N1151" i="95"/>
  <c r="N613" i="95"/>
  <c r="N736" i="95"/>
  <c r="N854" i="95"/>
  <c r="N1078" i="95"/>
  <c r="N790" i="95"/>
  <c r="N927" i="95"/>
  <c r="N1338" i="95"/>
  <c r="N576" i="95"/>
  <c r="N730" i="95"/>
  <c r="N862" i="95"/>
  <c r="N1445" i="95"/>
  <c r="N1082" i="95"/>
  <c r="N1285" i="95"/>
  <c r="N1487" i="95"/>
  <c r="N935" i="95"/>
  <c r="N1072" i="95"/>
  <c r="N1232" i="95"/>
  <c r="N1404" i="95"/>
  <c r="N884" i="95"/>
  <c r="N967" i="95"/>
  <c r="N1076" i="95"/>
  <c r="N1244" i="95"/>
  <c r="N1481" i="95"/>
  <c r="N964" i="95"/>
  <c r="N1073" i="95"/>
  <c r="N1218" i="95"/>
  <c r="N1409" i="95"/>
  <c r="N866" i="95"/>
  <c r="N315" i="95"/>
  <c r="N177" i="95"/>
  <c r="N614" i="95"/>
  <c r="N394" i="95"/>
  <c r="N1537" i="95"/>
  <c r="N527" i="95"/>
  <c r="N1041" i="95"/>
  <c r="N1158" i="95"/>
  <c r="N1252" i="95"/>
  <c r="N819" i="95"/>
  <c r="N731" i="95"/>
  <c r="N1141" i="95"/>
  <c r="N931" i="95"/>
  <c r="N753" i="95"/>
  <c r="N729" i="95"/>
  <c r="N972" i="95"/>
  <c r="N671" i="95"/>
  <c r="N569" i="95"/>
  <c r="N488" i="95"/>
  <c r="N400" i="95"/>
  <c r="N853" i="95"/>
  <c r="N870" i="95"/>
  <c r="N603" i="95"/>
  <c r="N236" i="95"/>
  <c r="N317" i="95"/>
  <c r="N474" i="95"/>
  <c r="N647" i="95"/>
  <c r="N832" i="95"/>
  <c r="N328" i="95"/>
  <c r="N414" i="95"/>
  <c r="N481" i="95"/>
  <c r="N535" i="95"/>
  <c r="N600" i="95"/>
  <c r="N684" i="95"/>
  <c r="N798" i="95"/>
  <c r="N1188" i="95"/>
  <c r="N331" i="95"/>
  <c r="N482" i="95"/>
  <c r="N641" i="95"/>
  <c r="N848" i="95"/>
  <c r="N738" i="95"/>
  <c r="N906" i="95"/>
  <c r="N1300" i="95"/>
  <c r="N624" i="95"/>
  <c r="N782" i="95"/>
  <c r="N948" i="95"/>
  <c r="N1498" i="95"/>
  <c r="N742" i="95"/>
  <c r="N871" i="95"/>
  <c r="N1155" i="95"/>
  <c r="N616" i="95"/>
  <c r="N746" i="95"/>
  <c r="N868" i="95"/>
  <c r="N1242" i="95"/>
  <c r="N797" i="95"/>
  <c r="N969" i="95"/>
  <c r="N1346" i="95"/>
  <c r="N605" i="95"/>
  <c r="N750" i="95"/>
  <c r="N886" i="95"/>
  <c r="N1449" i="95"/>
  <c r="N1097" i="95"/>
  <c r="N1308" i="95"/>
  <c r="N1499" i="95"/>
  <c r="N945" i="95"/>
  <c r="N1112" i="95"/>
  <c r="N1236" i="95"/>
  <c r="N1427" i="95"/>
  <c r="N894" i="95"/>
  <c r="N977" i="95"/>
  <c r="N1083" i="95"/>
  <c r="N274" i="95"/>
  <c r="N507" i="95"/>
  <c r="N316" i="95"/>
  <c r="N1118" i="95"/>
  <c r="N402" i="95"/>
  <c r="N610" i="95"/>
  <c r="N1133" i="95"/>
  <c r="N1470" i="95"/>
  <c r="N1206" i="95"/>
  <c r="N811" i="95"/>
  <c r="N723" i="95"/>
  <c r="N963" i="95"/>
  <c r="N1380" i="95"/>
  <c r="N716" i="95"/>
  <c r="N443" i="95"/>
  <c r="N864" i="95"/>
  <c r="N665" i="95"/>
  <c r="N563" i="95"/>
  <c r="N480" i="95"/>
  <c r="N392" i="95"/>
  <c r="N745" i="95"/>
  <c r="N849" i="95"/>
  <c r="N574" i="95"/>
  <c r="N252" i="95"/>
  <c r="N322" i="95"/>
  <c r="N484" i="95"/>
  <c r="N673" i="95"/>
  <c r="N859" i="95"/>
  <c r="N358" i="95"/>
  <c r="N421" i="95"/>
  <c r="N485" i="95"/>
  <c r="N542" i="95"/>
  <c r="N607" i="95"/>
  <c r="N703" i="95"/>
  <c r="N836" i="95"/>
  <c r="N1200" i="95"/>
  <c r="N346" i="95"/>
  <c r="N514" i="95"/>
  <c r="N685" i="95"/>
  <c r="N989" i="95"/>
  <c r="N758" i="95"/>
  <c r="N1025" i="95"/>
  <c r="N1324" i="95"/>
  <c r="N653" i="95"/>
  <c r="N789" i="95"/>
  <c r="N987" i="95"/>
  <c r="N1506" i="95"/>
  <c r="N749" i="95"/>
  <c r="N900" i="95"/>
  <c r="N1349" i="95"/>
  <c r="N645" i="95"/>
  <c r="N766" i="95"/>
  <c r="N897" i="95"/>
  <c r="N1250" i="95"/>
  <c r="N824" i="95"/>
  <c r="N1039" i="95"/>
  <c r="N1441" i="95"/>
  <c r="N608" i="95"/>
  <c r="N757" i="95"/>
  <c r="N908" i="95"/>
  <c r="N1516" i="95"/>
  <c r="N1148" i="95"/>
  <c r="N1331" i="95"/>
  <c r="N1541" i="95"/>
  <c r="N956" i="95"/>
  <c r="N1119" i="95"/>
  <c r="N1274" i="95"/>
  <c r="N1473" i="95"/>
  <c r="N898" i="95"/>
  <c r="N988" i="95"/>
  <c r="N1116" i="95"/>
  <c r="N182" i="95"/>
  <c r="N190" i="95"/>
  <c r="N201" i="95"/>
  <c r="N373" i="95"/>
  <c r="N530" i="95"/>
  <c r="N695" i="95"/>
  <c r="N1382" i="95"/>
  <c r="N1374" i="95"/>
  <c r="N1069" i="95"/>
  <c r="N795" i="95"/>
  <c r="N715" i="95"/>
  <c r="N1476" i="95"/>
  <c r="N1053" i="95"/>
  <c r="N651" i="95"/>
  <c r="N435" i="95"/>
  <c r="N823" i="95"/>
  <c r="N662" i="95"/>
  <c r="N552" i="95"/>
  <c r="N464" i="95"/>
  <c r="N384" i="95"/>
  <c r="N705" i="95"/>
  <c r="N785" i="95"/>
  <c r="N571" i="95"/>
  <c r="N260" i="95"/>
  <c r="N339" i="95"/>
  <c r="N506" i="95"/>
  <c r="N688" i="95"/>
  <c r="N917" i="95"/>
  <c r="N371" i="95"/>
  <c r="N439" i="95"/>
  <c r="N499" i="95"/>
  <c r="N545" i="95"/>
  <c r="N618" i="95"/>
  <c r="N710" i="95"/>
  <c r="N855" i="95"/>
  <c r="N1204" i="95"/>
  <c r="N349" i="95"/>
  <c r="N546" i="95"/>
  <c r="N692" i="95"/>
  <c r="N1001" i="95"/>
  <c r="N765" i="95"/>
  <c r="N1029" i="95"/>
  <c r="N1391" i="95"/>
  <c r="N656" i="95"/>
  <c r="N816" i="95"/>
  <c r="N998" i="95"/>
  <c r="N677" i="95"/>
  <c r="N776" i="95"/>
  <c r="N941" i="95"/>
  <c r="N1353" i="95"/>
  <c r="N648" i="95"/>
  <c r="N773" i="95"/>
  <c r="N926" i="95"/>
  <c r="N672" i="95"/>
  <c r="N834" i="95"/>
  <c r="N1043" i="95"/>
  <c r="N1448" i="95"/>
  <c r="N637" i="95"/>
  <c r="N784" i="95"/>
  <c r="N916" i="95"/>
  <c r="N938" i="95"/>
  <c r="N1178" i="95"/>
  <c r="N1377" i="95"/>
  <c r="N1545" i="95"/>
  <c r="N970" i="95"/>
  <c r="N1123" i="95"/>
  <c r="N1282" i="95"/>
  <c r="N1480" i="95"/>
  <c r="N932" i="95"/>
  <c r="N1002" i="95"/>
  <c r="N1138" i="95"/>
  <c r="N1370" i="95"/>
  <c r="N881" i="95"/>
  <c r="N978" i="95"/>
  <c r="N1094" i="95"/>
  <c r="N1313" i="95"/>
  <c r="N1466" i="95"/>
  <c r="N892" i="95"/>
  <c r="N1017" i="95"/>
  <c r="N1199" i="95"/>
  <c r="N1371" i="95"/>
  <c r="N889" i="95"/>
  <c r="N1088" i="95"/>
  <c r="N1257" i="95"/>
  <c r="N1455" i="95"/>
  <c r="N271" i="95"/>
  <c r="N279" i="95"/>
  <c r="N294" i="95"/>
  <c r="N437" i="95"/>
  <c r="N698" i="95"/>
  <c r="N893" i="95"/>
  <c r="N1222" i="95"/>
  <c r="N1342" i="95"/>
  <c r="N925" i="95"/>
  <c r="N787" i="95"/>
  <c r="N1366" i="95"/>
  <c r="N1430" i="95"/>
  <c r="N983" i="95"/>
  <c r="N587" i="95"/>
  <c r="N427" i="95"/>
  <c r="N796" i="95"/>
  <c r="N633" i="95"/>
  <c r="N544" i="95"/>
  <c r="N456" i="95"/>
  <c r="N368" i="95"/>
  <c r="N689" i="95"/>
  <c r="N748" i="95"/>
  <c r="N951" i="95"/>
  <c r="N268" i="95"/>
  <c r="N342" i="95"/>
  <c r="N538" i="95"/>
  <c r="N691" i="95"/>
  <c r="N1036" i="95"/>
  <c r="N375" i="95"/>
  <c r="N446" i="95"/>
  <c r="N503" i="95"/>
  <c r="N549" i="95"/>
  <c r="N626" i="95"/>
  <c r="N714" i="95"/>
  <c r="N867" i="95"/>
  <c r="N1212" i="95"/>
  <c r="N362" i="95"/>
  <c r="N567" i="95"/>
  <c r="N711" i="95"/>
  <c r="N1081" i="95"/>
  <c r="N792" i="95"/>
  <c r="N1045" i="95"/>
  <c r="N1403" i="95"/>
  <c r="N680" i="95"/>
  <c r="N826" i="95"/>
  <c r="N1033" i="95"/>
  <c r="N686" i="95"/>
  <c r="N786" i="95"/>
  <c r="N949" i="95"/>
  <c r="N1420" i="95"/>
  <c r="N690" i="95"/>
  <c r="N800" i="95"/>
  <c r="N934" i="95"/>
  <c r="N726" i="95"/>
  <c r="N851" i="95"/>
  <c r="N1051" i="95"/>
  <c r="N1460" i="95"/>
  <c r="N640" i="95"/>
  <c r="N794" i="95"/>
  <c r="N920" i="95"/>
  <c r="N952" i="95"/>
  <c r="N1186" i="95"/>
  <c r="N1384" i="95"/>
  <c r="N907" i="95"/>
  <c r="N984" i="95"/>
  <c r="N1145" i="95"/>
  <c r="N1327" i="95"/>
  <c r="N1492" i="95"/>
  <c r="N939" i="95"/>
  <c r="N1016" i="95"/>
  <c r="N1175" i="95"/>
  <c r="N338" i="95"/>
  <c r="N422" i="95"/>
  <c r="N383" i="95"/>
  <c r="N551" i="95"/>
  <c r="N354" i="95"/>
  <c r="N1189" i="95"/>
  <c r="N1110" i="95"/>
  <c r="N1302" i="95"/>
  <c r="N863" i="95"/>
  <c r="N763" i="95"/>
  <c r="N995" i="95"/>
  <c r="N1115" i="95"/>
  <c r="N923" i="95"/>
  <c r="N1238" i="95"/>
  <c r="N403" i="95"/>
  <c r="N732" i="95"/>
  <c r="N627" i="95"/>
  <c r="N520" i="95"/>
  <c r="N432" i="95"/>
  <c r="N1494" i="95"/>
  <c r="N1084" i="95"/>
  <c r="N667" i="95"/>
  <c r="N825" i="95"/>
  <c r="N292" i="95"/>
  <c r="N410" i="95"/>
  <c r="N599" i="95"/>
  <c r="N775" i="95"/>
  <c r="N204" i="95"/>
  <c r="N385" i="95"/>
  <c r="N453" i="95"/>
  <c r="N513" i="95"/>
  <c r="N578" i="95"/>
  <c r="N644" i="95"/>
  <c r="N756" i="95"/>
  <c r="N913" i="95"/>
  <c r="N1260" i="95"/>
  <c r="N386" i="95"/>
  <c r="N611" i="95"/>
  <c r="N741" i="95"/>
  <c r="N1196" i="95"/>
  <c r="N822" i="95"/>
  <c r="N1288" i="95"/>
  <c r="N589" i="95"/>
  <c r="N725" i="95"/>
  <c r="N856" i="95"/>
  <c r="N1100" i="95"/>
  <c r="N702" i="95"/>
  <c r="N813" i="95"/>
  <c r="N1089" i="95"/>
  <c r="N581" i="95"/>
  <c r="N706" i="95"/>
  <c r="N830" i="95"/>
  <c r="N1019" i="95"/>
  <c r="N760" i="95"/>
  <c r="N890" i="95"/>
  <c r="N1067" i="95"/>
  <c r="N1484" i="95"/>
  <c r="N678" i="95"/>
  <c r="N821" i="95"/>
  <c r="N1004" i="95"/>
  <c r="N973" i="95"/>
  <c r="N1231" i="95"/>
  <c r="N1434" i="95"/>
  <c r="N914" i="95"/>
  <c r="N1005" i="95"/>
  <c r="N1171" i="95"/>
  <c r="N1381" i="95"/>
  <c r="N1538" i="95"/>
  <c r="N946" i="95"/>
  <c r="N1037" i="95"/>
  <c r="N1221" i="95"/>
  <c r="N1435" i="95"/>
  <c r="N918" i="95"/>
  <c r="N1034" i="95"/>
  <c r="N1172" i="95"/>
  <c r="N1340" i="95"/>
  <c r="N1531" i="95"/>
  <c r="N950" i="95"/>
  <c r="N1106" i="95"/>
  <c r="N1264" i="95"/>
  <c r="N1436" i="95"/>
  <c r="N982" i="95"/>
  <c r="N1161" i="95"/>
  <c r="N1345" i="95"/>
  <c r="N1513" i="95"/>
  <c r="N300" i="95"/>
  <c r="N1147" i="95"/>
  <c r="N699" i="95"/>
  <c r="N1093" i="95"/>
  <c r="N1157" i="95"/>
  <c r="N642" i="95"/>
  <c r="N1511" i="95"/>
  <c r="N1437" i="95"/>
  <c r="N1344" i="95"/>
  <c r="N1245" i="95"/>
  <c r="N1024" i="95"/>
  <c r="N1515" i="95"/>
  <c r="N1426" i="95"/>
  <c r="N1337" i="95"/>
  <c r="N1266" i="95"/>
  <c r="N1195" i="95"/>
  <c r="N1111" i="95"/>
  <c r="N922" i="95"/>
  <c r="N1461" i="95"/>
  <c r="N1368" i="95"/>
  <c r="N1279" i="95"/>
  <c r="N1095" i="95"/>
  <c r="N872" i="95"/>
  <c r="N1475" i="95"/>
  <c r="N1386" i="95"/>
  <c r="N1304" i="95"/>
  <c r="N1226" i="95"/>
  <c r="N1152" i="95"/>
  <c r="N1055" i="95"/>
  <c r="N1488" i="95"/>
  <c r="N1399" i="95"/>
  <c r="N1325" i="95"/>
  <c r="N1193" i="95"/>
  <c r="N944" i="95"/>
  <c r="N1364" i="95"/>
  <c r="N1154" i="95"/>
  <c r="N1524" i="95"/>
  <c r="N1306" i="95"/>
  <c r="N1066" i="95"/>
  <c r="N882" i="95"/>
  <c r="N1321" i="95"/>
  <c r="N1087" i="95"/>
  <c r="N888" i="95"/>
  <c r="N1225" i="95"/>
  <c r="N1385" i="95"/>
  <c r="N1442" i="95"/>
  <c r="N858" i="95"/>
  <c r="N901" i="95"/>
  <c r="N709" i="95"/>
  <c r="N712" i="95"/>
  <c r="N592" i="95"/>
  <c r="N768" i="95"/>
  <c r="N1228" i="95"/>
  <c r="N570" i="95"/>
  <c r="N1295" i="95"/>
  <c r="N284" i="95"/>
  <c r="N360" i="95"/>
  <c r="N769" i="95"/>
  <c r="N1174" i="95"/>
  <c r="N1214" i="95"/>
  <c r="N497" i="95"/>
  <c r="N1049" i="95"/>
  <c r="N1501" i="95"/>
  <c r="N1213" i="95"/>
  <c r="N1490" i="95"/>
  <c r="N1323" i="95"/>
  <c r="N1241" i="95"/>
  <c r="N1184" i="95"/>
  <c r="N1071" i="95"/>
  <c r="N1525" i="95"/>
  <c r="N1432" i="95"/>
  <c r="N1343" i="95"/>
  <c r="N1247" i="95"/>
  <c r="N1074" i="95"/>
  <c r="N1539" i="95"/>
  <c r="N1450" i="95"/>
  <c r="N1361" i="95"/>
  <c r="N1283" i="95"/>
  <c r="N1215" i="95"/>
  <c r="N1136" i="95"/>
  <c r="N994" i="95"/>
  <c r="N1463" i="95"/>
  <c r="N1389" i="95"/>
  <c r="N1293" i="95"/>
  <c r="N1079" i="95"/>
  <c r="N880" i="95"/>
  <c r="N1299" i="95"/>
  <c r="N1042" i="95"/>
  <c r="N1505" i="95"/>
  <c r="N1249" i="95"/>
  <c r="N1010" i="95"/>
  <c r="N852" i="95"/>
  <c r="N1263" i="95"/>
  <c r="N999" i="95"/>
  <c r="N1500" i="95"/>
  <c r="N1054" i="95"/>
  <c r="N1217" i="95"/>
  <c r="N1281" i="95"/>
  <c r="N720" i="95"/>
  <c r="N770" i="95"/>
  <c r="N584" i="95"/>
  <c r="N1372" i="95"/>
  <c r="N1292" i="95"/>
  <c r="N615" i="95"/>
  <c r="N905" i="95"/>
  <c r="N510" i="95"/>
  <c r="N744" i="95"/>
  <c r="N902" i="95"/>
  <c r="N448" i="95"/>
  <c r="N411" i="95"/>
  <c r="N1134" i="95"/>
  <c r="N1126" i="95"/>
  <c r="N568" i="95"/>
  <c r="N801" i="95"/>
  <c r="N424" i="95"/>
  <c r="N395" i="95"/>
  <c r="N1316" i="95"/>
  <c r="N156" i="95"/>
  <c r="N1408" i="95"/>
  <c r="N1319" i="95"/>
  <c r="N960" i="95"/>
  <c r="N1401" i="95"/>
  <c r="N1479" i="95"/>
  <c r="N1405" i="95"/>
  <c r="N1309" i="95"/>
  <c r="N1177" i="95"/>
  <c r="N928" i="95"/>
  <c r="N1483" i="95"/>
  <c r="N1394" i="95"/>
  <c r="N1312" i="95"/>
  <c r="N1234" i="95"/>
  <c r="N1170" i="95"/>
  <c r="N1056" i="95"/>
  <c r="N1503" i="95"/>
  <c r="N1429" i="95"/>
  <c r="N1336" i="95"/>
  <c r="N1237" i="95"/>
  <c r="N1032" i="95"/>
  <c r="N1521" i="95"/>
  <c r="N1443" i="95"/>
  <c r="N1354" i="95"/>
  <c r="N1272" i="95"/>
  <c r="N1208" i="95"/>
  <c r="N1130" i="95"/>
  <c r="N962" i="95"/>
  <c r="N1456" i="95"/>
  <c r="N1367" i="95"/>
  <c r="N1289" i="95"/>
  <c r="N1064" i="95"/>
  <c r="N1532" i="95"/>
  <c r="N1276" i="95"/>
  <c r="N1035" i="95"/>
  <c r="N1459" i="95"/>
  <c r="N1203" i="95"/>
  <c r="N1003" i="95"/>
  <c r="N1519" i="95"/>
  <c r="N1256" i="95"/>
  <c r="N985" i="95"/>
  <c r="N1477" i="95"/>
  <c r="N1023" i="95"/>
  <c r="N1167" i="95"/>
  <c r="N1224" i="95"/>
  <c r="N669" i="95"/>
  <c r="N733" i="95"/>
  <c r="N1491" i="95"/>
  <c r="N1092" i="95"/>
  <c r="N1057" i="95"/>
  <c r="N597" i="95"/>
  <c r="N767" i="95"/>
  <c r="N467" i="95"/>
  <c r="N629" i="95"/>
  <c r="N638" i="95"/>
  <c r="N512" i="95"/>
  <c r="N861" i="95"/>
  <c r="N755" i="95"/>
  <c r="N1358" i="95"/>
  <c r="N155" i="95"/>
  <c r="N1383" i="95"/>
  <c r="N1305" i="95"/>
  <c r="N1160" i="95"/>
  <c r="N896" i="95"/>
  <c r="N1465" i="95"/>
  <c r="N1387" i="95"/>
  <c r="N1298" i="95"/>
  <c r="N1227" i="95"/>
  <c r="N1143" i="95"/>
  <c r="N1050" i="95"/>
  <c r="N1496" i="95"/>
  <c r="N1407" i="95"/>
  <c r="N1333" i="95"/>
  <c r="N1201" i="95"/>
  <c r="N1000" i="95"/>
  <c r="N1514" i="95"/>
  <c r="N1425" i="95"/>
  <c r="N1347" i="95"/>
  <c r="N1265" i="95"/>
  <c r="N1194" i="95"/>
  <c r="N1120" i="95"/>
  <c r="N930" i="95"/>
  <c r="N1453" i="95"/>
  <c r="N1360" i="95"/>
  <c r="N1271" i="95"/>
  <c r="N1058" i="95"/>
  <c r="N1509" i="95"/>
  <c r="N1253" i="95"/>
  <c r="N1028" i="95"/>
  <c r="N1417" i="95"/>
  <c r="N1180" i="95"/>
  <c r="N996" i="95"/>
  <c r="N1474" i="95"/>
  <c r="N1210" i="95"/>
  <c r="N974" i="95"/>
  <c r="N1423" i="95"/>
  <c r="N953" i="95"/>
  <c r="N1022" i="95"/>
  <c r="N990" i="95"/>
  <c r="N573" i="95"/>
  <c r="N1030" i="95"/>
  <c r="N1144" i="95"/>
  <c r="N874" i="95"/>
  <c r="N829" i="95"/>
  <c r="N418" i="95"/>
  <c r="N740" i="95"/>
  <c r="N449" i="95"/>
  <c r="N548" i="95"/>
  <c r="N721" i="95"/>
  <c r="N528" i="95"/>
  <c r="N1444" i="95"/>
  <c r="N779" i="95"/>
  <c r="N1243" i="95"/>
  <c r="N524" i="95"/>
  <c r="N1472" i="95"/>
  <c r="N1469" i="95"/>
  <c r="N1376" i="95"/>
  <c r="N1287" i="95"/>
  <c r="N1153" i="95"/>
  <c r="N1547" i="95"/>
  <c r="N1458" i="95"/>
  <c r="N1369" i="95"/>
  <c r="N1291" i="95"/>
  <c r="N1216" i="95"/>
  <c r="N1137" i="95"/>
  <c r="N1018" i="95"/>
  <c r="N1493" i="95"/>
  <c r="N1400" i="95"/>
  <c r="N1311" i="95"/>
  <c r="N1169" i="95"/>
  <c r="N968" i="95"/>
  <c r="N1507" i="95"/>
  <c r="N1418" i="95"/>
  <c r="N1329" i="95"/>
  <c r="N1258" i="95"/>
  <c r="N1187" i="95"/>
  <c r="N1114" i="95"/>
  <c r="N1527" i="95"/>
  <c r="N1431" i="95"/>
  <c r="N1357" i="95"/>
  <c r="N1261" i="95"/>
  <c r="N1040" i="95"/>
  <c r="N1467" i="95"/>
  <c r="N1211" i="95"/>
  <c r="N993" i="95"/>
  <c r="N1413" i="95"/>
  <c r="N1139" i="95"/>
  <c r="N961" i="95"/>
  <c r="N1428" i="95"/>
  <c r="N1168" i="95"/>
  <c r="N971" i="95"/>
  <c r="N1378" i="95"/>
  <c r="N942" i="95"/>
  <c r="N991" i="95"/>
  <c r="N959" i="95"/>
  <c r="N1468" i="95"/>
  <c r="N1011" i="95"/>
  <c r="N1014" i="95"/>
  <c r="N846" i="95"/>
  <c r="N802" i="95"/>
  <c r="N365" i="95"/>
  <c r="N655" i="95"/>
  <c r="N389" i="95"/>
  <c r="N420" i="95"/>
  <c r="N1021" i="95"/>
  <c r="N598" i="95"/>
  <c r="N844" i="95"/>
  <c r="N857" i="95"/>
  <c r="N413" i="95"/>
  <c r="N218" i="95"/>
  <c r="N1543" i="95"/>
  <c r="N1447" i="95"/>
  <c r="N1373" i="95"/>
  <c r="N1277" i="95"/>
  <c r="N1096" i="95"/>
  <c r="N1529" i="95"/>
  <c r="N1451" i="95"/>
  <c r="N1362" i="95"/>
  <c r="N1280" i="95"/>
  <c r="N1209" i="95"/>
  <c r="N1127" i="95"/>
  <c r="N986" i="95"/>
  <c r="N1471" i="95"/>
  <c r="N1397" i="95"/>
  <c r="N1301" i="95"/>
  <c r="N1163" i="95"/>
  <c r="N936" i="95"/>
  <c r="N1489" i="95"/>
  <c r="N1411" i="95"/>
  <c r="N1322" i="95"/>
  <c r="N1240" i="95"/>
  <c r="N1183" i="95"/>
  <c r="N1104" i="95"/>
  <c r="N1517" i="95"/>
  <c r="N1424" i="95"/>
  <c r="N1335" i="95"/>
  <c r="N1239" i="95"/>
  <c r="N1008" i="95"/>
  <c r="N1410" i="95"/>
  <c r="N1207" i="95"/>
  <c r="N979" i="95"/>
  <c r="N1359" i="95"/>
  <c r="N1135" i="95"/>
  <c r="N947" i="95"/>
  <c r="N1416" i="95"/>
  <c r="N1113" i="95"/>
  <c r="N929" i="95"/>
  <c r="N1332" i="95"/>
  <c r="N860" i="95"/>
  <c r="N921" i="95"/>
  <c r="N1122" i="95"/>
  <c r="N1129" i="95"/>
  <c r="N837" i="95"/>
  <c r="N840" i="95"/>
  <c r="N752" i="95"/>
  <c r="N670" i="95"/>
  <c r="N636" i="95"/>
  <c r="N382" i="95"/>
  <c r="N378" i="95"/>
  <c r="N1150" i="95"/>
  <c r="N630" i="95"/>
  <c r="N1452" i="95"/>
  <c r="N911" i="95"/>
  <c r="N1007" i="95"/>
  <c r="N454" i="95"/>
  <c r="N1540" i="95"/>
  <c r="N145" i="95"/>
  <c r="N883" i="95"/>
  <c r="N879" i="95"/>
  <c r="N666" i="95"/>
  <c r="N564" i="95"/>
  <c r="N436" i="95"/>
  <c r="N355" i="95"/>
  <c r="N337" i="95"/>
  <c r="N326" i="95"/>
  <c r="N312" i="95"/>
  <c r="N301" i="95"/>
  <c r="N269" i="95"/>
  <c r="N237" i="95"/>
  <c r="N205" i="95"/>
  <c r="N173" i="95"/>
  <c r="N149" i="95"/>
  <c r="N876" i="95"/>
  <c r="N579" i="95"/>
  <c r="N521" i="95"/>
  <c r="N393" i="95"/>
  <c r="N340" i="95"/>
  <c r="N304" i="95"/>
  <c r="N176" i="95"/>
  <c r="N663" i="95"/>
  <c r="N553" i="95"/>
  <c r="N352" i="95"/>
  <c r="N152" i="95"/>
  <c r="N582" i="95"/>
  <c r="N532" i="95"/>
  <c r="N404" i="95"/>
  <c r="N343" i="95"/>
  <c r="N318" i="95"/>
  <c r="N293" i="95"/>
  <c r="N261" i="95"/>
  <c r="N229" i="95"/>
  <c r="N197" i="95"/>
  <c r="N165" i="95"/>
  <c r="N245" i="95"/>
  <c r="N213" i="95"/>
  <c r="N216" i="95"/>
  <c r="N184" i="95"/>
  <c r="N791" i="95"/>
  <c r="N700" i="95"/>
  <c r="N489" i="95"/>
  <c r="N369" i="95"/>
  <c r="N277" i="95"/>
  <c r="N707" i="95"/>
  <c r="N500" i="95"/>
  <c r="N372" i="95"/>
  <c r="N285" i="95"/>
  <c r="N253" i="95"/>
  <c r="N221" i="95"/>
  <c r="N189" i="95"/>
  <c r="N157" i="95"/>
  <c r="N144" i="95"/>
  <c r="N425" i="95"/>
  <c r="N248" i="95"/>
  <c r="N457" i="95"/>
  <c r="N841" i="95"/>
  <c r="N181" i="95"/>
  <c r="N323" i="95"/>
  <c r="N280" i="95"/>
  <c r="N805" i="95"/>
  <c r="N654" i="95"/>
  <c r="N516" i="95"/>
  <c r="N388" i="95"/>
  <c r="N308" i="95"/>
  <c r="N244" i="95"/>
  <c r="N1099" i="95"/>
  <c r="N676" i="95"/>
  <c r="N940" i="95"/>
  <c r="N809" i="95"/>
  <c r="N376" i="95"/>
  <c r="N440" i="95"/>
  <c r="N504" i="95"/>
  <c r="N566" i="95"/>
  <c r="N659" i="95"/>
  <c r="N759" i="95"/>
  <c r="N387" i="95"/>
  <c r="N451" i="95"/>
  <c r="N619" i="95"/>
  <c r="N1125" i="95"/>
  <c r="N1075" i="95"/>
  <c r="N1047" i="95"/>
  <c r="N1412" i="95"/>
  <c r="N771" i="95"/>
  <c r="N835" i="95"/>
  <c r="N1013" i="95"/>
  <c r="N1462" i="95"/>
  <c r="N1348" i="95"/>
  <c r="N1406" i="95"/>
  <c r="N1020" i="95"/>
  <c r="N1142" i="95"/>
  <c r="N1414" i="95"/>
  <c r="N1149" i="95"/>
  <c r="N1044" i="95"/>
  <c r="N1140" i="95"/>
  <c r="N1390" i="95"/>
  <c r="N1197" i="95"/>
  <c r="N1251" i="95"/>
  <c r="N847" i="95"/>
  <c r="N668" i="95"/>
  <c r="N602" i="95"/>
  <c r="N523" i="95"/>
  <c r="N470" i="95"/>
  <c r="N409" i="95"/>
  <c r="N351" i="95"/>
  <c r="N924" i="95"/>
  <c r="N694" i="95"/>
  <c r="N508" i="95"/>
  <c r="N380" i="95"/>
  <c r="N1107" i="95"/>
  <c r="N708" i="95"/>
  <c r="N634" i="95"/>
  <c r="N547" i="95"/>
  <c r="N494" i="95"/>
  <c r="N433" i="95"/>
  <c r="N370" i="95"/>
  <c r="N1102" i="95"/>
  <c r="N348" i="95"/>
  <c r="N234" i="95"/>
  <c r="N364" i="95"/>
  <c r="N320" i="95"/>
  <c r="N556" i="95"/>
  <c r="N287" i="95"/>
  <c r="N198" i="95"/>
  <c r="N206" i="95"/>
  <c r="N590" i="95"/>
  <c r="N251" i="95"/>
  <c r="N148" i="95"/>
  <c r="N327" i="95"/>
  <c r="N486" i="95"/>
  <c r="N257" i="95"/>
  <c r="N183" i="95"/>
  <c r="N426" i="95"/>
  <c r="N815" i="95"/>
  <c r="N493" i="95"/>
  <c r="N211" i="95"/>
  <c r="N295" i="95"/>
  <c r="N415" i="95"/>
  <c r="N249" i="95"/>
  <c r="N175" i="95"/>
  <c r="N235" i="95"/>
  <c r="N288" i="95"/>
  <c r="N296" i="95"/>
  <c r="N843" i="95"/>
  <c r="N1027" i="95"/>
  <c r="N1508" i="95"/>
  <c r="N1182" i="95"/>
  <c r="N1438" i="95"/>
  <c r="N1046" i="95"/>
  <c r="N1190" i="95"/>
  <c r="N1446" i="95"/>
  <c r="N1156" i="95"/>
  <c r="N1059" i="95"/>
  <c r="N1166" i="95"/>
  <c r="N1422" i="95"/>
  <c r="N1205" i="95"/>
  <c r="N1259" i="95"/>
  <c r="N831" i="95"/>
  <c r="N658" i="95"/>
  <c r="N588" i="95"/>
  <c r="N509" i="95"/>
  <c r="N463" i="95"/>
  <c r="N406" i="95"/>
  <c r="N325" i="95"/>
  <c r="N839" i="95"/>
  <c r="N687" i="95"/>
  <c r="N498" i="95"/>
  <c r="N367" i="95"/>
  <c r="N1103" i="95"/>
  <c r="N701" i="95"/>
  <c r="N620" i="95"/>
  <c r="N533" i="95"/>
  <c r="N487" i="95"/>
  <c r="N430" i="95"/>
  <c r="N955" i="95"/>
  <c r="N341" i="95"/>
  <c r="N227" i="95"/>
  <c r="N345" i="95"/>
  <c r="N209" i="95"/>
  <c r="N518" i="95"/>
  <c r="N265" i="95"/>
  <c r="N191" i="95"/>
  <c r="N966" i="95"/>
  <c r="N575" i="95"/>
  <c r="N226" i="95"/>
  <c r="N461" i="95"/>
  <c r="N302" i="95"/>
  <c r="N447" i="95"/>
  <c r="N254" i="95"/>
  <c r="N161" i="95"/>
  <c r="N324" i="95"/>
  <c r="N807" i="95"/>
  <c r="N458" i="95"/>
  <c r="N186" i="95"/>
  <c r="N273" i="95"/>
  <c r="N350" i="95"/>
  <c r="N246" i="95"/>
  <c r="N153" i="95"/>
  <c r="N754" i="95"/>
  <c r="N264" i="95"/>
  <c r="N272" i="95"/>
  <c r="N1478" i="95"/>
  <c r="N980" i="95"/>
  <c r="N1065" i="95"/>
  <c r="N1198" i="95"/>
  <c r="N1454" i="95"/>
  <c r="N1520" i="95"/>
  <c r="N1267" i="95"/>
  <c r="N820" i="95"/>
  <c r="N650" i="95"/>
  <c r="N559" i="95"/>
  <c r="N505" i="95"/>
  <c r="N459" i="95"/>
  <c r="N399" i="95"/>
  <c r="N808" i="95"/>
  <c r="N675" i="95"/>
  <c r="N476" i="95"/>
  <c r="N363" i="95"/>
  <c r="N943" i="95"/>
  <c r="N697" i="95"/>
  <c r="N591" i="95"/>
  <c r="N529" i="95"/>
  <c r="N483" i="95"/>
  <c r="N423" i="95"/>
  <c r="N561" i="95"/>
  <c r="N334" i="95"/>
  <c r="N202" i="95"/>
  <c r="N306" i="95"/>
  <c r="N891" i="95"/>
  <c r="N479" i="95"/>
  <c r="N262" i="95"/>
  <c r="N169" i="95"/>
  <c r="N958" i="95"/>
  <c r="N525" i="95"/>
  <c r="N219" i="95"/>
  <c r="N353" i="95"/>
  <c r="N241" i="95"/>
  <c r="N396" i="95"/>
  <c r="N247" i="95"/>
  <c r="N158" i="95"/>
  <c r="N242" i="95"/>
  <c r="N727" i="95"/>
  <c r="N332" i="95"/>
  <c r="N179" i="95"/>
  <c r="N231" i="95"/>
  <c r="N321" i="95"/>
  <c r="N239" i="95"/>
  <c r="N150" i="95"/>
  <c r="N565" i="95"/>
  <c r="N224" i="95"/>
  <c r="N256" i="95"/>
  <c r="N1109" i="95"/>
  <c r="N895" i="95"/>
  <c r="N1246" i="95"/>
  <c r="N1502" i="95"/>
  <c r="N1052" i="95"/>
  <c r="N1254" i="95"/>
  <c r="N1510" i="95"/>
  <c r="N1006" i="95"/>
  <c r="N1068" i="95"/>
  <c r="N1230" i="95"/>
  <c r="N1486" i="95"/>
  <c r="N1528" i="95"/>
  <c r="N1275" i="95"/>
  <c r="N804" i="95"/>
  <c r="N639" i="95"/>
  <c r="N555" i="95"/>
  <c r="N502" i="95"/>
  <c r="N445" i="95"/>
  <c r="N381" i="95"/>
  <c r="N777" i="95"/>
  <c r="N661" i="95"/>
  <c r="N466" i="95"/>
  <c r="N356" i="95"/>
  <c r="N873" i="95"/>
  <c r="N679" i="95"/>
  <c r="N580" i="95"/>
  <c r="N526" i="95"/>
  <c r="N469" i="95"/>
  <c r="N405" i="95"/>
  <c r="N557" i="95"/>
  <c r="N319" i="95"/>
  <c r="N195" i="95"/>
  <c r="N299" i="95"/>
  <c r="N887" i="95"/>
  <c r="N428" i="95"/>
  <c r="N255" i="95"/>
  <c r="N166" i="95"/>
  <c r="N788" i="95"/>
  <c r="N490" i="95"/>
  <c r="N194" i="95"/>
  <c r="N196" i="95"/>
  <c r="N199" i="95"/>
  <c r="N366" i="95"/>
  <c r="N225" i="95"/>
  <c r="N151" i="95"/>
  <c r="N652" i="95"/>
  <c r="N719" i="95"/>
  <c r="N282" i="95"/>
  <c r="N335" i="95"/>
  <c r="N174" i="95"/>
  <c r="N314" i="95"/>
  <c r="N217" i="95"/>
  <c r="N1398" i="95"/>
  <c r="N305" i="95"/>
  <c r="N200" i="95"/>
  <c r="N240" i="95"/>
  <c r="N478" i="95"/>
  <c r="N417" i="95"/>
  <c r="N361" i="95"/>
  <c r="N909" i="95"/>
  <c r="N713" i="95"/>
  <c r="N617" i="95"/>
  <c r="N452" i="95"/>
  <c r="N336" i="95"/>
  <c r="N276" i="95"/>
  <c r="N761" i="95"/>
  <c r="N606" i="95"/>
  <c r="N812" i="95"/>
  <c r="N1284" i="95"/>
  <c r="N1356" i="95"/>
  <c r="N408" i="95"/>
  <c r="N472" i="95"/>
  <c r="N536" i="95"/>
  <c r="N601" i="95"/>
  <c r="N674" i="95"/>
  <c r="N833" i="95"/>
  <c r="N419" i="95"/>
  <c r="N919" i="95"/>
  <c r="N780" i="95"/>
  <c r="N1334" i="95"/>
  <c r="N1220" i="95"/>
  <c r="N1526" i="95"/>
  <c r="N739" i="95"/>
  <c r="N803" i="95"/>
  <c r="N869" i="95"/>
  <c r="N1131" i="95"/>
  <c r="N957" i="95"/>
  <c r="N1278" i="95"/>
  <c r="N1534" i="95"/>
  <c r="N1061" i="95"/>
  <c r="N1286" i="95"/>
  <c r="N1542" i="95"/>
  <c r="N1009" i="95"/>
  <c r="N1077" i="95"/>
  <c r="N1262" i="95"/>
  <c r="N1518" i="95"/>
  <c r="N1536" i="95"/>
  <c r="N1395" i="95"/>
  <c r="N778" i="95"/>
  <c r="N632" i="95"/>
  <c r="N541" i="95"/>
  <c r="N495" i="95"/>
  <c r="N441" i="95"/>
  <c r="N377" i="95"/>
  <c r="N751" i="95"/>
  <c r="N631" i="95"/>
  <c r="N444" i="95"/>
  <c r="N347" i="95"/>
  <c r="N842" i="95"/>
  <c r="N664" i="95"/>
  <c r="N572" i="95"/>
  <c r="N519" i="95"/>
  <c r="N465" i="95"/>
  <c r="N401" i="95"/>
  <c r="N522" i="95"/>
  <c r="N298" i="95"/>
  <c r="N188" i="95"/>
  <c r="N210" i="95"/>
  <c r="N682" i="95"/>
  <c r="N390" i="95"/>
  <c r="N233" i="95"/>
  <c r="N159" i="95"/>
  <c r="N772" i="95"/>
  <c r="N397" i="95"/>
  <c r="N187" i="95"/>
  <c r="N171" i="95"/>
  <c r="N799" i="95"/>
  <c r="N307" i="95"/>
  <c r="N222" i="95"/>
  <c r="N172" i="95"/>
  <c r="N330" i="95"/>
  <c r="N704" i="95"/>
  <c r="N275" i="95"/>
  <c r="N267" i="95"/>
  <c r="N609" i="95"/>
  <c r="N303" i="95"/>
  <c r="N214" i="95"/>
  <c r="N604" i="95"/>
  <c r="N263" i="95"/>
  <c r="N168" i="95"/>
  <c r="N208" i="95"/>
  <c r="N875" i="95"/>
  <c r="N1164" i="95"/>
  <c r="N1062" i="95"/>
  <c r="N1310" i="95"/>
  <c r="N1085" i="95"/>
  <c r="N1070" i="95"/>
  <c r="N1318" i="95"/>
  <c r="N1101" i="95"/>
  <c r="N1012" i="95"/>
  <c r="N1086" i="95"/>
  <c r="N1294" i="95"/>
  <c r="N1173" i="95"/>
  <c r="N1544" i="95"/>
  <c r="N1307" i="95"/>
  <c r="N774" i="95"/>
  <c r="N628" i="95"/>
  <c r="N537" i="95"/>
  <c r="N491" i="95"/>
  <c r="N438" i="95"/>
  <c r="N374" i="95"/>
  <c r="N743" i="95"/>
  <c r="N577" i="95"/>
  <c r="N434" i="95"/>
  <c r="N344" i="95"/>
  <c r="N838" i="95"/>
  <c r="N660" i="95"/>
  <c r="N562" i="95"/>
  <c r="N515" i="95"/>
  <c r="N462" i="95"/>
  <c r="N398" i="95"/>
  <c r="N475" i="95"/>
  <c r="N291" i="95"/>
  <c r="N170" i="95"/>
  <c r="N178" i="95"/>
  <c r="N623" i="95"/>
  <c r="N359" i="95"/>
  <c r="N230" i="95"/>
  <c r="N203" i="95"/>
  <c r="N764" i="95"/>
  <c r="N290" i="95"/>
  <c r="N180" i="95"/>
  <c r="N845" i="95"/>
  <c r="N594" i="95"/>
  <c r="N289" i="95"/>
  <c r="N215" i="95"/>
  <c r="N154" i="95"/>
  <c r="N313" i="95"/>
  <c r="N649" i="95"/>
  <c r="N250" i="95"/>
  <c r="N612" i="95"/>
  <c r="N543" i="95"/>
  <c r="N281" i="95"/>
  <c r="N207" i="95"/>
  <c r="N554" i="95"/>
  <c r="N238" i="95"/>
  <c r="N329" i="95"/>
  <c r="N192" i="95"/>
  <c r="N1350" i="95"/>
  <c r="N1117" i="95"/>
  <c r="N1038" i="95"/>
  <c r="N1108" i="95"/>
  <c r="N1326" i="95"/>
  <c r="N1181" i="95"/>
  <c r="N1235" i="95"/>
  <c r="N1060" i="95"/>
  <c r="N717" i="95"/>
  <c r="N625" i="95"/>
  <c r="N534" i="95"/>
  <c r="N477" i="95"/>
  <c r="N431" i="95"/>
  <c r="N357" i="95"/>
  <c r="N724" i="95"/>
  <c r="N540" i="95"/>
  <c r="N412" i="95"/>
  <c r="N333" i="95"/>
  <c r="N781" i="95"/>
  <c r="N657" i="95"/>
  <c r="N558" i="95"/>
  <c r="N501" i="95"/>
  <c r="N455" i="95"/>
  <c r="N391" i="95"/>
  <c r="N429" i="95"/>
  <c r="N266" i="95"/>
  <c r="N163" i="95"/>
  <c r="N164" i="95"/>
  <c r="N583" i="95"/>
  <c r="N297" i="95"/>
  <c r="N223" i="95"/>
  <c r="N511" i="95"/>
  <c r="N646" i="95"/>
  <c r="N283" i="95"/>
  <c r="N162" i="95"/>
  <c r="N460" i="95"/>
  <c r="N586" i="95"/>
  <c r="N286" i="95"/>
  <c r="N193" i="95"/>
  <c r="N734" i="95"/>
  <c r="N270" i="95"/>
  <c r="N585" i="95"/>
  <c r="N243" i="95"/>
  <c r="N550" i="95"/>
  <c r="N492" i="95"/>
  <c r="N278" i="95"/>
  <c r="N185" i="95"/>
  <c r="N310" i="95"/>
  <c r="N167" i="95"/>
  <c r="N232" i="95"/>
  <c r="N160" i="95"/>
  <c r="M81" i="77"/>
  <c r="M80" i="77"/>
  <c r="M79" i="77"/>
  <c r="M78" i="77"/>
  <c r="M77" i="77"/>
  <c r="M76" i="77"/>
  <c r="M75" i="77"/>
  <c r="M74" i="77"/>
  <c r="M73" i="77"/>
  <c r="M72" i="77"/>
  <c r="H81" i="77"/>
  <c r="H80" i="77"/>
  <c r="H79" i="77"/>
  <c r="H78" i="77"/>
  <c r="H77" i="77"/>
  <c r="H76" i="77"/>
  <c r="H75" i="77"/>
  <c r="H74" i="77"/>
  <c r="H73" i="77"/>
  <c r="H72" i="77"/>
  <c r="M66" i="77"/>
  <c r="M70" i="77"/>
  <c r="M65" i="77"/>
  <c r="M68" i="77"/>
  <c r="M64" i="77"/>
  <c r="M67" i="77"/>
  <c r="M71" i="77"/>
  <c r="M63" i="77"/>
  <c r="M69" i="77"/>
  <c r="H70" i="77"/>
  <c r="H69" i="77"/>
  <c r="H68" i="77"/>
  <c r="H64" i="77"/>
  <c r="H71" i="77"/>
  <c r="H67" i="77"/>
  <c r="H66" i="77"/>
  <c r="H63" i="77"/>
  <c r="H65" i="77"/>
  <c r="M62" i="77"/>
  <c r="D121" i="95" l="1"/>
  <c r="E121" i="95" s="1"/>
  <c r="D123" i="95"/>
  <c r="D101" i="95"/>
  <c r="J20" i="98" l="1"/>
  <c r="K22" i="98" s="1"/>
  <c r="X22" i="98" s="1"/>
  <c r="G7" i="73"/>
  <c r="G19" i="95"/>
  <c r="G18" i="95"/>
  <c r="G17" i="95"/>
  <c r="N27" i="98" l="1"/>
  <c r="U27" i="98" s="1"/>
  <c r="L26" i="98"/>
  <c r="W26" i="98" s="1"/>
  <c r="N25" i="98"/>
  <c r="U25" i="98" s="1"/>
  <c r="P25" i="98"/>
  <c r="S25" i="98" s="1"/>
  <c r="N22" i="98"/>
  <c r="U22" i="98" s="1"/>
  <c r="K28" i="98"/>
  <c r="X28" i="98" s="1"/>
  <c r="K25" i="98"/>
  <c r="X25" i="98" s="1"/>
  <c r="N23" i="98"/>
  <c r="U23" i="98" s="1"/>
  <c r="M23" i="98"/>
  <c r="V23" i="98" s="1"/>
  <c r="O24" i="98"/>
  <c r="T24" i="98" s="1"/>
  <c r="K27" i="98"/>
  <c r="X27" i="98" s="1"/>
  <c r="O22" i="98"/>
  <c r="T22" i="98" s="1"/>
  <c r="L23" i="98"/>
  <c r="W23" i="98" s="1"/>
  <c r="M24" i="98"/>
  <c r="V24" i="98" s="1"/>
  <c r="P26" i="98"/>
  <c r="S26" i="98" s="1"/>
  <c r="M26" i="98"/>
  <c r="V26" i="98" s="1"/>
  <c r="O26" i="98"/>
  <c r="T26" i="98" s="1"/>
  <c r="M22" i="98"/>
  <c r="V22" i="98" s="1"/>
  <c r="L25" i="98"/>
  <c r="W25" i="98" s="1"/>
  <c r="O25" i="98"/>
  <c r="T25" i="98" s="1"/>
  <c r="K26" i="98"/>
  <c r="X26" i="98" s="1"/>
  <c r="P27" i="98"/>
  <c r="S27" i="98" s="1"/>
  <c r="P23" i="98"/>
  <c r="S23" i="98" s="1"/>
  <c r="P28" i="98"/>
  <c r="S28" i="98" s="1"/>
  <c r="O27" i="98"/>
  <c r="T27" i="98" s="1"/>
  <c r="M27" i="98"/>
  <c r="V27" i="98" s="1"/>
  <c r="K23" i="98"/>
  <c r="X23" i="98" s="1"/>
  <c r="O28" i="98"/>
  <c r="T28" i="98" s="1"/>
  <c r="K24" i="98"/>
  <c r="X24" i="98" s="1"/>
  <c r="M28" i="98"/>
  <c r="V28" i="98" s="1"/>
  <c r="N28" i="98"/>
  <c r="U28" i="98" s="1"/>
  <c r="L22" i="98"/>
  <c r="W22" i="98" s="1"/>
  <c r="P22" i="98"/>
  <c r="S22" i="98" s="1"/>
  <c r="N26" i="98"/>
  <c r="U26" i="98" s="1"/>
  <c r="L27" i="98"/>
  <c r="W27" i="98" s="1"/>
  <c r="M25" i="98"/>
  <c r="V25" i="98" s="1"/>
  <c r="P24" i="98"/>
  <c r="S24" i="98" s="1"/>
  <c r="O23" i="98"/>
  <c r="T23" i="98" s="1"/>
  <c r="L28" i="98"/>
  <c r="W28" i="98" s="1"/>
  <c r="L24" i="98"/>
  <c r="W24" i="98" s="1"/>
  <c r="N24" i="98"/>
  <c r="U24" i="98" s="1"/>
  <c r="J303" i="98"/>
  <c r="J302" i="98"/>
  <c r="F299" i="98"/>
  <c r="E299" i="98"/>
  <c r="D299" i="98" a="1"/>
  <c r="D299" i="98" s="1"/>
  <c r="E280" i="98"/>
  <c r="D280" i="98"/>
  <c r="C280" i="98"/>
  <c r="E279" i="98"/>
  <c r="D279" i="98"/>
  <c r="P261" i="98"/>
  <c r="P262" i="98" s="1"/>
  <c r="P263" i="98" s="1"/>
  <c r="D255" i="98" a="1"/>
  <c r="D255" i="98" s="1"/>
  <c r="C255" i="98" s="1"/>
  <c r="Y146" i="98"/>
  <c r="X146" i="98"/>
  <c r="W146" i="98"/>
  <c r="V146" i="98"/>
  <c r="U146" i="98"/>
  <c r="T146" i="98"/>
  <c r="S146" i="98"/>
  <c r="R146" i="98"/>
  <c r="Q146" i="98"/>
  <c r="P146" i="98"/>
  <c r="O146" i="98"/>
  <c r="N146" i="98"/>
  <c r="M146" i="98"/>
  <c r="L146" i="98"/>
  <c r="K146" i="98"/>
  <c r="J146" i="98"/>
  <c r="I146" i="98"/>
  <c r="H146" i="98"/>
  <c r="G146" i="98"/>
  <c r="F146" i="98"/>
  <c r="E146" i="98"/>
  <c r="D146" i="98"/>
  <c r="Y145" i="98"/>
  <c r="X145" i="98"/>
  <c r="W145" i="98"/>
  <c r="V145" i="98"/>
  <c r="U145" i="98"/>
  <c r="T145" i="98"/>
  <c r="S145" i="98"/>
  <c r="R145" i="98"/>
  <c r="Q145" i="98"/>
  <c r="P145" i="98"/>
  <c r="O145" i="98"/>
  <c r="N145" i="98"/>
  <c r="M145" i="98"/>
  <c r="L145" i="98"/>
  <c r="K145" i="98"/>
  <c r="J145" i="98"/>
  <c r="I145" i="98"/>
  <c r="H145" i="98"/>
  <c r="G145" i="98"/>
  <c r="F145" i="98"/>
  <c r="E145" i="98"/>
  <c r="D145" i="98"/>
  <c r="Y144" i="98"/>
  <c r="X144" i="98"/>
  <c r="W144" i="98"/>
  <c r="V144" i="98"/>
  <c r="U144" i="98"/>
  <c r="T144" i="98"/>
  <c r="S144" i="98"/>
  <c r="R144" i="98"/>
  <c r="Q144" i="98"/>
  <c r="P144" i="98"/>
  <c r="O144" i="98"/>
  <c r="N144" i="98"/>
  <c r="M144" i="98"/>
  <c r="L144" i="98"/>
  <c r="K144" i="98"/>
  <c r="J144" i="98"/>
  <c r="I144" i="98"/>
  <c r="H144" i="98"/>
  <c r="G144" i="98"/>
  <c r="F144" i="98"/>
  <c r="E144" i="98"/>
  <c r="D144" i="98"/>
  <c r="Y143" i="98"/>
  <c r="X143" i="98"/>
  <c r="W143" i="98"/>
  <c r="V143" i="98"/>
  <c r="U143" i="98"/>
  <c r="T143" i="98"/>
  <c r="S143" i="98"/>
  <c r="R143" i="98"/>
  <c r="Q143" i="98"/>
  <c r="P143" i="98"/>
  <c r="O143" i="98"/>
  <c r="N143" i="98"/>
  <c r="M143" i="98"/>
  <c r="L143" i="98"/>
  <c r="K143" i="98"/>
  <c r="J143" i="98"/>
  <c r="I143" i="98"/>
  <c r="H143" i="98"/>
  <c r="G143" i="98"/>
  <c r="F143" i="98"/>
  <c r="E143" i="98"/>
  <c r="D143" i="98"/>
  <c r="Y142" i="98"/>
  <c r="X142" i="98"/>
  <c r="W142" i="98"/>
  <c r="V142" i="98"/>
  <c r="U142" i="98"/>
  <c r="T142" i="98"/>
  <c r="S142" i="98"/>
  <c r="R142" i="98"/>
  <c r="Q142" i="98"/>
  <c r="P142" i="98"/>
  <c r="O142" i="98"/>
  <c r="N142" i="98"/>
  <c r="M142" i="98"/>
  <c r="L142" i="98"/>
  <c r="K142" i="98"/>
  <c r="J142" i="98"/>
  <c r="I142" i="98"/>
  <c r="H142" i="98"/>
  <c r="G142" i="98"/>
  <c r="F142" i="98"/>
  <c r="E142" i="98"/>
  <c r="D142" i="98"/>
  <c r="Y141" i="98"/>
  <c r="X141" i="98"/>
  <c r="W141" i="98"/>
  <c r="V141" i="98"/>
  <c r="U141" i="98"/>
  <c r="T141" i="98"/>
  <c r="S141" i="98"/>
  <c r="R141" i="98"/>
  <c r="Q141" i="98"/>
  <c r="P141" i="98"/>
  <c r="O141" i="98"/>
  <c r="N141" i="98"/>
  <c r="M141" i="98"/>
  <c r="L141" i="98"/>
  <c r="K141" i="98"/>
  <c r="J141" i="98"/>
  <c r="I141" i="98"/>
  <c r="H141" i="98"/>
  <c r="G141" i="98"/>
  <c r="F141" i="98"/>
  <c r="E141" i="98"/>
  <c r="D141" i="98"/>
  <c r="Y140" i="98"/>
  <c r="X140" i="98"/>
  <c r="W140" i="98"/>
  <c r="V140" i="98"/>
  <c r="U140" i="98"/>
  <c r="T140" i="98"/>
  <c r="S140" i="98"/>
  <c r="R140" i="98"/>
  <c r="Q140" i="98"/>
  <c r="P140" i="98"/>
  <c r="O140" i="98"/>
  <c r="N140" i="98"/>
  <c r="M140" i="98"/>
  <c r="L140" i="98"/>
  <c r="K140" i="98"/>
  <c r="J140" i="98"/>
  <c r="I140" i="98"/>
  <c r="H140" i="98"/>
  <c r="G140" i="98"/>
  <c r="F140" i="98"/>
  <c r="E140" i="98"/>
  <c r="D140" i="98"/>
  <c r="Y139" i="98"/>
  <c r="X139" i="98"/>
  <c r="W139" i="98"/>
  <c r="V139" i="98"/>
  <c r="U139" i="98"/>
  <c r="T139" i="98"/>
  <c r="S139" i="98"/>
  <c r="R139" i="98"/>
  <c r="Q139" i="98"/>
  <c r="P139" i="98"/>
  <c r="O139" i="98"/>
  <c r="N139" i="98"/>
  <c r="M139" i="98"/>
  <c r="L139" i="98"/>
  <c r="K139" i="98"/>
  <c r="J139" i="98"/>
  <c r="I139" i="98"/>
  <c r="H139" i="98"/>
  <c r="G139" i="98"/>
  <c r="F139" i="98"/>
  <c r="E139" i="98"/>
  <c r="D139" i="98"/>
  <c r="Y138" i="98"/>
  <c r="X138" i="98"/>
  <c r="W138" i="98"/>
  <c r="V138" i="98"/>
  <c r="U138" i="98"/>
  <c r="T138" i="98"/>
  <c r="S138" i="98"/>
  <c r="R138" i="98"/>
  <c r="Q138" i="98"/>
  <c r="P138" i="98"/>
  <c r="O138" i="98"/>
  <c r="N138" i="98"/>
  <c r="M138" i="98"/>
  <c r="L138" i="98"/>
  <c r="K138" i="98"/>
  <c r="J138" i="98"/>
  <c r="I138" i="98"/>
  <c r="H138" i="98"/>
  <c r="G138" i="98"/>
  <c r="F138" i="98"/>
  <c r="E138" i="98"/>
  <c r="D138" i="98"/>
  <c r="Y137" i="98"/>
  <c r="X137" i="98"/>
  <c r="W137" i="98"/>
  <c r="V137" i="98"/>
  <c r="U137" i="98"/>
  <c r="T137" i="98"/>
  <c r="S137" i="98"/>
  <c r="R137" i="98"/>
  <c r="Q137" i="98"/>
  <c r="P137" i="98"/>
  <c r="O137" i="98"/>
  <c r="N137" i="98"/>
  <c r="M137" i="98"/>
  <c r="L137" i="98"/>
  <c r="K137" i="98"/>
  <c r="J137" i="98"/>
  <c r="I137" i="98"/>
  <c r="H137" i="98"/>
  <c r="G137" i="98"/>
  <c r="F137" i="98"/>
  <c r="E137" i="98"/>
  <c r="D137" i="98"/>
  <c r="Y136" i="98"/>
  <c r="X136" i="98"/>
  <c r="W136" i="98"/>
  <c r="V136" i="98"/>
  <c r="U136" i="98"/>
  <c r="T136" i="98"/>
  <c r="S136" i="98"/>
  <c r="R136" i="98"/>
  <c r="Q136" i="98"/>
  <c r="P136" i="98"/>
  <c r="O136" i="98"/>
  <c r="N136" i="98"/>
  <c r="M136" i="98"/>
  <c r="L136" i="98"/>
  <c r="K136" i="98"/>
  <c r="J136" i="98"/>
  <c r="I136" i="98"/>
  <c r="H136" i="98"/>
  <c r="G136" i="98"/>
  <c r="F136" i="98"/>
  <c r="E136" i="98"/>
  <c r="D136" i="98"/>
  <c r="Y135" i="98"/>
  <c r="X135" i="98"/>
  <c r="W135" i="98"/>
  <c r="V135" i="98"/>
  <c r="U135" i="98"/>
  <c r="T135" i="98"/>
  <c r="S135" i="98"/>
  <c r="R135" i="98"/>
  <c r="Q135" i="98"/>
  <c r="P135" i="98"/>
  <c r="O135" i="98"/>
  <c r="N135" i="98"/>
  <c r="M135" i="98"/>
  <c r="L135" i="98"/>
  <c r="K135" i="98"/>
  <c r="J135" i="98"/>
  <c r="I135" i="98"/>
  <c r="H135" i="98"/>
  <c r="G135" i="98"/>
  <c r="F135" i="98"/>
  <c r="E135" i="98"/>
  <c r="D135" i="98"/>
  <c r="Y134" i="98"/>
  <c r="X134" i="98"/>
  <c r="W134" i="98"/>
  <c r="V134" i="98"/>
  <c r="U134" i="98"/>
  <c r="T134" i="98"/>
  <c r="S134" i="98"/>
  <c r="R134" i="98"/>
  <c r="Q134" i="98"/>
  <c r="P134" i="98"/>
  <c r="O134" i="98"/>
  <c r="N134" i="98"/>
  <c r="M134" i="98"/>
  <c r="L134" i="98"/>
  <c r="K134" i="98"/>
  <c r="J134" i="98"/>
  <c r="I134" i="98"/>
  <c r="H134" i="98"/>
  <c r="G134" i="98"/>
  <c r="F134" i="98"/>
  <c r="E134" i="98"/>
  <c r="D134" i="98"/>
  <c r="Y133" i="98"/>
  <c r="X133" i="98"/>
  <c r="W133" i="98"/>
  <c r="V133" i="98"/>
  <c r="U133" i="98"/>
  <c r="T133" i="98"/>
  <c r="S133" i="98"/>
  <c r="R133" i="98"/>
  <c r="Q133" i="98"/>
  <c r="P133" i="98"/>
  <c r="O133" i="98"/>
  <c r="N133" i="98"/>
  <c r="M133" i="98"/>
  <c r="L133" i="98"/>
  <c r="K133" i="98"/>
  <c r="J133" i="98"/>
  <c r="I133" i="98"/>
  <c r="H133" i="98"/>
  <c r="G133" i="98"/>
  <c r="F133" i="98"/>
  <c r="E133" i="98"/>
  <c r="D133" i="98"/>
  <c r="C127" i="98"/>
  <c r="D127" i="98" s="1"/>
  <c r="D126" i="98"/>
  <c r="C120" i="98"/>
  <c r="D86" i="98" a="1"/>
  <c r="D86" i="98" s="1"/>
  <c r="C84" i="98"/>
  <c r="C83" i="98"/>
  <c r="E82" i="98" a="1"/>
  <c r="E82" i="98" s="1"/>
  <c r="D82" i="98" a="1"/>
  <c r="D82" i="98" s="1"/>
  <c r="C14" i="98"/>
  <c r="C8" i="98"/>
  <c r="C4" i="98"/>
  <c r="C3" i="98" a="1"/>
  <c r="C3" i="98" s="1"/>
  <c r="C2" i="98" a="1"/>
  <c r="C2" i="98" s="1"/>
  <c r="D71" i="87"/>
  <c r="D14" i="87"/>
  <c r="F118" i="77"/>
  <c r="F117" i="77"/>
  <c r="K82" i="77"/>
  <c r="F82" i="77"/>
  <c r="F57" i="77"/>
  <c r="F56" i="77"/>
  <c r="F54" i="77"/>
  <c r="F53" i="77"/>
  <c r="D15" i="77"/>
  <c r="D65" i="68"/>
  <c r="E64" i="68"/>
  <c r="D62" i="68"/>
  <c r="E61" i="68"/>
  <c r="D59" i="68"/>
  <c r="E58" i="68"/>
  <c r="X35" i="79"/>
  <c r="R35" i="79"/>
  <c r="P35" i="79"/>
  <c r="J35" i="79"/>
  <c r="H35" i="79"/>
  <c r="W61" i="75"/>
  <c r="J61" i="75"/>
  <c r="W60" i="75"/>
  <c r="J60" i="75"/>
  <c r="W59" i="75"/>
  <c r="J59" i="75"/>
  <c r="W58" i="75"/>
  <c r="J58" i="75"/>
  <c r="W57" i="75"/>
  <c r="J57" i="75"/>
  <c r="W56" i="75"/>
  <c r="J56" i="75"/>
  <c r="W55" i="75"/>
  <c r="J55" i="75"/>
  <c r="W54" i="75"/>
  <c r="J54" i="75"/>
  <c r="Q48" i="75"/>
  <c r="D48" i="75"/>
  <c r="W47" i="75"/>
  <c r="W46" i="75"/>
  <c r="W45" i="75"/>
  <c r="W44" i="75"/>
  <c r="W43" i="75"/>
  <c r="W42" i="75"/>
  <c r="W41" i="75"/>
  <c r="W40" i="75"/>
  <c r="W39" i="75"/>
  <c r="W38" i="75"/>
  <c r="Q33" i="75"/>
  <c r="Q32" i="75"/>
  <c r="T32" i="75" s="1"/>
  <c r="Q31" i="75"/>
  <c r="T31" i="75" s="1"/>
  <c r="Q30" i="75"/>
  <c r="T30" i="75" s="1"/>
  <c r="Q29" i="75"/>
  <c r="T29" i="75" s="1"/>
  <c r="Q28" i="75"/>
  <c r="T28" i="75" s="1"/>
  <c r="Q27" i="75"/>
  <c r="Q34" i="75" s="1"/>
  <c r="R19" i="90"/>
  <c r="Q19" i="90"/>
  <c r="T19" i="90" s="1"/>
  <c r="R18" i="90"/>
  <c r="Q18" i="90"/>
  <c r="T16" i="90" s="1"/>
  <c r="R15" i="90"/>
  <c r="Q15" i="90"/>
  <c r="R14" i="90"/>
  <c r="Q14" i="90"/>
  <c r="R10" i="90"/>
  <c r="Q10" i="90"/>
  <c r="R9" i="90"/>
  <c r="Q9" i="90"/>
  <c r="R8" i="90"/>
  <c r="Q8" i="90"/>
  <c r="R7" i="90"/>
  <c r="Q7" i="90"/>
  <c r="R6" i="90"/>
  <c r="Q6" i="90"/>
  <c r="N3" i="90"/>
  <c r="D32" i="89"/>
  <c r="G50" i="88"/>
  <c r="F106" i="98" s="1"/>
  <c r="E50" i="88"/>
  <c r="D106" i="98" s="1"/>
  <c r="G48" i="88"/>
  <c r="F105" i="98" s="1"/>
  <c r="E48" i="88"/>
  <c r="D105" i="98" s="1"/>
  <c r="G43" i="88"/>
  <c r="E43" i="88"/>
  <c r="G27" i="88"/>
  <c r="E27" i="88"/>
  <c r="G21" i="88"/>
  <c r="E21" i="88"/>
  <c r="G19" i="88"/>
  <c r="E19" i="88"/>
  <c r="H61" i="96"/>
  <c r="D70" i="96"/>
  <c r="E47" i="97"/>
  <c r="E46" i="97"/>
  <c r="D42" i="97"/>
  <c r="G39" i="97"/>
  <c r="G36" i="97"/>
  <c r="E36" i="97"/>
  <c r="G35" i="97"/>
  <c r="E35" i="97"/>
  <c r="G34" i="97"/>
  <c r="E34" i="97"/>
  <c r="G33" i="97"/>
  <c r="E33" i="97"/>
  <c r="G32" i="97"/>
  <c r="E32" i="97"/>
  <c r="G31" i="97"/>
  <c r="E31" i="97"/>
  <c r="G30" i="97"/>
  <c r="E30" i="97"/>
  <c r="G20" i="97"/>
  <c r="E20" i="97"/>
  <c r="G19" i="97"/>
  <c r="E19" i="97"/>
  <c r="G17" i="97"/>
  <c r="E17" i="97"/>
  <c r="G16" i="97"/>
  <c r="E16" i="97"/>
  <c r="G12" i="97"/>
  <c r="E12" i="97"/>
  <c r="G66" i="92"/>
  <c r="E66" i="92"/>
  <c r="G65" i="92"/>
  <c r="E65" i="92"/>
  <c r="G64" i="92"/>
  <c r="E64" i="92"/>
  <c r="G63" i="92"/>
  <c r="E63" i="92"/>
  <c r="G62" i="92"/>
  <c r="E62" i="92"/>
  <c r="G49" i="92"/>
  <c r="E49" i="92"/>
  <c r="G48" i="92"/>
  <c r="E48" i="92"/>
  <c r="G47" i="92"/>
  <c r="E47" i="92"/>
  <c r="G46" i="92"/>
  <c r="E46" i="92"/>
  <c r="G64" i="84"/>
  <c r="E64" i="84"/>
  <c r="F62" i="84"/>
  <c r="D62" i="84"/>
  <c r="F61" i="84"/>
  <c r="D61" i="84"/>
  <c r="F60" i="84"/>
  <c r="D60" i="84"/>
  <c r="F59" i="84"/>
  <c r="D59" i="84"/>
  <c r="E41" i="84"/>
  <c r="E36" i="84"/>
  <c r="E33" i="84"/>
  <c r="E25" i="84"/>
  <c r="E21" i="84"/>
  <c r="E19" i="84"/>
  <c r="E10" i="84"/>
  <c r="E8" i="84"/>
  <c r="E7" i="84"/>
  <c r="E6" i="84"/>
  <c r="E41" i="46"/>
  <c r="E36" i="46"/>
  <c r="E33" i="46"/>
  <c r="E25" i="46"/>
  <c r="E21" i="46"/>
  <c r="E19" i="46"/>
  <c r="E9" i="46"/>
  <c r="E197" i="83"/>
  <c r="E196" i="83"/>
  <c r="E195" i="83"/>
  <c r="E194" i="83"/>
  <c r="E193" i="83"/>
  <c r="E192" i="83"/>
  <c r="E188" i="83"/>
  <c r="E187" i="83"/>
  <c r="E186" i="83"/>
  <c r="I41" i="83"/>
  <c r="G41" i="83"/>
  <c r="F41" i="83" s="1"/>
  <c r="E41" i="83"/>
  <c r="I37" i="83"/>
  <c r="E37" i="83"/>
  <c r="I33" i="83"/>
  <c r="E33" i="83"/>
  <c r="E27" i="83"/>
  <c r="I26" i="83"/>
  <c r="E26" i="83"/>
  <c r="I25" i="83"/>
  <c r="G25" i="83"/>
  <c r="E25" i="83"/>
  <c r="I13" i="83"/>
  <c r="I12" i="83"/>
  <c r="G12" i="83"/>
  <c r="E12" i="83"/>
  <c r="I11" i="83"/>
  <c r="G11" i="83"/>
  <c r="E11" i="83"/>
  <c r="I10" i="83"/>
  <c r="G10" i="83"/>
  <c r="E10" i="83"/>
  <c r="G9" i="83"/>
  <c r="E9" i="83"/>
  <c r="I8" i="83"/>
  <c r="G8" i="83"/>
  <c r="I7" i="83"/>
  <c r="G7" i="83"/>
  <c r="E123" i="95"/>
  <c r="E105" i="95"/>
  <c r="E104" i="95"/>
  <c r="E103" i="95"/>
  <c r="E102" i="95"/>
  <c r="D97" i="95"/>
  <c r="D96" i="95"/>
  <c r="D95" i="95"/>
  <c r="E88" i="95"/>
  <c r="E97" i="95" s="1"/>
  <c r="E87" i="95"/>
  <c r="E96" i="95" s="1"/>
  <c r="E86" i="95"/>
  <c r="E95" i="95" s="1"/>
  <c r="D85" i="95"/>
  <c r="D94" i="95" s="1"/>
  <c r="G72" i="95"/>
  <c r="E72" i="95"/>
  <c r="G71" i="95"/>
  <c r="E71" i="95"/>
  <c r="G70" i="95"/>
  <c r="E70" i="95"/>
  <c r="G65" i="95"/>
  <c r="E65" i="95"/>
  <c r="G64" i="95"/>
  <c r="E64" i="95"/>
  <c r="G63" i="95"/>
  <c r="E63" i="95"/>
  <c r="E54" i="95"/>
  <c r="E53" i="95"/>
  <c r="E50" i="95"/>
  <c r="E48" i="95"/>
  <c r="G47" i="95"/>
  <c r="E47" i="95"/>
  <c r="G46" i="95"/>
  <c r="E46" i="95"/>
  <c r="D41" i="95"/>
  <c r="E41" i="95" s="1"/>
  <c r="E23" i="95"/>
  <c r="E22" i="95"/>
  <c r="E21" i="95"/>
  <c r="E19" i="95"/>
  <c r="E18" i="95"/>
  <c r="E17" i="95"/>
  <c r="G8" i="95"/>
  <c r="G7" i="95"/>
  <c r="E7" i="95"/>
  <c r="J10" i="63"/>
  <c r="C3" i="63"/>
  <c r="C2" i="63"/>
  <c r="G17" i="73"/>
  <c r="B4" i="87" s="1"/>
  <c r="G16" i="73"/>
  <c r="B3" i="77" s="1"/>
  <c r="G15" i="73"/>
  <c r="G14" i="73"/>
  <c r="B4" i="67" s="1"/>
  <c r="G11" i="73"/>
  <c r="G10" i="73"/>
  <c r="B4" i="79" s="1"/>
  <c r="G9" i="73"/>
  <c r="B4" i="97" s="1"/>
  <c r="B4" i="84"/>
  <c r="G6" i="73"/>
  <c r="B4" i="46" s="1"/>
  <c r="G5" i="73"/>
  <c r="B4" i="83" s="1"/>
  <c r="G4" i="73"/>
  <c r="B4" i="95" s="1"/>
  <c r="E8" i="95"/>
  <c r="E9" i="95"/>
  <c r="J45" i="75"/>
  <c r="J41" i="75"/>
  <c r="J38" i="75"/>
  <c r="J39" i="75"/>
  <c r="J47" i="75"/>
  <c r="I9" i="83"/>
  <c r="J40" i="75"/>
  <c r="E101" i="95"/>
  <c r="J43" i="75"/>
  <c r="J46" i="75"/>
  <c r="J42" i="75"/>
  <c r="J44" i="75"/>
  <c r="Y12" i="62"/>
  <c r="Y24" i="62"/>
  <c r="Y21" i="62"/>
  <c r="Y8" i="62"/>
  <c r="Y16" i="62"/>
  <c r="Y18" i="62"/>
  <c r="Y13" i="62"/>
  <c r="Y14" i="62"/>
  <c r="Y20" i="62"/>
  <c r="Y19" i="62"/>
  <c r="Y10" i="62"/>
  <c r="Y25" i="62"/>
  <c r="Y9" i="62"/>
  <c r="Y11" i="62"/>
  <c r="Y22" i="62"/>
  <c r="Y23" i="62"/>
  <c r="Y17" i="62"/>
  <c r="Y27" i="62"/>
  <c r="Y15" i="62"/>
  <c r="Y28" i="62"/>
  <c r="Y26" i="62"/>
  <c r="E83" i="95"/>
  <c r="G68" i="95"/>
  <c r="E93" i="95"/>
  <c r="G27" i="95"/>
  <c r="E92" i="95"/>
  <c r="G84" i="95"/>
  <c r="E15" i="46"/>
  <c r="G19" i="83"/>
  <c r="G44" i="95"/>
  <c r="E82" i="95"/>
  <c r="E26" i="88"/>
  <c r="I19" i="83"/>
  <c r="E11" i="97"/>
  <c r="G20" i="88"/>
  <c r="E20" i="88"/>
  <c r="G18" i="83"/>
  <c r="E40" i="46"/>
  <c r="G45" i="95"/>
  <c r="E16" i="46"/>
  <c r="E74" i="95"/>
  <c r="E20" i="95"/>
  <c r="E31" i="46"/>
  <c r="G83" i="95"/>
  <c r="E31" i="84"/>
  <c r="G31" i="88"/>
  <c r="E49" i="95"/>
  <c r="E17" i="83"/>
  <c r="E17" i="46"/>
  <c r="E7" i="46"/>
  <c r="G31" i="95"/>
  <c r="E31" i="95"/>
  <c r="E60" i="95"/>
  <c r="E30" i="84"/>
  <c r="G67" i="95"/>
  <c r="G60" i="95"/>
  <c r="G29" i="95"/>
  <c r="E32" i="83"/>
  <c r="E40" i="84"/>
  <c r="G92" i="95"/>
  <c r="G17" i="83"/>
  <c r="E16" i="84"/>
  <c r="E122" i="95"/>
  <c r="G82" i="95"/>
  <c r="G27" i="97"/>
  <c r="G36" i="83"/>
  <c r="G26" i="97"/>
  <c r="G26" i="88"/>
  <c r="E18" i="83"/>
  <c r="E19" i="83"/>
  <c r="E106" i="95"/>
  <c r="E44" i="88"/>
  <c r="E75" i="95"/>
  <c r="E67" i="95"/>
  <c r="E91" i="95"/>
  <c r="E15" i="84"/>
  <c r="G24" i="83"/>
  <c r="I32" i="83"/>
  <c r="G32" i="83"/>
  <c r="E8" i="46"/>
  <c r="G44" i="88"/>
  <c r="E17" i="84"/>
  <c r="E61" i="95"/>
  <c r="E85" i="95"/>
  <c r="E26" i="97"/>
  <c r="E24" i="83"/>
  <c r="G93" i="95"/>
  <c r="E29" i="95"/>
  <c r="E28" i="97"/>
  <c r="I24" i="83"/>
  <c r="I17" i="83"/>
  <c r="I18" i="83"/>
  <c r="G91" i="95"/>
  <c r="G11" i="97"/>
  <c r="G61" i="95"/>
  <c r="E30" i="46"/>
  <c r="E84" i="95"/>
  <c r="E34" i="88"/>
  <c r="E27" i="97"/>
  <c r="E27" i="95"/>
  <c r="E36" i="83"/>
  <c r="G28" i="97"/>
  <c r="E68" i="95"/>
  <c r="B134" i="98" l="1" a="1"/>
  <c r="B134" i="98" s="1"/>
  <c r="AA13" i="62"/>
  <c r="C156" i="98" s="1"/>
  <c r="AA12" i="62"/>
  <c r="C155" i="98" s="1"/>
  <c r="AA25" i="62"/>
  <c r="C168" i="98" s="1"/>
  <c r="AA28" i="62"/>
  <c r="C171" i="98" s="1"/>
  <c r="AA27" i="62"/>
  <c r="C170" i="98" s="1"/>
  <c r="AA26" i="62"/>
  <c r="C169" i="98" s="1"/>
  <c r="AA23" i="62"/>
  <c r="C166" i="98" s="1"/>
  <c r="AA24" i="62"/>
  <c r="C167" i="98" s="1"/>
  <c r="E53" i="97"/>
  <c r="E54" i="97"/>
  <c r="D49" i="97"/>
  <c r="D20" i="83"/>
  <c r="D37" i="98" s="1"/>
  <c r="D14" i="83"/>
  <c r="D36" i="98" s="1"/>
  <c r="D68" i="84"/>
  <c r="G35" i="88"/>
  <c r="F102" i="98" s="1"/>
  <c r="D28" i="83"/>
  <c r="D38" i="98" s="1"/>
  <c r="E77" i="95"/>
  <c r="D26" i="98" s="1"/>
  <c r="D119" i="77"/>
  <c r="D128" i="77" s="1"/>
  <c r="D66" i="68"/>
  <c r="D70" i="68" s="1"/>
  <c r="E35" i="88"/>
  <c r="D102" i="98" s="1"/>
  <c r="B4" i="99"/>
  <c r="D71" i="96"/>
  <c r="C87" i="98" s="1"/>
  <c r="D65" i="96"/>
  <c r="D67" i="96" s="1"/>
  <c r="E27" i="68"/>
  <c r="D52" i="68" s="1"/>
  <c r="D48" i="67"/>
  <c r="AA22" i="62"/>
  <c r="AA20" i="62"/>
  <c r="C163" i="98" s="1"/>
  <c r="AA18" i="62"/>
  <c r="D45" i="89"/>
  <c r="AA10" i="62"/>
  <c r="C153" i="98" s="1"/>
  <c r="AA11" i="62"/>
  <c r="C154" i="98" s="1"/>
  <c r="AA9" i="62"/>
  <c r="AA8" i="62"/>
  <c r="C151" i="98" s="1"/>
  <c r="D127" i="95"/>
  <c r="C28" i="98" s="1"/>
  <c r="E24" i="95"/>
  <c r="D22" i="98" s="1"/>
  <c r="T6" i="90"/>
  <c r="T8" i="90"/>
  <c r="T10" i="90"/>
  <c r="T15" i="90"/>
  <c r="T9" i="90"/>
  <c r="T14" i="90"/>
  <c r="T7" i="90"/>
  <c r="C459" i="98" a="1"/>
  <c r="C459" i="98" s="1"/>
  <c r="J9" i="63"/>
  <c r="C48" i="97"/>
  <c r="D76" i="87"/>
  <c r="C269" i="98"/>
  <c r="C271" i="98" s="1"/>
  <c r="D67" i="92"/>
  <c r="H28" i="83"/>
  <c r="F38" i="98" s="1"/>
  <c r="G24" i="95"/>
  <c r="F280" i="98"/>
  <c r="C281" i="98" s="1"/>
  <c r="D281" i="98" s="1"/>
  <c r="D70" i="98"/>
  <c r="G299" i="98"/>
  <c r="C299" i="98" s="1"/>
  <c r="C82" i="98"/>
  <c r="E55" i="95"/>
  <c r="D25" i="98" s="1"/>
  <c r="H23" i="90"/>
  <c r="D52" i="67"/>
  <c r="D50" i="92"/>
  <c r="D66" i="98" s="1"/>
  <c r="J48" i="75"/>
  <c r="M82" i="77"/>
  <c r="I84" i="77" s="1"/>
  <c r="I122" i="77" s="1"/>
  <c r="F279" i="98"/>
  <c r="C279" i="98" s="1"/>
  <c r="G37" i="92"/>
  <c r="E32" i="95"/>
  <c r="D23" i="98" s="1"/>
  <c r="E94" i="95"/>
  <c r="E98" i="95" s="1"/>
  <c r="I34" i="83"/>
  <c r="F39" i="98" s="1"/>
  <c r="E18" i="46"/>
  <c r="D37" i="84"/>
  <c r="E32" i="84"/>
  <c r="F40" i="97"/>
  <c r="C76" i="98" s="1"/>
  <c r="G32" i="95"/>
  <c r="F23" i="98" s="1"/>
  <c r="E32" i="46"/>
  <c r="D37" i="46"/>
  <c r="F20" i="83"/>
  <c r="F56" i="83" s="1"/>
  <c r="G89" i="95"/>
  <c r="F29" i="98" s="1"/>
  <c r="H20" i="83"/>
  <c r="F37" i="98" s="1"/>
  <c r="D26" i="84"/>
  <c r="E34" i="83"/>
  <c r="D39" i="98" s="1"/>
  <c r="E28" i="88"/>
  <c r="D101" i="98" s="1"/>
  <c r="D18" i="92"/>
  <c r="G28" i="88"/>
  <c r="F101" i="98" s="1"/>
  <c r="E89" i="95"/>
  <c r="D29" i="98" s="1"/>
  <c r="E38" i="83"/>
  <c r="D40" i="98" s="1"/>
  <c r="E41" i="92"/>
  <c r="D13" i="97"/>
  <c r="G38" i="83"/>
  <c r="G41" i="92"/>
  <c r="G34" i="83"/>
  <c r="G73" i="95"/>
  <c r="F28" i="98" s="1"/>
  <c r="G98" i="95"/>
  <c r="F30" i="98" s="1"/>
  <c r="I38" i="83"/>
  <c r="F40" i="98" s="1"/>
  <c r="D42" i="84"/>
  <c r="E37" i="92"/>
  <c r="E22" i="88"/>
  <c r="F18" i="92"/>
  <c r="F53" i="92" s="1"/>
  <c r="D10" i="46"/>
  <c r="E73" i="95"/>
  <c r="D28" i="98" s="1"/>
  <c r="G45" i="88"/>
  <c r="F51" i="88" s="1"/>
  <c r="F55" i="88" s="1"/>
  <c r="I35" i="79"/>
  <c r="Y35" i="79"/>
  <c r="K35" i="79"/>
  <c r="L35" i="79"/>
  <c r="E51" i="95"/>
  <c r="D24" i="98" s="1"/>
  <c r="E45" i="88"/>
  <c r="D51" i="88" s="1"/>
  <c r="D55" i="88" s="1"/>
  <c r="F28" i="83"/>
  <c r="F57" i="83" s="1"/>
  <c r="F50" i="92"/>
  <c r="F66" i="98" s="1"/>
  <c r="T63" i="75"/>
  <c r="T67" i="75" s="1"/>
  <c r="D30" i="92"/>
  <c r="W48" i="75"/>
  <c r="O35" i="79"/>
  <c r="D66" i="87"/>
  <c r="W35" i="79"/>
  <c r="D42" i="46"/>
  <c r="D49" i="98" s="1"/>
  <c r="F30" i="92"/>
  <c r="Q35" i="79"/>
  <c r="D58" i="77"/>
  <c r="D124" i="77" s="1"/>
  <c r="H82" i="77"/>
  <c r="D84" i="77" s="1"/>
  <c r="D123" i="77" s="1"/>
  <c r="D24" i="87"/>
  <c r="D55" i="87" s="1"/>
  <c r="D264" i="98" s="1"/>
  <c r="C265" i="98" s="1"/>
  <c r="G35" i="79"/>
  <c r="D256" i="98"/>
  <c r="C256" i="98" s="1"/>
  <c r="F41" i="98"/>
  <c r="H41" i="83"/>
  <c r="C86" i="98"/>
  <c r="E66" i="95"/>
  <c r="F14" i="83"/>
  <c r="F55" i="83" s="1"/>
  <c r="G22" i="88"/>
  <c r="B4" i="62"/>
  <c r="B4" i="88"/>
  <c r="G66" i="95"/>
  <c r="H14" i="83"/>
  <c r="G51" i="95"/>
  <c r="B4" i="68"/>
  <c r="B4" i="96"/>
  <c r="D26" i="46"/>
  <c r="D11" i="84"/>
  <c r="D41" i="83"/>
  <c r="D41" i="98"/>
  <c r="T27" i="75"/>
  <c r="T34" i="75" s="1"/>
  <c r="E107" i="95"/>
  <c r="D31" i="98" s="1"/>
  <c r="E18" i="84"/>
  <c r="D40" i="97"/>
  <c r="E35" i="79"/>
  <c r="M35" i="79"/>
  <c r="U35" i="79"/>
  <c r="F35" i="79"/>
  <c r="N35" i="79"/>
  <c r="V35" i="79"/>
  <c r="AA16" i="62"/>
  <c r="C159" i="98" s="1"/>
  <c r="AA14" i="62"/>
  <c r="C157" i="98" s="1"/>
  <c r="D291" i="98" a="1"/>
  <c r="D292" i="98" a="1"/>
  <c r="F290" i="98" a="1"/>
  <c r="Y31" i="62" l="1"/>
  <c r="M31" i="62"/>
  <c r="Z31" i="62"/>
  <c r="AB31" i="62"/>
  <c r="L31" i="62"/>
  <c r="AA31" i="62"/>
  <c r="W30" i="75"/>
  <c r="W26" i="75"/>
  <c r="W31" i="62"/>
  <c r="X31" i="62"/>
  <c r="I31" i="62"/>
  <c r="C152" i="98"/>
  <c r="V31" i="62"/>
  <c r="C165" i="98"/>
  <c r="R31" i="62"/>
  <c r="C161" i="98"/>
  <c r="C286" i="98"/>
  <c r="D292" i="98"/>
  <c r="D291" i="98"/>
  <c r="F290" i="98"/>
  <c r="D56" i="97"/>
  <c r="D55" i="83"/>
  <c r="D58" i="97"/>
  <c r="D64" i="97" s="1"/>
  <c r="D132" i="77"/>
  <c r="D133" i="77"/>
  <c r="D69" i="68"/>
  <c r="D72" i="68" s="1"/>
  <c r="C300" i="98"/>
  <c r="F8" i="63"/>
  <c r="N31" i="62"/>
  <c r="AA15" i="62"/>
  <c r="C158" i="98" s="1"/>
  <c r="P31" i="62"/>
  <c r="T31" i="62"/>
  <c r="AA19" i="62"/>
  <c r="C162" i="98" s="1"/>
  <c r="AA17" i="62"/>
  <c r="C160" i="98" s="1"/>
  <c r="AA21" i="62"/>
  <c r="C164" i="98" s="1"/>
  <c r="C117" i="98"/>
  <c r="J31" i="62"/>
  <c r="K31" i="62"/>
  <c r="H31" i="62"/>
  <c r="T66" i="75"/>
  <c r="D75" i="87"/>
  <c r="C268" i="98"/>
  <c r="W33" i="75"/>
  <c r="W31" i="75"/>
  <c r="W32" i="75"/>
  <c r="W28" i="75"/>
  <c r="W29" i="75"/>
  <c r="W27" i="75"/>
  <c r="C462" i="98"/>
  <c r="D48" i="84"/>
  <c r="D57" i="98"/>
  <c r="D47" i="84"/>
  <c r="D56" i="98"/>
  <c r="D46" i="84"/>
  <c r="D55" i="98"/>
  <c r="F36" i="88"/>
  <c r="F54" i="88" s="1"/>
  <c r="D36" i="88"/>
  <c r="D54" i="88" s="1"/>
  <c r="D57" i="88" s="1"/>
  <c r="D45" i="84"/>
  <c r="D54" i="98"/>
  <c r="D46" i="98"/>
  <c r="D104" i="98"/>
  <c r="D34" i="95"/>
  <c r="D112" i="95" s="1"/>
  <c r="D43" i="83"/>
  <c r="D58" i="83" s="1"/>
  <c r="D56" i="92"/>
  <c r="D57" i="95"/>
  <c r="D113" i="95" s="1"/>
  <c r="T50" i="75"/>
  <c r="T68" i="75" s="1"/>
  <c r="F109" i="95"/>
  <c r="F115" i="95" s="1"/>
  <c r="C266" i="98"/>
  <c r="D54" i="92"/>
  <c r="D45" i="46"/>
  <c r="F104" i="98"/>
  <c r="H43" i="83"/>
  <c r="H58" i="83" s="1"/>
  <c r="H57" i="83"/>
  <c r="D57" i="83"/>
  <c r="F54" i="92"/>
  <c r="D100" i="98"/>
  <c r="D48" i="98"/>
  <c r="D53" i="92"/>
  <c r="D43" i="92"/>
  <c r="D56" i="83"/>
  <c r="D47" i="46"/>
  <c r="F56" i="92"/>
  <c r="F43" i="83"/>
  <c r="F58" i="83" s="1"/>
  <c r="F59" i="83" s="1"/>
  <c r="D30" i="98"/>
  <c r="D109" i="95"/>
  <c r="D115" i="95" s="1"/>
  <c r="D74" i="87"/>
  <c r="C103" i="98"/>
  <c r="D103" i="98" s="1"/>
  <c r="C263" i="98"/>
  <c r="D48" i="46"/>
  <c r="D88" i="98"/>
  <c r="D72" i="96"/>
  <c r="H56" i="83"/>
  <c r="F43" i="92"/>
  <c r="F24" i="98"/>
  <c r="F57" i="95"/>
  <c r="F113" i="95" s="1"/>
  <c r="F27" i="98"/>
  <c r="F79" i="95"/>
  <c r="F114" i="95" s="1"/>
  <c r="D27" i="98"/>
  <c r="D79" i="95"/>
  <c r="D114" i="95" s="1"/>
  <c r="D47" i="98"/>
  <c r="D46" i="46"/>
  <c r="F22" i="98"/>
  <c r="F34" i="95"/>
  <c r="F112" i="95" s="1"/>
  <c r="D70" i="97"/>
  <c r="D21" i="97" s="1"/>
  <c r="D23" i="97" s="1"/>
  <c r="C75" i="98"/>
  <c r="F36" i="98"/>
  <c r="C36" i="98" s="1" a="1"/>
  <c r="C36" i="98" s="1"/>
  <c r="H55" i="83"/>
  <c r="F100" i="98"/>
  <c r="D286" i="98" a="1"/>
  <c r="C302" i="98" a="1"/>
  <c r="W34" i="75" l="1"/>
  <c r="C302" i="98"/>
  <c r="D286" i="98"/>
  <c r="D71" i="84"/>
  <c r="D66" i="97"/>
  <c r="D129" i="95"/>
  <c r="D128" i="95"/>
  <c r="K3" i="63" s="1"/>
  <c r="D52" i="46"/>
  <c r="D62" i="83"/>
  <c r="D78" i="87"/>
  <c r="C260" i="98" s="1"/>
  <c r="O31" i="62"/>
  <c r="G33" i="62"/>
  <c r="G35" i="62" s="1"/>
  <c r="Q31" i="62"/>
  <c r="S31" i="62"/>
  <c r="U31" i="62"/>
  <c r="T69" i="75"/>
  <c r="T75" i="75" s="1"/>
  <c r="C465" i="98" a="1"/>
  <c r="C465" i="98" s="1"/>
  <c r="C464" i="98" a="1"/>
  <c r="C464" i="98" s="1"/>
  <c r="C37" i="98" a="1"/>
  <c r="C37" i="98" s="1"/>
  <c r="C463" i="98" s="1"/>
  <c r="C22" i="98" a="1"/>
  <c r="C22" i="98" s="1"/>
  <c r="C461" i="98" s="1"/>
  <c r="D252" i="98"/>
  <c r="C254" i="98" s="1"/>
  <c r="J8" i="63"/>
  <c r="D49" i="84"/>
  <c r="D72" i="84" s="1"/>
  <c r="C252" i="98"/>
  <c r="D116" i="95"/>
  <c r="D59" i="83"/>
  <c r="H59" i="83"/>
  <c r="D49" i="46"/>
  <c r="D53" i="46" s="1"/>
  <c r="D55" i="92"/>
  <c r="C74" i="98"/>
  <c r="D69" i="97"/>
  <c r="D73" i="97" s="1"/>
  <c r="D122" i="77" s="1"/>
  <c r="C88" i="98"/>
  <c r="D74" i="96"/>
  <c r="F116" i="95"/>
  <c r="F55" i="92"/>
  <c r="F57" i="88"/>
  <c r="D59" i="88" s="1"/>
  <c r="C99" i="98"/>
  <c r="D99" i="98" s="1"/>
  <c r="D290" i="98" a="1"/>
  <c r="H8" i="63" l="1"/>
  <c r="D290" i="98"/>
  <c r="D63" i="83"/>
  <c r="D8" i="63" s="1"/>
  <c r="C147" i="98"/>
  <c r="H7" i="63"/>
  <c r="D74" i="97"/>
  <c r="D10" i="63"/>
  <c r="C58" i="98"/>
  <c r="C50" i="98"/>
  <c r="D9" i="63"/>
  <c r="D7" i="63"/>
  <c r="C32" i="98"/>
  <c r="D260" i="98"/>
  <c r="C262" i="98" s="1"/>
  <c r="D131" i="77"/>
  <c r="D78" i="98"/>
  <c r="C78" i="98" s="1"/>
  <c r="E78" i="98" s="1"/>
  <c r="C172" i="98"/>
  <c r="Z74" i="75"/>
  <c r="D59" i="92"/>
  <c r="D57" i="92"/>
  <c r="C107" i="98"/>
  <c r="F7" i="63"/>
  <c r="C89" i="98"/>
  <c r="D13" i="63"/>
  <c r="F59" i="92"/>
  <c r="F57" i="92"/>
  <c r="D79" i="98" l="1"/>
  <c r="C79" i="98" s="1"/>
  <c r="E79" i="98" s="1"/>
  <c r="E80" i="98" s="1"/>
  <c r="C469" i="98" s="1"/>
  <c r="D76" i="97"/>
  <c r="C72" i="98" s="1"/>
  <c r="C7" i="98"/>
  <c r="C9" i="98" s="1"/>
  <c r="D135" i="77"/>
  <c r="D67" i="98"/>
  <c r="D69" i="92"/>
  <c r="C68" i="98" s="1"/>
  <c r="C42" i="98"/>
  <c r="F67" i="98"/>
  <c r="D12" i="63" l="1"/>
  <c r="C13" i="98" s="1"/>
  <c r="C15" i="98" s="1"/>
  <c r="D11" i="63"/>
  <c r="D277" i="98"/>
  <c r="C276" i="98"/>
  <c r="C62" i="98"/>
  <c r="C466" i="98" s="1"/>
  <c r="B480" i="98" s="1"/>
  <c r="C64" i="98"/>
  <c r="C63" i="98"/>
  <c r="C66" i="98"/>
  <c r="C65" i="98"/>
  <c r="C278" i="98" a="1"/>
  <c r="C10" i="98" l="1"/>
  <c r="C12" i="98" s="1"/>
  <c r="C14" i="63"/>
  <c r="C16" i="63" s="1"/>
  <c r="C24" i="63" s="1"/>
  <c r="C278" i="98"/>
  <c r="C6" i="63" l="1"/>
  <c r="C23" i="63"/>
  <c r="C21" i="63"/>
  <c r="C22" i="63"/>
  <c r="C20" i="63"/>
  <c r="D18" i="63"/>
  <c r="Q13" i="90"/>
  <c r="Q12" i="90"/>
  <c r="R13" i="90"/>
  <c r="R11" i="90"/>
  <c r="R12" i="90"/>
  <c r="Q11" i="90"/>
  <c r="T12" i="90" l="1"/>
  <c r="T13" i="90"/>
  <c r="T11" i="90"/>
  <c r="H22" i="90" l="1"/>
  <c r="H25" i="90" s="1"/>
  <c r="F9" i="63" s="1"/>
  <c r="E14" i="63" s="1"/>
  <c r="E16" i="63" s="1"/>
  <c r="E24" i="63" s="1"/>
  <c r="E22" i="63" l="1"/>
  <c r="E23" i="63"/>
  <c r="E20" i="63"/>
  <c r="E21" i="63"/>
  <c r="C121" i="98"/>
  <c r="E6" i="63"/>
  <c r="F18" i="63"/>
  <c r="T31" i="79" l="1"/>
  <c r="T35" i="79"/>
  <c r="E32" i="79"/>
  <c r="E36" i="79"/>
  <c r="C222" i="98" s="1"/>
  <c r="C197" i="98" l="1"/>
  <c r="T74" i="75"/>
  <c r="H9" i="63"/>
  <c r="S35" i="79"/>
  <c r="S31" i="79"/>
  <c r="H10" i="63"/>
  <c r="D18" i="67" l="1"/>
  <c r="H13" i="63"/>
  <c r="H12" i="63"/>
  <c r="H11" i="63"/>
  <c r="D227" i="98" a="1"/>
  <c r="D45" i="67" l="1"/>
  <c r="D49" i="67" s="1"/>
  <c r="D51" i="67" s="1" a="1"/>
  <c r="D51" i="67" s="1"/>
  <c r="D227" i="98"/>
  <c r="C227" i="98"/>
  <c r="G14" i="63"/>
  <c r="G6" i="63" s="1"/>
  <c r="J7" i="63" l="1"/>
  <c r="I14" i="63" s="1"/>
  <c r="K16" i="63" s="1"/>
  <c r="C303" i="98"/>
  <c r="G16" i="63"/>
  <c r="G23" i="63" s="1"/>
  <c r="C305" i="98" a="1"/>
  <c r="C305" i="98" l="1"/>
  <c r="D305" i="98" s="1"/>
  <c r="C297" i="98"/>
  <c r="D296" i="98" s="1"/>
  <c r="I6" i="63"/>
  <c r="I16" i="63"/>
  <c r="G21" i="63"/>
  <c r="G20" i="63"/>
  <c r="H18" i="63"/>
  <c r="G22" i="63"/>
  <c r="G24" i="63"/>
  <c r="C296" i="98" a="1"/>
  <c r="C296" i="98" l="1"/>
  <c r="I24" i="63"/>
  <c r="L24" i="63" s="1"/>
  <c r="I22" i="63"/>
  <c r="L22" i="63" s="1"/>
  <c r="I20" i="63"/>
  <c r="L20" i="63" s="1"/>
  <c r="I21" i="63"/>
  <c r="L21" i="63" s="1"/>
  <c r="I23" i="63"/>
  <c r="L23" i="63" s="1"/>
  <c r="J18" i="63"/>
  <c r="L25" i="6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Aled Williams</author>
  </authors>
  <commentList>
    <comment ref="C13" authorId="0" shapeId="0" xr:uid="{024E6213-95B2-4966-9207-3B876580574F}">
      <text>
        <r>
          <rPr>
            <b/>
            <sz val="9"/>
            <color indexed="81"/>
            <rFont val="Tahoma"/>
            <family val="2"/>
          </rPr>
          <t>Exact Date:
yyyy-mm-dd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3" authorId="0" shapeId="0" xr:uid="{10D27D07-D7D8-416E-83AD-4E53764E09D7}">
      <text>
        <r>
          <rPr>
            <b/>
            <sz val="9"/>
            <color indexed="81"/>
            <rFont val="Tahoma"/>
            <family val="2"/>
          </rPr>
          <t>Date for Website:
eg Feb 2023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Adriano Palao</author>
  </authors>
  <commentList>
    <comment ref="E51" authorId="0" shapeId="0" xr:uid="{A2194039-8F65-4E27-8220-AEBE7333A289}">
      <text>
        <r>
          <rPr>
            <b/>
            <sz val="9"/>
            <color indexed="81"/>
            <rFont val="Tahoma"/>
            <family val="2"/>
          </rPr>
          <t>Adriano Palao:</t>
        </r>
        <r>
          <rPr>
            <sz val="9"/>
            <color indexed="81"/>
            <rFont val="Tahoma"/>
            <family val="2"/>
          </rPr>
          <t xml:space="preserve">
Absolute vehicle speed at the time of impact</t>
        </r>
      </text>
    </comment>
    <comment ref="K51" authorId="0" shapeId="0" xr:uid="{B85A4B03-1EAF-4DD8-BB55-E6652A730B0F}">
      <text>
        <r>
          <rPr>
            <b/>
            <sz val="9"/>
            <color indexed="81"/>
            <rFont val="Tahoma"/>
            <family val="2"/>
          </rPr>
          <t>Adriano Palao:</t>
        </r>
        <r>
          <rPr>
            <sz val="9"/>
            <color indexed="81"/>
            <rFont val="Tahoma"/>
            <family val="2"/>
          </rPr>
          <t xml:space="preserve">
Absolute vehicle speed at the time of impact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5AC2037-3ED8-4583-8BC9-B9410977B2F4}" name="VW_ID4 safety" type="4" refreshedVersion="0" background="1">
    <webPr xml="1" sourceData="1" url="C:\Users\Aled\OneDrive\Documents\VW_ID4 safety.xml" htmlTables="1" htmlFormat="all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<sst xmlns="http://schemas.openxmlformats.org/spreadsheetml/2006/main" count="4983" uniqueCount="2946">
  <si>
    <t>TOTAL SIDE MDB</t>
  </si>
  <si>
    <t>TOTAL WHIPLASH</t>
  </si>
  <si>
    <t>TOTAL DYNAMIC ASSESSMENT</t>
  </si>
  <si>
    <t>Direct head contact with pole</t>
  </si>
  <si>
    <t>Max Points available</t>
  </si>
  <si>
    <t>Side MDB</t>
  </si>
  <si>
    <t>Side Pole</t>
  </si>
  <si>
    <t>Whiplash</t>
  </si>
  <si>
    <t>Dynamic</t>
  </si>
  <si>
    <t>Vehicle Based</t>
  </si>
  <si>
    <t>CRS Installation</t>
  </si>
  <si>
    <t>Headforms</t>
  </si>
  <si>
    <t>SBR</t>
  </si>
  <si>
    <t>SAS</t>
  </si>
  <si>
    <t>Normalised Score</t>
  </si>
  <si>
    <t>ADULT OCCUPANT</t>
  </si>
  <si>
    <t>Total Score</t>
  </si>
  <si>
    <t xml:space="preserve">CHILD OCCUPANT
</t>
  </si>
  <si>
    <t xml:space="preserve">SAFETY ASSIST
</t>
  </si>
  <si>
    <t>Weight</t>
  </si>
  <si>
    <t>TOTAL SAS</t>
  </si>
  <si>
    <t>Type of system</t>
  </si>
  <si>
    <t>Mitsubishi</t>
  </si>
  <si>
    <t>Body Type</t>
  </si>
  <si>
    <t>Start VIN</t>
  </si>
  <si>
    <t>Alfa Romeo</t>
  </si>
  <si>
    <t>Audi</t>
  </si>
  <si>
    <t>NECK</t>
  </si>
  <si>
    <t>Shear level exceeded - kN</t>
  </si>
  <si>
    <t>Knee, Femur and Pelvis assessment</t>
  </si>
  <si>
    <t>Left compression - kN</t>
  </si>
  <si>
    <t>Left Lower Leg assessment</t>
  </si>
  <si>
    <t>Right compression - kN</t>
  </si>
  <si>
    <t>Right Lower Leg assessment</t>
  </si>
  <si>
    <t>Footwell Rupture (-1)</t>
  </si>
  <si>
    <t>Foot and Ankle assessment</t>
  </si>
  <si>
    <t>Lower Leg, Foot and Ankle assessment</t>
  </si>
  <si>
    <t>SUMMARY</t>
  </si>
  <si>
    <t>Head and Neck assessment</t>
  </si>
  <si>
    <t>Lower Leg, Foot and Ankle Assessment</t>
  </si>
  <si>
    <t>Points</t>
  </si>
  <si>
    <t>Accel Horizontal displacement - mm</t>
  </si>
  <si>
    <t>PELVIS</t>
  </si>
  <si>
    <t>Pubic Symphysis force - kN</t>
  </si>
  <si>
    <t>UPPER LEGFORM</t>
  </si>
  <si>
    <t>Head assessment</t>
  </si>
  <si>
    <t>SIDE</t>
  </si>
  <si>
    <t>Extension - Nm</t>
  </si>
  <si>
    <t>Viscous criterion - m/s</t>
  </si>
  <si>
    <t>Driver</t>
  </si>
  <si>
    <t>Pedal Blocking (-1)</t>
  </si>
  <si>
    <t>Chest assessment</t>
  </si>
  <si>
    <t>Abdomen assessment</t>
  </si>
  <si>
    <t>Pelvis assessment</t>
  </si>
  <si>
    <t>Door Opening</t>
  </si>
  <si>
    <t>Passenger</t>
  </si>
  <si>
    <t>duration of exceedence - ms</t>
  </si>
  <si>
    <t>Tension level exceeded - kN</t>
  </si>
  <si>
    <t>FRONTAL</t>
  </si>
  <si>
    <t>CHEST</t>
  </si>
  <si>
    <t>Compression - mm</t>
  </si>
  <si>
    <t>KNEE, FEMUR and PELVIS</t>
  </si>
  <si>
    <t>TOTAL</t>
  </si>
  <si>
    <t>Fore/aft displacement - mm</t>
  </si>
  <si>
    <t>Vertical displacement - mm</t>
  </si>
  <si>
    <t>HEAD</t>
  </si>
  <si>
    <t xml:space="preserve">Steering wheel airbag present? </t>
  </si>
  <si>
    <t>Peak resultant acceleration - g</t>
  </si>
  <si>
    <t>Resultant Acc. 3 msec exeedence - g</t>
  </si>
  <si>
    <t>Left Knee Slide - mm</t>
  </si>
  <si>
    <t>Left Femur Compression level exceeded - kN</t>
  </si>
  <si>
    <t>Right Knee Slide - mm</t>
  </si>
  <si>
    <t>Right Femur Compression level exceeded - kN</t>
  </si>
  <si>
    <t>LOWER LEG</t>
  </si>
  <si>
    <t xml:space="preserve">Left Upper Tibia Index </t>
  </si>
  <si>
    <t>Left Lower Tibia Index</t>
  </si>
  <si>
    <t xml:space="preserve">Right Upper Tibia Index </t>
  </si>
  <si>
    <t>Right Lower Tibia Index</t>
  </si>
  <si>
    <t>FOOT and ANKLE</t>
  </si>
  <si>
    <t>Top</t>
  </si>
  <si>
    <t>ABDOMEN</t>
  </si>
  <si>
    <t>Front</t>
  </si>
  <si>
    <t>Total</t>
  </si>
  <si>
    <t xml:space="preserve">Steering wheel contact (-1) </t>
  </si>
  <si>
    <t>Unstable passenger compartment (-1)</t>
  </si>
  <si>
    <t xml:space="preserve">Variable contact (-1) </t>
  </si>
  <si>
    <t xml:space="preserve">Concentrated loading (-1) </t>
  </si>
  <si>
    <t>Lateral displacement - mm</t>
  </si>
  <si>
    <t>Shoulder belt load - kN</t>
  </si>
  <si>
    <t>A-Pillar displacement (-2) mm</t>
  </si>
  <si>
    <t>Steering wheel displacement (-1) mm</t>
  </si>
  <si>
    <t>Brake Vertical displacement - mm</t>
  </si>
  <si>
    <t>Brake Horizontal displacement - mm</t>
  </si>
  <si>
    <t>Clutch Vertical displacement - mm</t>
  </si>
  <si>
    <t>Clutch Horizontal displacement - mm</t>
  </si>
  <si>
    <t>Accel Vertical displacement - mm</t>
  </si>
  <si>
    <t>Maximum pedal horizontal displacement - mm</t>
  </si>
  <si>
    <t>Maximum pedal vertical displacement - mm</t>
  </si>
  <si>
    <t>Airbag contact modifier (-1)</t>
  </si>
  <si>
    <t>Value</t>
  </si>
  <si>
    <t>Side MDB Test</t>
  </si>
  <si>
    <t>Side Pole Test</t>
  </si>
  <si>
    <t>Mid Pulse</t>
  </si>
  <si>
    <t>High Pulse</t>
  </si>
  <si>
    <t>Middle</t>
  </si>
  <si>
    <t>Bottom</t>
  </si>
  <si>
    <t>Incorrect airbag deployment modifier (-1)</t>
  </si>
  <si>
    <t>Neck assessment</t>
  </si>
  <si>
    <t>Left Knee, Femur and Pelvis assessment</t>
  </si>
  <si>
    <t>Right Knee, Femur and Pelvis assessment</t>
  </si>
  <si>
    <t>Hand of drive</t>
  </si>
  <si>
    <t>Whiplash Tests</t>
  </si>
  <si>
    <t>STATIC</t>
  </si>
  <si>
    <t>DYNAMIC</t>
  </si>
  <si>
    <t xml:space="preserve">Nkm </t>
  </si>
  <si>
    <t>T1 x-acc - g</t>
  </si>
  <si>
    <t>Head contact start - ms</t>
  </si>
  <si>
    <t>NIC max - m2/s2</t>
  </si>
  <si>
    <t>Max Seat Back Dynamic Deflection - degree</t>
  </si>
  <si>
    <t>Dynamic assessment</t>
  </si>
  <si>
    <t>Static assessment</t>
  </si>
  <si>
    <t>Dummy Artifact Loading (-2)</t>
  </si>
  <si>
    <t>Pass</t>
  </si>
  <si>
    <t>Fail</t>
  </si>
  <si>
    <t>Exempt</t>
  </si>
  <si>
    <t>Score</t>
  </si>
  <si>
    <t>B _ _ _</t>
  </si>
  <si>
    <t>_ I L _</t>
  </si>
  <si>
    <t>B I _ _</t>
  </si>
  <si>
    <t>Manual airbag disabling switch</t>
  </si>
  <si>
    <t>Automatic airbag disabling switch</t>
  </si>
  <si>
    <t>Integrated CRS</t>
  </si>
  <si>
    <t>Child Occupant Protection</t>
  </si>
  <si>
    <t>Child restraint</t>
  </si>
  <si>
    <t>Recommended by vehicle manufacturer</t>
  </si>
  <si>
    <t>Eligibility for scoring</t>
  </si>
  <si>
    <t>Installation method</t>
  </si>
  <si>
    <t>Side assessment</t>
  </si>
  <si>
    <t>Front assessment</t>
  </si>
  <si>
    <t>Vehicle based assessment</t>
  </si>
  <si>
    <t>CRS Installation Assessment</t>
  </si>
  <si>
    <t>SEATING POSITION</t>
  </si>
  <si>
    <t>SCORING</t>
  </si>
  <si>
    <t>OEM assessment</t>
  </si>
  <si>
    <t>TOTAL VEHICLE BASED ASSESSMENT</t>
  </si>
  <si>
    <t>TOTAL INSTALLATION ASSESSMENT</t>
  </si>
  <si>
    <t>Red</t>
  </si>
  <si>
    <t>Brown</t>
  </si>
  <si>
    <t>Orange</t>
  </si>
  <si>
    <t>Yellow</t>
  </si>
  <si>
    <t>Green</t>
  </si>
  <si>
    <t>Blue</t>
  </si>
  <si>
    <t>SAFETY EQUIPMENT</t>
  </si>
  <si>
    <t>Engine</t>
  </si>
  <si>
    <t>Hazardous airbag deployment modifier (-1)</t>
  </si>
  <si>
    <t>VEHICLE SPECIFICATION</t>
  </si>
  <si>
    <t>YEAR OF TEST</t>
  </si>
  <si>
    <t>Make</t>
  </si>
  <si>
    <t>Trim level</t>
  </si>
  <si>
    <t>Vehicle class</t>
  </si>
  <si>
    <t>frontal airbag</t>
  </si>
  <si>
    <t>knee airbag</t>
  </si>
  <si>
    <t>side head airbag</t>
  </si>
  <si>
    <t>side chest airbag</t>
  </si>
  <si>
    <t>side pelvis airbag</t>
  </si>
  <si>
    <t>CHILD OCCUPANT</t>
  </si>
  <si>
    <t>CHILD RESTRAINT SYSTEM</t>
  </si>
  <si>
    <t>VEHICLE BASED</t>
  </si>
  <si>
    <t>ISOFIX</t>
  </si>
  <si>
    <t>integrated CRS</t>
  </si>
  <si>
    <t>ACTIVE PEDESTRIAN SYSTEM</t>
  </si>
  <si>
    <t>deployable bonnet</t>
  </si>
  <si>
    <t>pedestrian airbag</t>
  </si>
  <si>
    <t>SAFETY ASSIST</t>
  </si>
  <si>
    <t>SAFETY ASSIST SYSTEMS</t>
  </si>
  <si>
    <t>Side Pole test</t>
  </si>
  <si>
    <t>Whiplash tests</t>
  </si>
  <si>
    <t>Pedestrian tests</t>
  </si>
  <si>
    <t>2nd row</t>
  </si>
  <si>
    <t>3rd row</t>
  </si>
  <si>
    <t>Left</t>
  </si>
  <si>
    <t>Centre</t>
  </si>
  <si>
    <t>Right</t>
  </si>
  <si>
    <t>Kerb weight (kg)</t>
  </si>
  <si>
    <t>Brake</t>
  </si>
  <si>
    <t>Clutch</t>
  </si>
  <si>
    <t>Accelerator</t>
  </si>
  <si>
    <t>BMW</t>
  </si>
  <si>
    <t>Chrysler</t>
  </si>
  <si>
    <t>Dacia</t>
  </si>
  <si>
    <t>Daewoo</t>
  </si>
  <si>
    <t>Daihatsu</t>
  </si>
  <si>
    <t>Dodge</t>
  </si>
  <si>
    <t>Ford</t>
  </si>
  <si>
    <t>Geely Emgrand</t>
  </si>
  <si>
    <t>Honda</t>
  </si>
  <si>
    <t>Hyundai</t>
  </si>
  <si>
    <t>Infiniti</t>
  </si>
  <si>
    <t>Isuzu</t>
  </si>
  <si>
    <t>Jaguar</t>
  </si>
  <si>
    <t>Jeep</t>
  </si>
  <si>
    <t>Kia</t>
  </si>
  <si>
    <t>Lancia</t>
  </si>
  <si>
    <t>Land Rover</t>
  </si>
  <si>
    <t>Landwind</t>
  </si>
  <si>
    <t>Lexus</t>
  </si>
  <si>
    <t>Mazda</t>
  </si>
  <si>
    <t>MG</t>
  </si>
  <si>
    <t>MINI</t>
  </si>
  <si>
    <t>Nissan</t>
  </si>
  <si>
    <t>Peugeot</t>
  </si>
  <si>
    <t>Proton</t>
  </si>
  <si>
    <t>Renault</t>
  </si>
  <si>
    <t>Saab</t>
  </si>
  <si>
    <t>Seat</t>
  </si>
  <si>
    <t>Skoda</t>
  </si>
  <si>
    <t>Suzuki</t>
  </si>
  <si>
    <t>Toyota</t>
  </si>
  <si>
    <t>Volvo</t>
  </si>
  <si>
    <t>WAD on Centreline</t>
  </si>
  <si>
    <t>PREDICTION</t>
  </si>
  <si>
    <t>Nr of points</t>
  </si>
  <si>
    <t>%-age</t>
  </si>
  <si>
    <t>Default Red</t>
  </si>
  <si>
    <t>Predicted headform score (excluding blue points)</t>
  </si>
  <si>
    <t>VERIFICATION</t>
  </si>
  <si>
    <t>Testpoint</t>
  </si>
  <si>
    <t>Prediction</t>
  </si>
  <si>
    <t>Correction factor</t>
  </si>
  <si>
    <t>BLUE POINTS</t>
  </si>
  <si>
    <t>Zone</t>
  </si>
  <si>
    <t>GRID-point</t>
  </si>
  <si>
    <t>Total blue points</t>
  </si>
  <si>
    <t>Predicted score (excluding blue points)</t>
  </si>
  <si>
    <t>Blue points score</t>
  </si>
  <si>
    <t>Total score</t>
  </si>
  <si>
    <t>AEB</t>
  </si>
  <si>
    <t>CCRs</t>
  </si>
  <si>
    <t>HMI</t>
  </si>
  <si>
    <t>Default ON after every journey</t>
  </si>
  <si>
    <t>Additional HMI features</t>
  </si>
  <si>
    <t>HMI RESULT</t>
  </si>
  <si>
    <t>FCW</t>
  </si>
  <si>
    <t>SYSTEM DETAILS</t>
  </si>
  <si>
    <t>Functionality</t>
  </si>
  <si>
    <t>Maximum</t>
  </si>
  <si>
    <t>CCRm</t>
  </si>
  <si>
    <t>CCRb</t>
  </si>
  <si>
    <t>12m headway</t>
  </si>
  <si>
    <r>
      <t>-2m/s</t>
    </r>
    <r>
      <rPr>
        <sz val="10"/>
        <rFont val="Calibri"/>
        <family val="2"/>
      </rPr>
      <t>²</t>
    </r>
    <r>
      <rPr>
        <sz val="10"/>
        <rFont val="Calibri"/>
        <family val="2"/>
      </rPr>
      <t xml:space="preserve"> EVT acceleration</t>
    </r>
  </si>
  <si>
    <r>
      <t>-6m/s</t>
    </r>
    <r>
      <rPr>
        <sz val="10"/>
        <rFont val="Calibri"/>
        <family val="2"/>
      </rPr>
      <t>²</t>
    </r>
    <r>
      <rPr>
        <sz val="10"/>
        <rFont val="Calibri"/>
        <family val="2"/>
      </rPr>
      <t xml:space="preserve"> EVT acceleration</t>
    </r>
  </si>
  <si>
    <t>40m headway</t>
  </si>
  <si>
    <t>CCRb RESULT</t>
  </si>
  <si>
    <t>Suplementary warning</t>
  </si>
  <si>
    <t>upper</t>
  </si>
  <si>
    <t>centre</t>
  </si>
  <si>
    <t>lower</t>
  </si>
  <si>
    <t>Bending Moment</t>
  </si>
  <si>
    <t>U 0</t>
  </si>
  <si>
    <t>Pedestrian Upper Legform</t>
  </si>
  <si>
    <t>Points to test</t>
  </si>
  <si>
    <t>U +10</t>
  </si>
  <si>
    <t>U +9</t>
  </si>
  <si>
    <t>U +8</t>
  </si>
  <si>
    <t>U +7</t>
  </si>
  <si>
    <t>U +6</t>
  </si>
  <si>
    <t>U +5</t>
  </si>
  <si>
    <t>U +4</t>
  </si>
  <si>
    <t>U +3</t>
  </si>
  <si>
    <t>U +2</t>
  </si>
  <si>
    <t>U +1</t>
  </si>
  <si>
    <t>U -1</t>
  </si>
  <si>
    <t>U -2</t>
  </si>
  <si>
    <t>U -3</t>
  </si>
  <si>
    <t>U -4</t>
  </si>
  <si>
    <t>U -5</t>
  </si>
  <si>
    <t>U -6</t>
  </si>
  <si>
    <t>U -7</t>
  </si>
  <si>
    <t>U -8</t>
  </si>
  <si>
    <t>U -9</t>
  </si>
  <si>
    <t>U -10</t>
  </si>
  <si>
    <t>+10</t>
  </si>
  <si>
    <t>+9</t>
  </si>
  <si>
    <t>+8</t>
  </si>
  <si>
    <t>+7</t>
  </si>
  <si>
    <t>+6</t>
  </si>
  <si>
    <t>+5</t>
  </si>
  <si>
    <t>+4</t>
  </si>
  <si>
    <t>+3</t>
  </si>
  <si>
    <t>+2</t>
  </si>
  <si>
    <t>+1</t>
  </si>
  <si>
    <t>0</t>
  </si>
  <si>
    <t>-1</t>
  </si>
  <si>
    <t>-2</t>
  </si>
  <si>
    <t>-3</t>
  </si>
  <si>
    <t>-4</t>
  </si>
  <si>
    <t>-5</t>
  </si>
  <si>
    <t>-6</t>
  </si>
  <si>
    <t>-7</t>
  </si>
  <si>
    <t>-8</t>
  </si>
  <si>
    <t>-9</t>
  </si>
  <si>
    <t>-10</t>
  </si>
  <si>
    <t>LOWER LEGFORM</t>
  </si>
  <si>
    <t>L +10</t>
  </si>
  <si>
    <t>L +9</t>
  </si>
  <si>
    <t>L +8</t>
  </si>
  <si>
    <t>L +7</t>
  </si>
  <si>
    <t>L +6</t>
  </si>
  <si>
    <t>L +5</t>
  </si>
  <si>
    <t>L +4</t>
  </si>
  <si>
    <t>L +3</t>
  </si>
  <si>
    <t>L +2</t>
  </si>
  <si>
    <t>L +1</t>
  </si>
  <si>
    <t>L 0</t>
  </si>
  <si>
    <t>L -1</t>
  </si>
  <si>
    <t>L -2</t>
  </si>
  <si>
    <t>L -3</t>
  </si>
  <si>
    <t>L -4</t>
  </si>
  <si>
    <t>L -5</t>
  </si>
  <si>
    <t>L -6</t>
  </si>
  <si>
    <t>L -7</t>
  </si>
  <si>
    <t>L -8</t>
  </si>
  <si>
    <t>L -9</t>
  </si>
  <si>
    <t>L -10</t>
  </si>
  <si>
    <t>Tibia Bending Moment</t>
  </si>
  <si>
    <t>MCL Elongation</t>
  </si>
  <si>
    <t>T1</t>
  </si>
  <si>
    <t>T2</t>
  </si>
  <si>
    <t>T3</t>
  </si>
  <si>
    <t>T4</t>
  </si>
  <si>
    <t>ACL/PCL</t>
  </si>
  <si>
    <t>TOTAL FRONT WHIPLASH</t>
  </si>
  <si>
    <t>Effective Height</t>
  </si>
  <si>
    <t>Lowest position - mm</t>
  </si>
  <si>
    <t>Backset requirements</t>
  </si>
  <si>
    <t>Torso angle - deg</t>
  </si>
  <si>
    <t>TOTAL REAR WHIPLASH</t>
  </si>
  <si>
    <t>Non-Use position</t>
  </si>
  <si>
    <t>Automatic return head restraints</t>
  </si>
  <si>
    <t>60° rotation evaluation</t>
  </si>
  <si>
    <t>10° torso line change</t>
  </si>
  <si>
    <t>Discomfort metric</t>
  </si>
  <si>
    <t>Qoros</t>
  </si>
  <si>
    <t>Maserati</t>
  </si>
  <si>
    <t>Business and Family Vans</t>
  </si>
  <si>
    <t>3 door hatchback</t>
  </si>
  <si>
    <t>3 door wgon</t>
  </si>
  <si>
    <t>5 door wagon</t>
  </si>
  <si>
    <t>5 door SUV</t>
  </si>
  <si>
    <t>3 door SUV</t>
  </si>
  <si>
    <t>5 door MPV</t>
  </si>
  <si>
    <t>Subaru</t>
  </si>
  <si>
    <t>Forces</t>
  </si>
  <si>
    <t>sum</t>
  </si>
  <si>
    <t>Neck</t>
  </si>
  <si>
    <t>Tension (Upper neck Fz)</t>
  </si>
  <si>
    <t>ACL</t>
  </si>
  <si>
    <t>PCL</t>
  </si>
  <si>
    <t>(ΔCP X) mid position- mm</t>
  </si>
  <si>
    <t>(ΔCP X) worst case position- mm</t>
  </si>
  <si>
    <t>Bottom rib Viscous Criterion - m/s</t>
  </si>
  <si>
    <t>D</t>
  </si>
  <si>
    <t>Speed range (km/h) - Minimum</t>
  </si>
  <si>
    <t>Head</t>
  </si>
  <si>
    <t>Frontal FW</t>
  </si>
  <si>
    <t>Frontal FW Test</t>
  </si>
  <si>
    <t>Rear Passenger</t>
  </si>
  <si>
    <t>Contact?</t>
  </si>
  <si>
    <r>
      <t>HIC</t>
    </r>
    <r>
      <rPr>
        <vertAlign val="subscript"/>
        <sz val="10"/>
        <rFont val="Calibri"/>
        <family val="2"/>
      </rPr>
      <t>15</t>
    </r>
  </si>
  <si>
    <t>Head Assessment</t>
  </si>
  <si>
    <t>Shoulder belt load - kN (-2)</t>
  </si>
  <si>
    <t>Shoulder Fy - kN</t>
  </si>
  <si>
    <t>Shoulder Force modifier (-4)</t>
  </si>
  <si>
    <t>Viscous Criterion modifier (-4)</t>
  </si>
  <si>
    <t xml:space="preserve"> Top rib Viscous Criterion - m/s</t>
  </si>
  <si>
    <t>Middle rib Viscous Criterion - m/s</t>
  </si>
  <si>
    <t>Chest rib assessment</t>
  </si>
  <si>
    <t>Abdomen rib assessment</t>
  </si>
  <si>
    <t>Lateral compression - mm</t>
  </si>
  <si>
    <t>Fx</t>
  </si>
  <si>
    <t>Max</t>
  </si>
  <si>
    <t>Min</t>
  </si>
  <si>
    <t>Fy</t>
  </si>
  <si>
    <t>My</t>
  </si>
  <si>
    <t>Mz</t>
  </si>
  <si>
    <t>Mx</t>
  </si>
  <si>
    <t>Fz</t>
  </si>
  <si>
    <t>Ax</t>
  </si>
  <si>
    <t>Ay</t>
  </si>
  <si>
    <t>Az</t>
  </si>
  <si>
    <t>DUMMY MEASUREMENTS</t>
  </si>
  <si>
    <t>Chest</t>
  </si>
  <si>
    <t>Dchest</t>
  </si>
  <si>
    <t>Pelvis</t>
  </si>
  <si>
    <t>Lumbar Spine</t>
  </si>
  <si>
    <t>Femur (left)</t>
  </si>
  <si>
    <t>Femur (right)</t>
  </si>
  <si>
    <t>Knee (left)</t>
  </si>
  <si>
    <t>Knee (right)</t>
  </si>
  <si>
    <t>Dknee</t>
  </si>
  <si>
    <t>Upper Tibia (left)</t>
  </si>
  <si>
    <t>Upper Tibia (right)</t>
  </si>
  <si>
    <t>Lower Tibia (left)</t>
  </si>
  <si>
    <t>Lower Tibia (right)</t>
  </si>
  <si>
    <t>Iliac (left)</t>
  </si>
  <si>
    <t>Iliac (right)</t>
  </si>
  <si>
    <t>Shoulder</t>
  </si>
  <si>
    <t>α</t>
  </si>
  <si>
    <t>Thorax</t>
  </si>
  <si>
    <t>Abdomen</t>
  </si>
  <si>
    <t>D01</t>
  </si>
  <si>
    <t>α01</t>
  </si>
  <si>
    <t>D02</t>
  </si>
  <si>
    <t>α02</t>
  </si>
  <si>
    <t>D03</t>
  </si>
  <si>
    <t>α03</t>
  </si>
  <si>
    <t>T12</t>
  </si>
  <si>
    <t>Cervical Spine</t>
  </si>
  <si>
    <t>Vx</t>
  </si>
  <si>
    <t>HRCT</t>
  </si>
  <si>
    <t>Neck Upper</t>
  </si>
  <si>
    <t>Neck Lower</t>
  </si>
  <si>
    <t>Thoracic Spine (left)</t>
  </si>
  <si>
    <t>Thoracic Spine (right)</t>
  </si>
  <si>
    <t>Thoracic Spine T8</t>
  </si>
  <si>
    <t>Vehicle B-post</t>
  </si>
  <si>
    <t>Seatbelt</t>
  </si>
  <si>
    <t>Fseatbelt</t>
  </si>
  <si>
    <t>Sled</t>
  </si>
  <si>
    <t>VEHICLE MEASUREMENTS</t>
  </si>
  <si>
    <t>Trolley</t>
  </si>
  <si>
    <t>SLED MEASUREMENTS</t>
  </si>
  <si>
    <t>Test Energy - J</t>
  </si>
  <si>
    <t>TEST DETAILS</t>
  </si>
  <si>
    <t>Vehicle</t>
  </si>
  <si>
    <t>Test</t>
  </si>
  <si>
    <t>Impact speed - km/h</t>
  </si>
  <si>
    <t>Vertical</t>
  </si>
  <si>
    <t>Horizontal</t>
  </si>
  <si>
    <t>Impact location - mm</t>
  </si>
  <si>
    <t>Test weight - kg</t>
  </si>
  <si>
    <t>Seat arrangement</t>
  </si>
  <si>
    <t>Model</t>
  </si>
  <si>
    <t>Chevrolet</t>
  </si>
  <si>
    <t>Supermini</t>
  </si>
  <si>
    <t>Large Family Car</t>
  </si>
  <si>
    <t>Large MPV</t>
  </si>
  <si>
    <t>Small Family Car</t>
  </si>
  <si>
    <t>Pick-up</t>
  </si>
  <si>
    <t>Executive</t>
  </si>
  <si>
    <t>Roadster sports</t>
  </si>
  <si>
    <t>Small MPV</t>
  </si>
  <si>
    <t>DRIVER</t>
  </si>
  <si>
    <t>PASSENGER</t>
  </si>
  <si>
    <t>REAR</t>
  </si>
  <si>
    <t>belt pretensioner</t>
  </si>
  <si>
    <t>belt loadlimiter</t>
  </si>
  <si>
    <t>airbag cut-off switch</t>
  </si>
  <si>
    <t>Speed Assist System</t>
  </si>
  <si>
    <t>Frontal FW test</t>
  </si>
  <si>
    <t>CRS</t>
  </si>
  <si>
    <t>AEB and/or FCW</t>
  </si>
  <si>
    <t>GENERAL</t>
  </si>
  <si>
    <t>SAS tests</t>
  </si>
  <si>
    <t>System name</t>
  </si>
  <si>
    <t>Visual warning</t>
  </si>
  <si>
    <t>Audible warning</t>
  </si>
  <si>
    <t>Front Passenger</t>
  </si>
  <si>
    <t>Rear Passengers</t>
  </si>
  <si>
    <t>Seat Belt Reminder assessment</t>
  </si>
  <si>
    <t>SPEED LIMIT INFORMATION FUNCTION</t>
  </si>
  <si>
    <t>SPEED LIMIT INFORMATION FUNCTION RESULT</t>
  </si>
  <si>
    <t>Speed Limit Information Function</t>
  </si>
  <si>
    <t>Type of warning</t>
  </si>
  <si>
    <t>50 km/h test</t>
  </si>
  <si>
    <t>80 km/h test</t>
  </si>
  <si>
    <t>120 km/h test</t>
  </si>
  <si>
    <t>Vstab</t>
  </si>
  <si>
    <t>2nd row Outboard</t>
  </si>
  <si>
    <t>2nd row Centre</t>
  </si>
  <si>
    <t>3rd row Outboard</t>
  </si>
  <si>
    <t>3rd row Centre</t>
  </si>
  <si>
    <t>GABARIT INSTALLATION</t>
  </si>
  <si>
    <t>PASSENGER AIRBAG WARNING MARKING AND DISABLING</t>
  </si>
  <si>
    <t>Ability to install ISO/R3</t>
  </si>
  <si>
    <t xml:space="preserve">Provision of three-point seat belts  </t>
  </si>
  <si>
    <t>Gabarit installation score</t>
  </si>
  <si>
    <t>i-Size</t>
  </si>
  <si>
    <t>Passenger airbag warning marking and disabling score</t>
  </si>
  <si>
    <t>SEATING POSITIONS</t>
  </si>
  <si>
    <t>TOTAL FRONTAL FW</t>
  </si>
  <si>
    <t>SEAT SPECIFICATION</t>
  </si>
  <si>
    <t>Type of headrest</t>
  </si>
  <si>
    <t>Type of seat</t>
  </si>
  <si>
    <t>PROTOCOLS</t>
  </si>
  <si>
    <t>Protocol</t>
  </si>
  <si>
    <t>Version</t>
  </si>
  <si>
    <t>Application</t>
  </si>
  <si>
    <t>VEHICLE SPECIFICATION, SPONSORSHIP, TESTING AND RETESTING PROTOCOL</t>
  </si>
  <si>
    <t>EURO NCAP ASSESSMENT PROTOCOL - OVERALL RATING</t>
  </si>
  <si>
    <t>ADULT OCCUPANT PROTECTION</t>
  </si>
  <si>
    <t>EURO NCAP ASSESSMENT PROTOCOL - AOP</t>
  </si>
  <si>
    <t>7.0.1</t>
  </si>
  <si>
    <t>FRONTAL ODB TEST PROTOCOL</t>
  </si>
  <si>
    <t>FRONTAL FULL WIDTH TEST PROTOCOL</t>
  </si>
  <si>
    <t>SIDE BARRIER IMPACT TEST PROTOCOL</t>
  </si>
  <si>
    <t>SIDE POLE IMPACT TEST PROTOCOL</t>
  </si>
  <si>
    <t>WHIPLASH TESTING PROTOCOL</t>
  </si>
  <si>
    <t>REAR WHIPLASH TEST PROTOCOL</t>
  </si>
  <si>
    <t>SLED TEST PROCEDURE</t>
  </si>
  <si>
    <t>AEB TEST PROCEDURE</t>
  </si>
  <si>
    <t>CHILD OCCUPANT PROTECTION</t>
  </si>
  <si>
    <t>EURO NCAP ASSESSMENT PROTOCOL - COP</t>
  </si>
  <si>
    <t>PEDESTRIAN PROTECTION</t>
  </si>
  <si>
    <t>EURO NCAP ASSESSMENT PROTOCOL - PP</t>
  </si>
  <si>
    <t>PEDESTRIAN TEST PROTOCOL</t>
  </si>
  <si>
    <t>EURO NCAP ASSESSMENT PROTOCOL - SA</t>
  </si>
  <si>
    <t>SAS TEST PROTOCOL</t>
  </si>
  <si>
    <t>AEB TEST PROTOCOL</t>
  </si>
  <si>
    <t>1.0</t>
  </si>
  <si>
    <t>2.7</t>
  </si>
  <si>
    <t>Head Excursion (-2/-4)</t>
  </si>
  <si>
    <t>HPD Assessment</t>
  </si>
  <si>
    <r>
      <t>X</t>
    </r>
    <r>
      <rPr>
        <vertAlign val="subscript"/>
        <sz val="10"/>
        <rFont val="Calibri"/>
        <family val="2"/>
      </rPr>
      <t>CoG,5th</t>
    </r>
  </si>
  <si>
    <r>
      <t>Z</t>
    </r>
    <r>
      <rPr>
        <vertAlign val="subscript"/>
        <sz val="10"/>
        <rFont val="Calibri"/>
        <family val="2"/>
      </rPr>
      <t>CoG,5th</t>
    </r>
  </si>
  <si>
    <r>
      <t>X</t>
    </r>
    <r>
      <rPr>
        <vertAlign val="subscript"/>
        <sz val="10"/>
        <rFont val="Calibri"/>
        <family val="2"/>
      </rPr>
      <t>CoG,95th</t>
    </r>
  </si>
  <si>
    <r>
      <t>Z</t>
    </r>
    <r>
      <rPr>
        <vertAlign val="subscript"/>
        <sz val="10"/>
        <rFont val="Calibri"/>
        <family val="2"/>
      </rPr>
      <t>CoG,95th</t>
    </r>
  </si>
  <si>
    <t>H-point</t>
  </si>
  <si>
    <t>rear seat travel - mm</t>
  </si>
  <si>
    <t>seat travel 50th-95th - mm</t>
  </si>
  <si>
    <t>seat travel 5th-50th - mm</t>
  </si>
  <si>
    <t>H-point(Z) - mm</t>
  </si>
  <si>
    <t>H-point(X) - mm</t>
  </si>
  <si>
    <t>HPD assessment</t>
  </si>
  <si>
    <t>HPD modifier (-2/-4)</t>
  </si>
  <si>
    <t>HPD assessment zone coverage</t>
  </si>
  <si>
    <t>seems within HPD no wider than 15mm</t>
  </si>
  <si>
    <t>uninflated areas no larger than 50mm</t>
  </si>
  <si>
    <t>INCLUDE LOGIC IF &lt;90%</t>
  </si>
  <si>
    <t>TOTAL SIDE POLE</t>
  </si>
  <si>
    <t>Full description</t>
  </si>
  <si>
    <t>Release Date</t>
  </si>
  <si>
    <t>Start</t>
  </si>
  <si>
    <t>End</t>
  </si>
  <si>
    <t>STATIC MEASURMENTS</t>
  </si>
  <si>
    <t>Steering wheel</t>
  </si>
  <si>
    <t>A-pillar</t>
  </si>
  <si>
    <t>A-Pillar displacement - mm</t>
  </si>
  <si>
    <t>Pedals</t>
  </si>
  <si>
    <t>AEB Pedestrian</t>
  </si>
  <si>
    <t>PREREQUISITES</t>
  </si>
  <si>
    <t>TOTAL AEB Pedestrian</t>
  </si>
  <si>
    <t>ESC meeting R13H</t>
  </si>
  <si>
    <t>Default ON</t>
  </si>
  <si>
    <t>Blind Spot Monitoring</t>
  </si>
  <si>
    <t>Q6</t>
  </si>
  <si>
    <t>Q10</t>
  </si>
  <si>
    <t>CRS anchorage to vehicle failure?</t>
  </si>
  <si>
    <t>Hard contact</t>
  </si>
  <si>
    <t>Head Resultant 3msec - g</t>
  </si>
  <si>
    <t>Head Excursion (-2/-4) - mm</t>
  </si>
  <si>
    <t>Chest Resultant 3msec - g</t>
  </si>
  <si>
    <t>i-SIZE AND TOP TETHER MARKING</t>
  </si>
  <si>
    <t>i-Size marking requirements</t>
  </si>
  <si>
    <t>i-Size and top tether marking score</t>
  </si>
  <si>
    <t>61-105cm</t>
  </si>
  <si>
    <t>front row</t>
  </si>
  <si>
    <t>second row</t>
  </si>
  <si>
    <t>third row</t>
  </si>
  <si>
    <t>VEHICLE HANDBOOK INFORMATION</t>
  </si>
  <si>
    <t>FRONTAL FW IMPACT</t>
  </si>
  <si>
    <t>SIDE MDB IMPACT</t>
  </si>
  <si>
    <t>SIDE POLE IMPACT</t>
  </si>
  <si>
    <t>WHIPLASH</t>
  </si>
  <si>
    <t>FRONTAL IMPACT</t>
  </si>
  <si>
    <t>SIDE IMPACT</t>
  </si>
  <si>
    <t>iSize</t>
  </si>
  <si>
    <t>ROW 3</t>
  </si>
  <si>
    <t>Website table</t>
  </si>
  <si>
    <t>CRS make and model</t>
  </si>
  <si>
    <t>Type of CRS</t>
  </si>
  <si>
    <t>CRS DETAILS</t>
  </si>
  <si>
    <t>Safety Pack</t>
  </si>
  <si>
    <t>difference between Vstab and Vadj</t>
  </si>
  <si>
    <t>7.1.1</t>
  </si>
  <si>
    <t>1.0.2</t>
  </si>
  <si>
    <t>7.0.2</t>
  </si>
  <si>
    <t>3.2</t>
  </si>
  <si>
    <t>AEB VRU TEST PROTOCOL</t>
  </si>
  <si>
    <t>COP TEST PROTOCOL</t>
  </si>
  <si>
    <t>LSS TEST PROTOCOL</t>
  </si>
  <si>
    <t>LKA</t>
  </si>
  <si>
    <t>CRS used for testing</t>
  </si>
  <si>
    <t>Resultant Force (Upper neck)</t>
  </si>
  <si>
    <t>Side</t>
  </si>
  <si>
    <t>Frontal</t>
  </si>
  <si>
    <t>LO</t>
  </si>
  <si>
    <t>UP</t>
  </si>
  <si>
    <t>Lumbar Spine (lower)</t>
  </si>
  <si>
    <t>Pelvis-Sacrum</t>
  </si>
  <si>
    <t>Pelvis-Pubis</t>
  </si>
  <si>
    <t>BASE</t>
  </si>
  <si>
    <t>7.1</t>
  </si>
  <si>
    <t>LSS</t>
  </si>
  <si>
    <t>Lane Support System</t>
  </si>
  <si>
    <t>LSS tests</t>
  </si>
  <si>
    <t>BeSafe iZi Kid X2 i-Size</t>
  </si>
  <si>
    <t>Occupant detection</t>
  </si>
  <si>
    <t>Weather - Rain / Wetness</t>
  </si>
  <si>
    <t>Weather - Snow / Icy</t>
  </si>
  <si>
    <t>Time</t>
  </si>
  <si>
    <t>Arrows</t>
  </si>
  <si>
    <t>Implicit Speed Limits - Highway / Motorway</t>
  </si>
  <si>
    <t>Implicit Speed Limits - City Entry / Exit</t>
  </si>
  <si>
    <t>Implicit Speed Limits - Residential Zones</t>
  </si>
  <si>
    <t>Distance For / In</t>
  </si>
  <si>
    <t>Vehicle Categories</t>
  </si>
  <si>
    <t>Dynamic Speed Limits</t>
  </si>
  <si>
    <t>SPEED CONTROL FUNCTION</t>
  </si>
  <si>
    <t>SPEED CONTROL FUNCTION RESULT</t>
  </si>
  <si>
    <t>Speed Control Function</t>
  </si>
  <si>
    <t>Dummy restrained throughout impact?</t>
  </si>
  <si>
    <t>Test Speed</t>
  </si>
  <si>
    <r>
      <t>V</t>
    </r>
    <r>
      <rPr>
        <b/>
        <vertAlign val="subscript"/>
        <sz val="10"/>
        <rFont val="Calibri"/>
        <family val="2"/>
        <scheme val="minor"/>
      </rPr>
      <t>impact</t>
    </r>
  </si>
  <si>
    <t>System Name</t>
  </si>
  <si>
    <t>System switches off below 80 km/h</t>
  </si>
  <si>
    <t>CPFA-50</t>
  </si>
  <si>
    <t>CPNA-25</t>
  </si>
  <si>
    <t>CPNA-75</t>
  </si>
  <si>
    <t>CPLA-50</t>
  </si>
  <si>
    <t>CPLA-25</t>
  </si>
  <si>
    <r>
      <t>TTC</t>
    </r>
    <r>
      <rPr>
        <b/>
        <vertAlign val="subscript"/>
        <sz val="10"/>
        <rFont val="Calibri"/>
        <family val="2"/>
        <scheme val="minor"/>
      </rPr>
      <t>FCW</t>
    </r>
  </si>
  <si>
    <t>DAYTIME</t>
  </si>
  <si>
    <t>NIGHT-TIME</t>
  </si>
  <si>
    <t>CBLA-25</t>
  </si>
  <si>
    <t>CBLA-50</t>
  </si>
  <si>
    <t>AEB Cyclist</t>
  </si>
  <si>
    <t>Lane Support Systems</t>
  </si>
  <si>
    <t>Default ON (partly)</t>
  </si>
  <si>
    <t>Emergency Lane Keeping</t>
  </si>
  <si>
    <t>Road Edge</t>
  </si>
  <si>
    <t>ELK Road Edge assessment</t>
  </si>
  <si>
    <t>Oncoming vehicle</t>
  </si>
  <si>
    <t>ELK Oncoming vehicle assessment</t>
  </si>
  <si>
    <t>Unintentional</t>
  </si>
  <si>
    <t>Intentional</t>
  </si>
  <si>
    <t>ELK Overtaking vehicle assessment</t>
  </si>
  <si>
    <t>ELK RESULT</t>
  </si>
  <si>
    <t>Lane Keep Assist</t>
  </si>
  <si>
    <t>Driver side</t>
  </si>
  <si>
    <t>Passenger side</t>
  </si>
  <si>
    <t>Dashed Line</t>
  </si>
  <si>
    <t>Solid Line</t>
  </si>
  <si>
    <t>LKA RESULT</t>
  </si>
  <si>
    <t>Lane Departure Warning</t>
  </si>
  <si>
    <t>ELK</t>
  </si>
  <si>
    <t>TOTAL Lane Support Systems</t>
  </si>
  <si>
    <t>Loud and Clear FCW</t>
  </si>
  <si>
    <t>Predicted CCRs score</t>
  </si>
  <si>
    <t>Predicted CCRm score</t>
  </si>
  <si>
    <t>Testpoints CCRb</t>
  </si>
  <si>
    <t>Impact Speed</t>
  </si>
  <si>
    <t>VERIFICATION TESTS</t>
  </si>
  <si>
    <r>
      <t>V</t>
    </r>
    <r>
      <rPr>
        <vertAlign val="subscript"/>
        <sz val="9"/>
        <rFont val="Calibri"/>
        <family val="2"/>
      </rPr>
      <t>impact</t>
    </r>
  </si>
  <si>
    <t>Far Side Tests</t>
  </si>
  <si>
    <t>OEM DATA</t>
  </si>
  <si>
    <t>Extension (My)</t>
  </si>
  <si>
    <t>Upper Neck</t>
  </si>
  <si>
    <t>Upper Neck assessment</t>
  </si>
  <si>
    <t>Chest (T4)</t>
  </si>
  <si>
    <t>Chest Deflection - mm</t>
  </si>
  <si>
    <t>Tension Fz - kN</t>
  </si>
  <si>
    <t>Lateral Flexion - Nm</t>
  </si>
  <si>
    <t>CHEST &amp; ABDOMEN</t>
  </si>
  <si>
    <t>Chest &amp; Abdomen assessment</t>
  </si>
  <si>
    <t>Lumbar Fy - kN</t>
  </si>
  <si>
    <t>Lumbar Fz - kN</t>
  </si>
  <si>
    <t>Lumbar Mx - Nm</t>
  </si>
  <si>
    <t>AE-MDB</t>
  </si>
  <si>
    <t>Pole</t>
  </si>
  <si>
    <t>TOTAL FARSIDE</t>
  </si>
  <si>
    <t>i-Size availabilty (ISO/B2 i-Size fixture)</t>
  </si>
  <si>
    <t>CCRm (prediction x correction factor)</t>
  </si>
  <si>
    <t>8.0.2</t>
  </si>
  <si>
    <t>7.1.2</t>
  </si>
  <si>
    <t>2.0.1</t>
  </si>
  <si>
    <t>7.2.1</t>
  </si>
  <si>
    <t>9.0.2</t>
  </si>
  <si>
    <t>8.4</t>
  </si>
  <si>
    <t>2.0.2</t>
  </si>
  <si>
    <t>8.0.1</t>
  </si>
  <si>
    <t>2.0</t>
  </si>
  <si>
    <t>CPLA</t>
  </si>
  <si>
    <t>CBLA</t>
  </si>
  <si>
    <t>Overtaking vehicle (GVT @ 72km/h)</t>
  </si>
  <si>
    <t>Overtaking vehicle (GVT @ 80km/h)</t>
  </si>
  <si>
    <t>VIN number</t>
  </si>
  <si>
    <t>VULNERABLE ROAD USER</t>
  </si>
  <si>
    <t xml:space="preserve">VULNERABLE ROAD USER
</t>
  </si>
  <si>
    <t xml:space="preserve">ADULT OCCUPANT
</t>
  </si>
  <si>
    <t>CCRs (prediction x correction factor)</t>
  </si>
  <si>
    <t>BeSafe iZi Flex FIX i-Size</t>
  </si>
  <si>
    <t>100-135cm</t>
  </si>
  <si>
    <t>Citroën</t>
  </si>
  <si>
    <t>FIAT</t>
  </si>
  <si>
    <t>Mercedes-Benz</t>
  </si>
  <si>
    <t>smart</t>
  </si>
  <si>
    <t>Tesla</t>
  </si>
  <si>
    <t>Opel</t>
  </si>
  <si>
    <t>Volkswagen</t>
  </si>
  <si>
    <t>AEB VRU Pedestrian tests</t>
  </si>
  <si>
    <t>AEB VRU Cyclist tests</t>
  </si>
  <si>
    <t>AEB Car-to-Car tests</t>
  </si>
  <si>
    <t>AEB Reverse</t>
  </si>
  <si>
    <t>AEB Car-to-Car</t>
  </si>
  <si>
    <t>Frontal Offset</t>
  </si>
  <si>
    <t>Farside</t>
  </si>
  <si>
    <t>Rescue</t>
  </si>
  <si>
    <t>FRONTAL OFFSET IMPACT</t>
  </si>
  <si>
    <t>76-105cm</t>
  </si>
  <si>
    <r>
      <t>Britax Römer TriFix</t>
    </r>
    <r>
      <rPr>
        <b/>
        <vertAlign val="superscript"/>
        <sz val="10"/>
        <color rgb="FF000000"/>
        <rFont val="Calibri"/>
        <family val="2"/>
      </rPr>
      <t>2</t>
    </r>
    <r>
      <rPr>
        <b/>
        <sz val="10"/>
        <color indexed="8"/>
        <rFont val="Calibri"/>
        <family val="2"/>
      </rPr>
      <t xml:space="preserve"> i-Size</t>
    </r>
  </si>
  <si>
    <t>Frontal MPDB Test</t>
  </si>
  <si>
    <t>SUFEHM</t>
  </si>
  <si>
    <t>BrIC</t>
  </si>
  <si>
    <t>Compression upper left - mm</t>
  </si>
  <si>
    <t>Compression upper right - mm</t>
  </si>
  <si>
    <t>Compression lower left - mm</t>
  </si>
  <si>
    <t>Compression lower right - mm</t>
  </si>
  <si>
    <t>Chest D / Rmax</t>
  </si>
  <si>
    <t>Abdominal Compression left - mm</t>
  </si>
  <si>
    <t>Abdominal Compression right - mm</t>
  </si>
  <si>
    <t>Chest and Abdomen assessment</t>
  </si>
  <si>
    <t>Left Knee and Femur assessment</t>
  </si>
  <si>
    <t>Right Knee and Femur assessment</t>
  </si>
  <si>
    <t>Left Acetabulum Compression - kN</t>
  </si>
  <si>
    <t>Right Acetabulum Compression - kN</t>
  </si>
  <si>
    <t>COMPATIBILITY</t>
  </si>
  <si>
    <t>Standard Deviation</t>
  </si>
  <si>
    <t>Bottoming out</t>
  </si>
  <si>
    <t>TOTAL FRONTAL MPDB</t>
  </si>
  <si>
    <t>Wx</t>
  </si>
  <si>
    <t>Wy</t>
  </si>
  <si>
    <t>Wz</t>
  </si>
  <si>
    <t>Skull spring</t>
  </si>
  <si>
    <t>Fz front</t>
  </si>
  <si>
    <t>Fz rear</t>
  </si>
  <si>
    <t>value</t>
  </si>
  <si>
    <t>Clavicle left inner</t>
  </si>
  <si>
    <t>Clavicle left outer</t>
  </si>
  <si>
    <t>Clavicle right inner</t>
  </si>
  <si>
    <t>Clavicle right outer</t>
  </si>
  <si>
    <t>Chest left upper</t>
  </si>
  <si>
    <t>Dx</t>
  </si>
  <si>
    <t>Dy</t>
  </si>
  <si>
    <t>Dz</t>
  </si>
  <si>
    <t>αy</t>
  </si>
  <si>
    <t>αz</t>
  </si>
  <si>
    <t>Chest right upper</t>
  </si>
  <si>
    <t>Chest left lower</t>
  </si>
  <si>
    <t>Chest right lower</t>
  </si>
  <si>
    <t>Sternum</t>
  </si>
  <si>
    <t xml:space="preserve">T1 </t>
  </si>
  <si>
    <t>resultant</t>
  </si>
  <si>
    <t>Abdomen left</t>
  </si>
  <si>
    <t>Dabdomen</t>
  </si>
  <si>
    <t>Abdomen right</t>
  </si>
  <si>
    <t>Iliac left</t>
  </si>
  <si>
    <t>Iliac right</t>
  </si>
  <si>
    <t>Acetabulum left</t>
  </si>
  <si>
    <t>Acetabulum right</t>
  </si>
  <si>
    <t>Lower Neck</t>
  </si>
  <si>
    <t>MxOC</t>
  </si>
  <si>
    <t>Mx (base of neck)</t>
  </si>
  <si>
    <t>MyOC</t>
  </si>
  <si>
    <t>My (base of neck)</t>
  </si>
  <si>
    <t>Excursion zone</t>
  </si>
  <si>
    <t>Red line &gt;125 mm outboard of the orange line</t>
  </si>
  <si>
    <t>Occupant-to-Occupant Head Contact Assessment</t>
  </si>
  <si>
    <t>Protection Zone</t>
  </si>
  <si>
    <t>Head-to-Head contact (from video)</t>
  </si>
  <si>
    <t>OCCUPANT-TO-OCCUPANT</t>
  </si>
  <si>
    <t>DUMMY SCORE</t>
  </si>
  <si>
    <t>TEST SCORE</t>
  </si>
  <si>
    <t>Excursion zone scaling factor</t>
  </si>
  <si>
    <t>Compatibility assessment</t>
  </si>
  <si>
    <t>Symmetrical performance</t>
  </si>
  <si>
    <t>EXCURSION ZONE</t>
  </si>
  <si>
    <t>Test position</t>
  </si>
  <si>
    <t>Geometric assessment (test position)</t>
  </si>
  <si>
    <t>Down/Back</t>
  </si>
  <si>
    <t>Ease of Adjustment</t>
  </si>
  <si>
    <t>REAR WHIPLASH</t>
  </si>
  <si>
    <t>Highest position - mm</t>
  </si>
  <si>
    <t>Rear Effective Height assessment</t>
  </si>
  <si>
    <t>Rear Backset Assessment</t>
  </si>
  <si>
    <t>Rear Non-Use Position Assessment</t>
  </si>
  <si>
    <t>Rear Whiplash assessment</t>
  </si>
  <si>
    <t>Effective Height  - mm</t>
  </si>
  <si>
    <t>Backset - mm</t>
  </si>
  <si>
    <t>Passenger Effective Height  - mm</t>
  </si>
  <si>
    <t>Passenger Backset - mm</t>
  </si>
  <si>
    <t>UPPER Neck Shear (+Fx) - N</t>
  </si>
  <si>
    <t>UPPER Neck Shear (-Fx) - N</t>
  </si>
  <si>
    <t>LOWER Neck Shear (ABS(Fx)) - N</t>
  </si>
  <si>
    <t>UPPER Neck Tension (+Fz) - N</t>
  </si>
  <si>
    <t>Rebound velocity - m/s</t>
  </si>
  <si>
    <t>LOWER Neck Extension &amp; Flexion (My) - N</t>
  </si>
  <si>
    <t>Rescue, Extrication &amp; Safety</t>
  </si>
  <si>
    <t>EXTRICATION</t>
  </si>
  <si>
    <t>MPDB</t>
  </si>
  <si>
    <t>FW</t>
  </si>
  <si>
    <t>POST-CRASH TECHNOLOGY</t>
  </si>
  <si>
    <t>Advanced eCall</t>
  </si>
  <si>
    <t>Potential # of occupants</t>
  </si>
  <si>
    <t>Recent vehicle locations N1 &amp; N2</t>
  </si>
  <si>
    <t>Multi Collision Brake</t>
  </si>
  <si>
    <t>Name</t>
  </si>
  <si>
    <t>Description in manual</t>
  </si>
  <si>
    <t>Deceleration during activation</t>
  </si>
  <si>
    <t>Brake light activation</t>
  </si>
  <si>
    <t>TOTAL RESCUE, EXTRICATION &amp; SAFETY</t>
  </si>
  <si>
    <t>AVAILABILITY</t>
  </si>
  <si>
    <t>Rear</t>
  </si>
  <si>
    <t>EXTRICATION ASSESSMENT</t>
  </si>
  <si>
    <t>POST-CRASH TECHNOLOGY ASSESSMENT</t>
  </si>
  <si>
    <t>Post-crash technology</t>
  </si>
  <si>
    <t>Extrication</t>
  </si>
  <si>
    <t>RESCUE</t>
  </si>
  <si>
    <t>Door opening forces - N</t>
  </si>
  <si>
    <t>Retracting door handles (if applicable)</t>
  </si>
  <si>
    <t>Automatic door locking assessment</t>
  </si>
  <si>
    <t>Seatbelt buckle unlatching assessment</t>
  </si>
  <si>
    <t>Retracting door handles assessment</t>
  </si>
  <si>
    <t>POLE</t>
  </si>
  <si>
    <t>Seatbelt buckle unlatching - N</t>
  </si>
  <si>
    <t>RESCUE ASSESSMENT</t>
  </si>
  <si>
    <t>Automatic Door Locking (if applicable)</t>
  </si>
  <si>
    <t>CPTA</t>
  </si>
  <si>
    <t>CPRA</t>
  </si>
  <si>
    <t>System switches off below 130 km/h</t>
  </si>
  <si>
    <t>ESS</t>
  </si>
  <si>
    <t>LKA assessment</t>
  </si>
  <si>
    <t>Occupant Status Monitoring</t>
  </si>
  <si>
    <t>SEAT BELT REMINDER</t>
  </si>
  <si>
    <t>Driver Monitoring assessment</t>
  </si>
  <si>
    <t>DRIVER MONITORING</t>
  </si>
  <si>
    <t>TOTAL OCCUPANT STATUS MONITORING</t>
  </si>
  <si>
    <t>Attention Assist dossier</t>
  </si>
  <si>
    <t>OSM</t>
  </si>
  <si>
    <t>Driver Monitoring</t>
  </si>
  <si>
    <t>CCFtap</t>
  </si>
  <si>
    <t>10 km/h</t>
  </si>
  <si>
    <t>Testpoints CCFtap</t>
  </si>
  <si>
    <t>GVT speed</t>
  </si>
  <si>
    <t>Test speed</t>
  </si>
  <si>
    <t>15 km/h</t>
  </si>
  <si>
    <t>20 km/h</t>
  </si>
  <si>
    <t>CCFtap RESULT</t>
  </si>
  <si>
    <t>30 km/h</t>
  </si>
  <si>
    <t>45 km/h</t>
  </si>
  <si>
    <t>* Points in brackets indicate the number of additional points to be scored to reach that specific star level</t>
  </si>
  <si>
    <t>COMPLIANCE</t>
  </si>
  <si>
    <t>='General Overview'!G42</t>
  </si>
  <si>
    <t>Frontal MPDB test</t>
  </si>
  <si>
    <t>Side MDB test</t>
  </si>
  <si>
    <t>MCB</t>
  </si>
  <si>
    <t>TOTAL AEB CAR-TO-CAR</t>
  </si>
  <si>
    <t>AEB CAR-TO-CAR</t>
  </si>
  <si>
    <t>UPPER Neck Extension &amp; Flexion (My) - Nm</t>
  </si>
  <si>
    <t>OSM test</t>
  </si>
  <si>
    <t>Head colour</t>
  </si>
  <si>
    <t>Neck Colour</t>
  </si>
  <si>
    <t>Chest Colour</t>
  </si>
  <si>
    <t>KFP - left</t>
  </si>
  <si>
    <t>KFP - right</t>
  </si>
  <si>
    <t>Lower Leg - left</t>
  </si>
  <si>
    <t>Lower Leg - right</t>
  </si>
  <si>
    <t>Foot &amp; Ankle</t>
  </si>
  <si>
    <t>Rounded Total</t>
  </si>
  <si>
    <t>Neck colour</t>
  </si>
  <si>
    <t>Chest colour</t>
  </si>
  <si>
    <t>Far Side</t>
  </si>
  <si>
    <t>MDB</t>
  </si>
  <si>
    <t>Chest &amp; Abdomen</t>
  </si>
  <si>
    <t>Rounded Test Score</t>
  </si>
  <si>
    <t>COP Dynamic</t>
  </si>
  <si>
    <t>Max Points</t>
  </si>
  <si>
    <t>CRS Type</t>
  </si>
  <si>
    <t>rounded total</t>
  </si>
  <si>
    <t>COP Vehicle-Based</t>
  </si>
  <si>
    <t>Website Table</t>
  </si>
  <si>
    <t>COP CRS Installation</t>
  </si>
  <si>
    <t>MAP FROM EM</t>
  </si>
  <si>
    <t>b</t>
  </si>
  <si>
    <t>VRU</t>
  </si>
  <si>
    <t>VRU Headform</t>
  </si>
  <si>
    <t>Start row</t>
  </si>
  <si>
    <t>Max points</t>
  </si>
  <si>
    <t>ROUNDED TOTAL</t>
  </si>
  <si>
    <t>MAX POINTS</t>
  </si>
  <si>
    <t>Reference Number</t>
  </si>
  <si>
    <t>Active bonnet</t>
  </si>
  <si>
    <t>KF - left</t>
  </si>
  <si>
    <t>KF - right</t>
  </si>
  <si>
    <t>Pelvis colour</t>
  </si>
  <si>
    <t>front_whiplash_colour</t>
  </si>
  <si>
    <t>rear_whiplash_colour</t>
  </si>
  <si>
    <t>max points</t>
  </si>
  <si>
    <t>rounded static assessment</t>
  </si>
  <si>
    <t>dynamic rounded mid</t>
  </si>
  <si>
    <t>dynamic rounded high</t>
  </si>
  <si>
    <t>Rescue rounded</t>
  </si>
  <si>
    <t>Extrication rounded</t>
  </si>
  <si>
    <t>Post_Crash rounded</t>
  </si>
  <si>
    <t>Max Dynamic Points</t>
  </si>
  <si>
    <t>Seat Arrangement</t>
  </si>
  <si>
    <t>Type of car image</t>
  </si>
  <si>
    <t>rounded_total_OSM</t>
  </si>
  <si>
    <t>MAX_points_OSM</t>
  </si>
  <si>
    <t>SBR_applies to</t>
  </si>
  <si>
    <t>No seats</t>
  </si>
  <si>
    <t>Front seats only</t>
  </si>
  <si>
    <t>Front and rear seats</t>
  </si>
  <si>
    <t>rounded_total</t>
  </si>
  <si>
    <t>colour</t>
  </si>
  <si>
    <t>additional information</t>
  </si>
  <si>
    <t>No supplementary warning or dynamic seatbelt retractors</t>
  </si>
  <si>
    <t>Supplementary warning</t>
  </si>
  <si>
    <t>Dynamic seatbelt retractors</t>
  </si>
  <si>
    <t>Supplementary warning and dynamic seatbelt retractors</t>
  </si>
  <si>
    <t>functionality</t>
  </si>
  <si>
    <t>Forward collision warning</t>
  </si>
  <si>
    <t>Autonomous emergency braking and forward collision warning</t>
  </si>
  <si>
    <t>Autonomous emergency braking</t>
  </si>
  <si>
    <t>ELK_rounded</t>
  </si>
  <si>
    <t>ELK_colour</t>
  </si>
  <si>
    <t>LKA_rounded</t>
  </si>
  <si>
    <t>LKA_colour</t>
  </si>
  <si>
    <t>HMI_rounded</t>
  </si>
  <si>
    <t>HMI_colour</t>
  </si>
  <si>
    <t>ELK_Max</t>
  </si>
  <si>
    <t>LKA_Max</t>
  </si>
  <si>
    <t>HMI_Max</t>
  </si>
  <si>
    <t>SBR_rounded_total</t>
  </si>
  <si>
    <t>SBR_Max</t>
  </si>
  <si>
    <t>SBR_Colour</t>
  </si>
  <si>
    <t>Driver_Monitoring_rounded</t>
  </si>
  <si>
    <t>Driver_monitoring_MAX</t>
  </si>
  <si>
    <t>Driver_monitoring_colour</t>
  </si>
  <si>
    <t>description</t>
  </si>
  <si>
    <t>Accuracy</t>
  </si>
  <si>
    <t>MPDB Deformations</t>
  </si>
  <si>
    <t>Row_7</t>
  </si>
  <si>
    <t>Row_6</t>
  </si>
  <si>
    <t>Row_5</t>
  </si>
  <si>
    <t>Row_4</t>
  </si>
  <si>
    <t>Row_3</t>
  </si>
  <si>
    <t>Row_2</t>
  </si>
  <si>
    <t>Row_1</t>
  </si>
  <si>
    <t>Col_1</t>
  </si>
  <si>
    <t>Col_2</t>
  </si>
  <si>
    <t>Col_3</t>
  </si>
  <si>
    <t>Col_4</t>
  </si>
  <si>
    <t>Col_5</t>
  </si>
  <si>
    <t>Col_6</t>
  </si>
  <si>
    <t>AEB-VRU fitment</t>
  </si>
  <si>
    <t>MPDB Image type</t>
  </si>
  <si>
    <t>O2O head colour</t>
  </si>
  <si>
    <t>Excursion Zone</t>
  </si>
  <si>
    <t>rescue sheet comment</t>
  </si>
  <si>
    <t>advanced eCall comment</t>
  </si>
  <si>
    <t>MCB comment</t>
  </si>
  <si>
    <t>Frontal Points</t>
  </si>
  <si>
    <t>Frontal Max Points</t>
  </si>
  <si>
    <t>Frontal Colour</t>
  </si>
  <si>
    <t>Lateral Points</t>
  </si>
  <si>
    <t>Lateral Max Points</t>
  </si>
  <si>
    <t>Lateral Colour</t>
  </si>
  <si>
    <t>Rear Points</t>
  </si>
  <si>
    <t>Rear Max Points</t>
  </si>
  <si>
    <t>Rear Colour</t>
  </si>
  <si>
    <t>Sensors used</t>
  </si>
  <si>
    <t>camera and radar</t>
  </si>
  <si>
    <t>min speed</t>
  </si>
  <si>
    <t>Dr Monitor Name</t>
  </si>
  <si>
    <t>Type</t>
  </si>
  <si>
    <t>Min Speed</t>
  </si>
  <si>
    <t>Driver_Check</t>
  </si>
  <si>
    <t>Belt slipping of shoulder?</t>
  </si>
  <si>
    <t>Submarining or upward movement in rebound?</t>
  </si>
  <si>
    <t>Belt interaction?</t>
  </si>
  <si>
    <t>Bottoming out or contact with interior?</t>
  </si>
  <si>
    <t>rescue_sheet_url_en</t>
  </si>
  <si>
    <t>rescue_sheet_url_de</t>
  </si>
  <si>
    <t>rescue_sheet_url_fr</t>
  </si>
  <si>
    <t>rescue_sheet_url_es</t>
  </si>
  <si>
    <t>KTH</t>
  </si>
  <si>
    <t>For monitoring purpose</t>
  </si>
  <si>
    <t>FAR SIDE IMPACT</t>
  </si>
  <si>
    <t>points</t>
  </si>
  <si>
    <t>Side Occupant-to-Occupant test</t>
  </si>
  <si>
    <t>PREREQUISITE</t>
  </si>
  <si>
    <t>Structural failure</t>
  </si>
  <si>
    <t>Restraint failure</t>
  </si>
  <si>
    <t>Door opening force assessment</t>
  </si>
  <si>
    <t>BARRIER SCAN</t>
  </si>
  <si>
    <t>Width</t>
  </si>
  <si>
    <t>Hand of Drive</t>
  </si>
  <si>
    <t>Assessment Zone</t>
  </si>
  <si>
    <t>Nr of colmns</t>
  </si>
  <si>
    <t>Coordinates</t>
  </si>
  <si>
    <t>Y,Z-coordinates</t>
  </si>
  <si>
    <t>X-deformation</t>
  </si>
  <si>
    <t>Row</t>
  </si>
  <si>
    <t>Column</t>
  </si>
  <si>
    <t>All</t>
  </si>
  <si>
    <t>In Zone</t>
  </si>
  <si>
    <t>-10,550</t>
  </si>
  <si>
    <t>-10,530</t>
  </si>
  <si>
    <t>-10,510</t>
  </si>
  <si>
    <t>-10,490</t>
  </si>
  <si>
    <t>-10,470</t>
  </si>
  <si>
    <t>-10,450</t>
  </si>
  <si>
    <t>-10,430</t>
  </si>
  <si>
    <t>-10,410</t>
  </si>
  <si>
    <t>-10,390</t>
  </si>
  <si>
    <t>-10,370</t>
  </si>
  <si>
    <t>-10,350</t>
  </si>
  <si>
    <t>-10,330</t>
  </si>
  <si>
    <t>-10,310</t>
  </si>
  <si>
    <t>-10,290</t>
  </si>
  <si>
    <t>-10,270</t>
  </si>
  <si>
    <t>-10,250</t>
  </si>
  <si>
    <t>-10,230</t>
  </si>
  <si>
    <t>-10,210</t>
  </si>
  <si>
    <t>-10,190</t>
  </si>
  <si>
    <t>-10,170</t>
  </si>
  <si>
    <t>-10,150</t>
  </si>
  <si>
    <t>-10,130</t>
  </si>
  <si>
    <t>-10,110</t>
  </si>
  <si>
    <t>-10,90</t>
  </si>
  <si>
    <t>-10,70</t>
  </si>
  <si>
    <t>-10,50</t>
  </si>
  <si>
    <t>-10,30</t>
  </si>
  <si>
    <t>-10,10</t>
  </si>
  <si>
    <t>-30,550</t>
  </si>
  <si>
    <t>-30,530</t>
  </si>
  <si>
    <t>-30,510</t>
  </si>
  <si>
    <t>-30,490</t>
  </si>
  <si>
    <t>-30,470</t>
  </si>
  <si>
    <t>-30,450</t>
  </si>
  <si>
    <t>-30,430</t>
  </si>
  <si>
    <t>-30,410</t>
  </si>
  <si>
    <t>-30,390</t>
  </si>
  <si>
    <t>-30,370</t>
  </si>
  <si>
    <t>-30,350</t>
  </si>
  <si>
    <t>-30,330</t>
  </si>
  <si>
    <t>-30,310</t>
  </si>
  <si>
    <t>-30,290</t>
  </si>
  <si>
    <t>-30,270</t>
  </si>
  <si>
    <t>-30,250</t>
  </si>
  <si>
    <t>-30,230</t>
  </si>
  <si>
    <t>-30,210</t>
  </si>
  <si>
    <t>-30,190</t>
  </si>
  <si>
    <t>-30,170</t>
  </si>
  <si>
    <t>-30,150</t>
  </si>
  <si>
    <t>-30,130</t>
  </si>
  <si>
    <t>-30,110</t>
  </si>
  <si>
    <t>-30,90</t>
  </si>
  <si>
    <t>-30,70</t>
  </si>
  <si>
    <t>-30,50</t>
  </si>
  <si>
    <t>-30,30</t>
  </si>
  <si>
    <t>-30,10</t>
  </si>
  <si>
    <t>-50,550</t>
  </si>
  <si>
    <t>-50,530</t>
  </si>
  <si>
    <t>-50,510</t>
  </si>
  <si>
    <t>-50,490</t>
  </si>
  <si>
    <t>-50,470</t>
  </si>
  <si>
    <t>-50,450</t>
  </si>
  <si>
    <t>-50,430</t>
  </si>
  <si>
    <t>-50,410</t>
  </si>
  <si>
    <t>-50,390</t>
  </si>
  <si>
    <t>-50,370</t>
  </si>
  <si>
    <t>-50,350</t>
  </si>
  <si>
    <t>-50,330</t>
  </si>
  <si>
    <t>-50,310</t>
  </si>
  <si>
    <t>-50,290</t>
  </si>
  <si>
    <t>-50,270</t>
  </si>
  <si>
    <t>-50,250</t>
  </si>
  <si>
    <t>-50,230</t>
  </si>
  <si>
    <t>-50,210</t>
  </si>
  <si>
    <t>-50,190</t>
  </si>
  <si>
    <t>-50,170</t>
  </si>
  <si>
    <t>-50,150</t>
  </si>
  <si>
    <t>-50,130</t>
  </si>
  <si>
    <t>-50,110</t>
  </si>
  <si>
    <t>-50,90</t>
  </si>
  <si>
    <t>-50,70</t>
  </si>
  <si>
    <t>-50,50</t>
  </si>
  <si>
    <t>-50,30</t>
  </si>
  <si>
    <t>-50,10</t>
  </si>
  <si>
    <t>-70,550</t>
  </si>
  <si>
    <t>-70,530</t>
  </si>
  <si>
    <t>-70,510</t>
  </si>
  <si>
    <t>-70,490</t>
  </si>
  <si>
    <t>-70,470</t>
  </si>
  <si>
    <t>-70,450</t>
  </si>
  <si>
    <t>-70,430</t>
  </si>
  <si>
    <t>-70,410</t>
  </si>
  <si>
    <t>-70,390</t>
  </si>
  <si>
    <t>-70,370</t>
  </si>
  <si>
    <t>-70,350</t>
  </si>
  <si>
    <t>-70,330</t>
  </si>
  <si>
    <t>-70,310</t>
  </si>
  <si>
    <t>-70,290</t>
  </si>
  <si>
    <t>-70,270</t>
  </si>
  <si>
    <t>-70,250</t>
  </si>
  <si>
    <t>-70,230</t>
  </si>
  <si>
    <t>-70,210</t>
  </si>
  <si>
    <t>-70,190</t>
  </si>
  <si>
    <t>-70,170</t>
  </si>
  <si>
    <t>-70,150</t>
  </si>
  <si>
    <t>-70,130</t>
  </si>
  <si>
    <t>-70,110</t>
  </si>
  <si>
    <t>-70,90</t>
  </si>
  <si>
    <t>-70,70</t>
  </si>
  <si>
    <t>-70,50</t>
  </si>
  <si>
    <t>-70,30</t>
  </si>
  <si>
    <t>-70,10</t>
  </si>
  <si>
    <t>-90,550</t>
  </si>
  <si>
    <t>-90,530</t>
  </si>
  <si>
    <t>-90,510</t>
  </si>
  <si>
    <t>-90,490</t>
  </si>
  <si>
    <t>-90,470</t>
  </si>
  <si>
    <t>-90,450</t>
  </si>
  <si>
    <t>-90,430</t>
  </si>
  <si>
    <t>-90,410</t>
  </si>
  <si>
    <t>-90,390</t>
  </si>
  <si>
    <t>-90,370</t>
  </si>
  <si>
    <t>-90,350</t>
  </si>
  <si>
    <t>-90,330</t>
  </si>
  <si>
    <t>-90,310</t>
  </si>
  <si>
    <t>-90,290</t>
  </si>
  <si>
    <t>-90,270</t>
  </si>
  <si>
    <t>-90,250</t>
  </si>
  <si>
    <t>-90,230</t>
  </si>
  <si>
    <t>-90,210</t>
  </si>
  <si>
    <t>-90,190</t>
  </si>
  <si>
    <t>-90,170</t>
  </si>
  <si>
    <t>-90,150</t>
  </si>
  <si>
    <t>-90,130</t>
  </si>
  <si>
    <t>-90,110</t>
  </si>
  <si>
    <t>-90,90</t>
  </si>
  <si>
    <t>-90,70</t>
  </si>
  <si>
    <t>-90,50</t>
  </si>
  <si>
    <t>-90,30</t>
  </si>
  <si>
    <t>-90,10</t>
  </si>
  <si>
    <t>-110,550</t>
  </si>
  <si>
    <t>-110,530</t>
  </si>
  <si>
    <t>-110,510</t>
  </si>
  <si>
    <t>-110,490</t>
  </si>
  <si>
    <t>-110,470</t>
  </si>
  <si>
    <t>-110,450</t>
  </si>
  <si>
    <t>-110,430</t>
  </si>
  <si>
    <t>-110,410</t>
  </si>
  <si>
    <t>-110,390</t>
  </si>
  <si>
    <t>-110,370</t>
  </si>
  <si>
    <t>-110,350</t>
  </si>
  <si>
    <t>-110,330</t>
  </si>
  <si>
    <t>-110,310</t>
  </si>
  <si>
    <t>-110,290</t>
  </si>
  <si>
    <t>-110,270</t>
  </si>
  <si>
    <t>-110,250</t>
  </si>
  <si>
    <t>-110,230</t>
  </si>
  <si>
    <t>-110,210</t>
  </si>
  <si>
    <t>-110,190</t>
  </si>
  <si>
    <t>-110,170</t>
  </si>
  <si>
    <t>-110,150</t>
  </si>
  <si>
    <t>-110,130</t>
  </si>
  <si>
    <t>-110,110</t>
  </si>
  <si>
    <t>-110,90</t>
  </si>
  <si>
    <t>-110,70</t>
  </si>
  <si>
    <t>-110,50</t>
  </si>
  <si>
    <t>-110,30</t>
  </si>
  <si>
    <t>-110,10</t>
  </si>
  <si>
    <t>-130,550</t>
  </si>
  <si>
    <t>-130,530</t>
  </si>
  <si>
    <t>-130,510</t>
  </si>
  <si>
    <t>-130,490</t>
  </si>
  <si>
    <t>-130,470</t>
  </si>
  <si>
    <t>-130,450</t>
  </si>
  <si>
    <t>-130,430</t>
  </si>
  <si>
    <t>-130,410</t>
  </si>
  <si>
    <t>-130,390</t>
  </si>
  <si>
    <t>-130,370</t>
  </si>
  <si>
    <t>-130,350</t>
  </si>
  <si>
    <t>-130,330</t>
  </si>
  <si>
    <t>-130,310</t>
  </si>
  <si>
    <t>-130,290</t>
  </si>
  <si>
    <t>-130,270</t>
  </si>
  <si>
    <t>-130,250</t>
  </si>
  <si>
    <t>-130,230</t>
  </si>
  <si>
    <t>-130,210</t>
  </si>
  <si>
    <t>-130,190</t>
  </si>
  <si>
    <t>-130,170</t>
  </si>
  <si>
    <t>-130,150</t>
  </si>
  <si>
    <t>-130,130</t>
  </si>
  <si>
    <t>-130,110</t>
  </si>
  <si>
    <t>-130,90</t>
  </si>
  <si>
    <t>-130,70</t>
  </si>
  <si>
    <t>-130,50</t>
  </si>
  <si>
    <t>-130,30</t>
  </si>
  <si>
    <t>-130,10</t>
  </si>
  <si>
    <t>-150,550</t>
  </si>
  <si>
    <t>-150,530</t>
  </si>
  <si>
    <t>-150,510</t>
  </si>
  <si>
    <t>-150,490</t>
  </si>
  <si>
    <t>-150,470</t>
  </si>
  <si>
    <t>-150,450</t>
  </si>
  <si>
    <t>-150,430</t>
  </si>
  <si>
    <t>-150,410</t>
  </si>
  <si>
    <t>-150,390</t>
  </si>
  <si>
    <t>-150,370</t>
  </si>
  <si>
    <t>-150,350</t>
  </si>
  <si>
    <t>-150,330</t>
  </si>
  <si>
    <t>-150,310</t>
  </si>
  <si>
    <t>-150,290</t>
  </si>
  <si>
    <t>-150,270</t>
  </si>
  <si>
    <t>-150,250</t>
  </si>
  <si>
    <t>-150,230</t>
  </si>
  <si>
    <t>-150,210</t>
  </si>
  <si>
    <t>-150,190</t>
  </si>
  <si>
    <t>-150,170</t>
  </si>
  <si>
    <t>-150,150</t>
  </si>
  <si>
    <t>-150,130</t>
  </si>
  <si>
    <t>-150,110</t>
  </si>
  <si>
    <t>-150,90</t>
  </si>
  <si>
    <t>-150,70</t>
  </si>
  <si>
    <t>-150,50</t>
  </si>
  <si>
    <t>-150,30</t>
  </si>
  <si>
    <t>-150,10</t>
  </si>
  <si>
    <t>-170,550</t>
  </si>
  <si>
    <t>-170,530</t>
  </si>
  <si>
    <t>-170,510</t>
  </si>
  <si>
    <t>-170,490</t>
  </si>
  <si>
    <t>-170,470</t>
  </si>
  <si>
    <t>-170,450</t>
  </si>
  <si>
    <t>-170,430</t>
  </si>
  <si>
    <t>-170,410</t>
  </si>
  <si>
    <t>-170,390</t>
  </si>
  <si>
    <t>-170,370</t>
  </si>
  <si>
    <t>-170,350</t>
  </si>
  <si>
    <t>-170,330</t>
  </si>
  <si>
    <t>-170,310</t>
  </si>
  <si>
    <t>-170,290</t>
  </si>
  <si>
    <t>-170,270</t>
  </si>
  <si>
    <t>-170,250</t>
  </si>
  <si>
    <t>-170,230</t>
  </si>
  <si>
    <t>-170,210</t>
  </si>
  <si>
    <t>-170,190</t>
  </si>
  <si>
    <t>-170,170</t>
  </si>
  <si>
    <t>-170,150</t>
  </si>
  <si>
    <t>-170,130</t>
  </si>
  <si>
    <t>-170,110</t>
  </si>
  <si>
    <t>-170,90</t>
  </si>
  <si>
    <t>-170,70</t>
  </si>
  <si>
    <t>-170,50</t>
  </si>
  <si>
    <t>-170,30</t>
  </si>
  <si>
    <t>-170,10</t>
  </si>
  <si>
    <t>-190,550</t>
  </si>
  <si>
    <t>-190,530</t>
  </si>
  <si>
    <t>-190,510</t>
  </si>
  <si>
    <t>-190,490</t>
  </si>
  <si>
    <t>-190,470</t>
  </si>
  <si>
    <t>-190,450</t>
  </si>
  <si>
    <t>-190,430</t>
  </si>
  <si>
    <t>-190,410</t>
  </si>
  <si>
    <t>-190,390</t>
  </si>
  <si>
    <t>-190,370</t>
  </si>
  <si>
    <t>-190,350</t>
  </si>
  <si>
    <t>-190,330</t>
  </si>
  <si>
    <t>-190,310</t>
  </si>
  <si>
    <t>-190,290</t>
  </si>
  <si>
    <t>-190,270</t>
  </si>
  <si>
    <t>-190,250</t>
  </si>
  <si>
    <t>-190,230</t>
  </si>
  <si>
    <t>-190,210</t>
  </si>
  <si>
    <t>-190,190</t>
  </si>
  <si>
    <t>-190,170</t>
  </si>
  <si>
    <t>-190,150</t>
  </si>
  <si>
    <t>-190,130</t>
  </si>
  <si>
    <t>-190,110</t>
  </si>
  <si>
    <t>-190,90</t>
  </si>
  <si>
    <t>-190,70</t>
  </si>
  <si>
    <t>-190,50</t>
  </si>
  <si>
    <t>-190,30</t>
  </si>
  <si>
    <t>-190,10</t>
  </si>
  <si>
    <t>-210,550</t>
  </si>
  <si>
    <t>-210,530</t>
  </si>
  <si>
    <t>-210,510</t>
  </si>
  <si>
    <t>-210,490</t>
  </si>
  <si>
    <t>-210,470</t>
  </si>
  <si>
    <t>-210,450</t>
  </si>
  <si>
    <t>-210,430</t>
  </si>
  <si>
    <t>-210,410</t>
  </si>
  <si>
    <t>-210,390</t>
  </si>
  <si>
    <t>-210,370</t>
  </si>
  <si>
    <t>-210,350</t>
  </si>
  <si>
    <t>-210,330</t>
  </si>
  <si>
    <t>-210,310</t>
  </si>
  <si>
    <t>-210,290</t>
  </si>
  <si>
    <t>-210,270</t>
  </si>
  <si>
    <t>-210,250</t>
  </si>
  <si>
    <t>-210,230</t>
  </si>
  <si>
    <t>-210,210</t>
  </si>
  <si>
    <t>-210,190</t>
  </si>
  <si>
    <t>-210,170</t>
  </si>
  <si>
    <t>-210,150</t>
  </si>
  <si>
    <t>-210,130</t>
  </si>
  <si>
    <t>-210,110</t>
  </si>
  <si>
    <t>-210,90</t>
  </si>
  <si>
    <t>-210,70</t>
  </si>
  <si>
    <t>-210,50</t>
  </si>
  <si>
    <t>-210,30</t>
  </si>
  <si>
    <t>-210,10</t>
  </si>
  <si>
    <t>-230,550</t>
  </si>
  <si>
    <t>-230,530</t>
  </si>
  <si>
    <t>-230,510</t>
  </si>
  <si>
    <t>-230,490</t>
  </si>
  <si>
    <t>-230,470</t>
  </si>
  <si>
    <t>-230,450</t>
  </si>
  <si>
    <t>-230,430</t>
  </si>
  <si>
    <t>-230,410</t>
  </si>
  <si>
    <t>-230,390</t>
  </si>
  <si>
    <t>-230,370</t>
  </si>
  <si>
    <t>-230,350</t>
  </si>
  <si>
    <t>-230,330</t>
  </si>
  <si>
    <t>-230,310</t>
  </si>
  <si>
    <t>-230,290</t>
  </si>
  <si>
    <t>-230,270</t>
  </si>
  <si>
    <t>-230,250</t>
  </si>
  <si>
    <t>-230,230</t>
  </si>
  <si>
    <t>-230,210</t>
  </si>
  <si>
    <t>-230,190</t>
  </si>
  <si>
    <t>-230,170</t>
  </si>
  <si>
    <t>-230,150</t>
  </si>
  <si>
    <t>-230,130</t>
  </si>
  <si>
    <t>-230,110</t>
  </si>
  <si>
    <t>-230,90</t>
  </si>
  <si>
    <t>-230,70</t>
  </si>
  <si>
    <t>-230,50</t>
  </si>
  <si>
    <t>-230,30</t>
  </si>
  <si>
    <t>-230,10</t>
  </si>
  <si>
    <t>-250,550</t>
  </si>
  <si>
    <t>-250,530</t>
  </si>
  <si>
    <t>-250,510</t>
  </si>
  <si>
    <t>-250,490</t>
  </si>
  <si>
    <t>-250,470</t>
  </si>
  <si>
    <t>-250,450</t>
  </si>
  <si>
    <t>-250,430</t>
  </si>
  <si>
    <t>-250,410</t>
  </si>
  <si>
    <t>-250,390</t>
  </si>
  <si>
    <t>-250,370</t>
  </si>
  <si>
    <t>-250,350</t>
  </si>
  <si>
    <t>-250,330</t>
  </si>
  <si>
    <t>-250,310</t>
  </si>
  <si>
    <t>-250,290</t>
  </si>
  <si>
    <t>-250,270</t>
  </si>
  <si>
    <t>-250,250</t>
  </si>
  <si>
    <t>-250,230</t>
  </si>
  <si>
    <t>-250,210</t>
  </si>
  <si>
    <t>-250,190</t>
  </si>
  <si>
    <t>-250,170</t>
  </si>
  <si>
    <t>-250,150</t>
  </si>
  <si>
    <t>-250,130</t>
  </si>
  <si>
    <t>-250,110</t>
  </si>
  <si>
    <t>-250,90</t>
  </si>
  <si>
    <t>-250,70</t>
  </si>
  <si>
    <t>-250,50</t>
  </si>
  <si>
    <t>-250,30</t>
  </si>
  <si>
    <t>-250,10</t>
  </si>
  <si>
    <t>-270,550</t>
  </si>
  <si>
    <t>-270,530</t>
  </si>
  <si>
    <t>-270,510</t>
  </si>
  <si>
    <t>-270,490</t>
  </si>
  <si>
    <t>-270,470</t>
  </si>
  <si>
    <t>-270,450</t>
  </si>
  <si>
    <t>-270,430</t>
  </si>
  <si>
    <t>-270,410</t>
  </si>
  <si>
    <t>-270,390</t>
  </si>
  <si>
    <t>-270,370</t>
  </si>
  <si>
    <t>-270,350</t>
  </si>
  <si>
    <t>-270,330</t>
  </si>
  <si>
    <t>-270,310</t>
  </si>
  <si>
    <t>-270,290</t>
  </si>
  <si>
    <t>-270,270</t>
  </si>
  <si>
    <t>-270,250</t>
  </si>
  <si>
    <t>-270,230</t>
  </si>
  <si>
    <t>-270,210</t>
  </si>
  <si>
    <t>-270,190</t>
  </si>
  <si>
    <t>-270,170</t>
  </si>
  <si>
    <t>-270,150</t>
  </si>
  <si>
    <t>-270,130</t>
  </si>
  <si>
    <t>-270,110</t>
  </si>
  <si>
    <t>-270,90</t>
  </si>
  <si>
    <t>-270,70</t>
  </si>
  <si>
    <t>-270,50</t>
  </si>
  <si>
    <t>-270,30</t>
  </si>
  <si>
    <t>-270,10</t>
  </si>
  <si>
    <t>-290,550</t>
  </si>
  <si>
    <t>-290,530</t>
  </si>
  <si>
    <t>-290,510</t>
  </si>
  <si>
    <t>-290,490</t>
  </si>
  <si>
    <t>-290,470</t>
  </si>
  <si>
    <t>-290,450</t>
  </si>
  <si>
    <t>-290,430</t>
  </si>
  <si>
    <t>-290,410</t>
  </si>
  <si>
    <t>-290,390</t>
  </si>
  <si>
    <t>-290,370</t>
  </si>
  <si>
    <t>-290,350</t>
  </si>
  <si>
    <t>-290,330</t>
  </si>
  <si>
    <t>-290,310</t>
  </si>
  <si>
    <t>-290,290</t>
  </si>
  <si>
    <t>-290,270</t>
  </si>
  <si>
    <t>-290,250</t>
  </si>
  <si>
    <t>-290,230</t>
  </si>
  <si>
    <t>-290,210</t>
  </si>
  <si>
    <t>-290,190</t>
  </si>
  <si>
    <t>-290,170</t>
  </si>
  <si>
    <t>-290,150</t>
  </si>
  <si>
    <t>-290,130</t>
  </si>
  <si>
    <t>-290,110</t>
  </si>
  <si>
    <t>-290,90</t>
  </si>
  <si>
    <t>-290,70</t>
  </si>
  <si>
    <t>-290,50</t>
  </si>
  <si>
    <t>-290,30</t>
  </si>
  <si>
    <t>-290,10</t>
  </si>
  <si>
    <t>-310,550</t>
  </si>
  <si>
    <t>-310,530</t>
  </si>
  <si>
    <t>-310,510</t>
  </si>
  <si>
    <t>-310,490</t>
  </si>
  <si>
    <t>-310,470</t>
  </si>
  <si>
    <t>-310,450</t>
  </si>
  <si>
    <t>-310,430</t>
  </si>
  <si>
    <t>-310,410</t>
  </si>
  <si>
    <t>-310,390</t>
  </si>
  <si>
    <t>-310,370</t>
  </si>
  <si>
    <t>-310,350</t>
  </si>
  <si>
    <t>-310,330</t>
  </si>
  <si>
    <t>-310,310</t>
  </si>
  <si>
    <t>-310,290</t>
  </si>
  <si>
    <t>-310,270</t>
  </si>
  <si>
    <t>-310,250</t>
  </si>
  <si>
    <t>-310,230</t>
  </si>
  <si>
    <t>-310,210</t>
  </si>
  <si>
    <t>-310,190</t>
  </si>
  <si>
    <t>-310,170</t>
  </si>
  <si>
    <t>-310,150</t>
  </si>
  <si>
    <t>-310,130</t>
  </si>
  <si>
    <t>-310,110</t>
  </si>
  <si>
    <t>-310,90</t>
  </si>
  <si>
    <t>-310,70</t>
  </si>
  <si>
    <t>-310,50</t>
  </si>
  <si>
    <t>-310,30</t>
  </si>
  <si>
    <t>-310,10</t>
  </si>
  <si>
    <t>-330,550</t>
  </si>
  <si>
    <t>-330,530</t>
  </si>
  <si>
    <t>-330,510</t>
  </si>
  <si>
    <t>-330,490</t>
  </si>
  <si>
    <t>-330,470</t>
  </si>
  <si>
    <t>-330,450</t>
  </si>
  <si>
    <t>-330,430</t>
  </si>
  <si>
    <t>-330,410</t>
  </si>
  <si>
    <t>-330,390</t>
  </si>
  <si>
    <t>-330,370</t>
  </si>
  <si>
    <t>-330,350</t>
  </si>
  <si>
    <t>-330,330</t>
  </si>
  <si>
    <t>-330,310</t>
  </si>
  <si>
    <t>-330,290</t>
  </si>
  <si>
    <t>-330,270</t>
  </si>
  <si>
    <t>-330,250</t>
  </si>
  <si>
    <t>-330,230</t>
  </si>
  <si>
    <t>-330,210</t>
  </si>
  <si>
    <t>-330,190</t>
  </si>
  <si>
    <t>-330,170</t>
  </si>
  <si>
    <t>-330,150</t>
  </si>
  <si>
    <t>-330,130</t>
  </si>
  <si>
    <t>-330,110</t>
  </si>
  <si>
    <t>-330,90</t>
  </si>
  <si>
    <t>-330,70</t>
  </si>
  <si>
    <t>-330,50</t>
  </si>
  <si>
    <t>-330,30</t>
  </si>
  <si>
    <t>-330,10</t>
  </si>
  <si>
    <t>-350,550</t>
  </si>
  <si>
    <t>-350,530</t>
  </si>
  <si>
    <t>-350,510</t>
  </si>
  <si>
    <t>-350,490</t>
  </si>
  <si>
    <t>-350,470</t>
  </si>
  <si>
    <t>-350,450</t>
  </si>
  <si>
    <t>-350,430</t>
  </si>
  <si>
    <t>-350,410</t>
  </si>
  <si>
    <t>-350,390</t>
  </si>
  <si>
    <t>-350,370</t>
  </si>
  <si>
    <t>-350,350</t>
  </si>
  <si>
    <t>-350,330</t>
  </si>
  <si>
    <t>-350,310</t>
  </si>
  <si>
    <t>-350,290</t>
  </si>
  <si>
    <t>-350,270</t>
  </si>
  <si>
    <t>-350,250</t>
  </si>
  <si>
    <t>-350,230</t>
  </si>
  <si>
    <t>-350,210</t>
  </si>
  <si>
    <t>-350,190</t>
  </si>
  <si>
    <t>-350,170</t>
  </si>
  <si>
    <t>-350,150</t>
  </si>
  <si>
    <t>-350,130</t>
  </si>
  <si>
    <t>-350,110</t>
  </si>
  <si>
    <t>-350,90</t>
  </si>
  <si>
    <t>-350,70</t>
  </si>
  <si>
    <t>-350,50</t>
  </si>
  <si>
    <t>-350,30</t>
  </si>
  <si>
    <t>-350,10</t>
  </si>
  <si>
    <t>-370,550</t>
  </si>
  <si>
    <t>-370,530</t>
  </si>
  <si>
    <t>-370,510</t>
  </si>
  <si>
    <t>-370,490</t>
  </si>
  <si>
    <t>-370,470</t>
  </si>
  <si>
    <t>-370,450</t>
  </si>
  <si>
    <t>-370,430</t>
  </si>
  <si>
    <t>-370,410</t>
  </si>
  <si>
    <t>-370,390</t>
  </si>
  <si>
    <t>-370,370</t>
  </si>
  <si>
    <t>-370,350</t>
  </si>
  <si>
    <t>-370,330</t>
  </si>
  <si>
    <t>-370,310</t>
  </si>
  <si>
    <t>-370,290</t>
  </si>
  <si>
    <t>-370,270</t>
  </si>
  <si>
    <t>-370,250</t>
  </si>
  <si>
    <t>-370,230</t>
  </si>
  <si>
    <t>-370,210</t>
  </si>
  <si>
    <t>-370,190</t>
  </si>
  <si>
    <t>-370,170</t>
  </si>
  <si>
    <t>-370,150</t>
  </si>
  <si>
    <t>-370,130</t>
  </si>
  <si>
    <t>-370,110</t>
  </si>
  <si>
    <t>-370,90</t>
  </si>
  <si>
    <t>-370,70</t>
  </si>
  <si>
    <t>-370,50</t>
  </si>
  <si>
    <t>-370,30</t>
  </si>
  <si>
    <t>-370,10</t>
  </si>
  <si>
    <t>-390,550</t>
  </si>
  <si>
    <t>-390,530</t>
  </si>
  <si>
    <t>-390,510</t>
  </si>
  <si>
    <t>-390,490</t>
  </si>
  <si>
    <t>-390,470</t>
  </si>
  <si>
    <t>-390,450</t>
  </si>
  <si>
    <t>-390,430</t>
  </si>
  <si>
    <t>-390,410</t>
  </si>
  <si>
    <t>-390,390</t>
  </si>
  <si>
    <t>-390,370</t>
  </si>
  <si>
    <t>-390,350</t>
  </si>
  <si>
    <t>-390,330</t>
  </si>
  <si>
    <t>-390,310</t>
  </si>
  <si>
    <t>-390,290</t>
  </si>
  <si>
    <t>-390,270</t>
  </si>
  <si>
    <t>-390,250</t>
  </si>
  <si>
    <t>-390,230</t>
  </si>
  <si>
    <t>-390,210</t>
  </si>
  <si>
    <t>-390,190</t>
  </si>
  <si>
    <t>-390,170</t>
  </si>
  <si>
    <t>-390,150</t>
  </si>
  <si>
    <t>-390,130</t>
  </si>
  <si>
    <t>-390,110</t>
  </si>
  <si>
    <t>-390,90</t>
  </si>
  <si>
    <t>-390,70</t>
  </si>
  <si>
    <t>-390,50</t>
  </si>
  <si>
    <t>-390,30</t>
  </si>
  <si>
    <t>-390,10</t>
  </si>
  <si>
    <t>-410,550</t>
  </si>
  <si>
    <t>-410,530</t>
  </si>
  <si>
    <t>-410,510</t>
  </si>
  <si>
    <t>-410,490</t>
  </si>
  <si>
    <t>-410,470</t>
  </si>
  <si>
    <t>-410,450</t>
  </si>
  <si>
    <t>-410,430</t>
  </si>
  <si>
    <t>-410,410</t>
  </si>
  <si>
    <t>-410,390</t>
  </si>
  <si>
    <t>-410,370</t>
  </si>
  <si>
    <t>-410,350</t>
  </si>
  <si>
    <t>-410,330</t>
  </si>
  <si>
    <t>-410,310</t>
  </si>
  <si>
    <t>-410,290</t>
  </si>
  <si>
    <t>-410,270</t>
  </si>
  <si>
    <t>-410,250</t>
  </si>
  <si>
    <t>-410,230</t>
  </si>
  <si>
    <t>-410,210</t>
  </si>
  <si>
    <t>-410,190</t>
  </si>
  <si>
    <t>-410,170</t>
  </si>
  <si>
    <t>-410,150</t>
  </si>
  <si>
    <t>-410,130</t>
  </si>
  <si>
    <t>-410,110</t>
  </si>
  <si>
    <t>-410,90</t>
  </si>
  <si>
    <t>-410,70</t>
  </si>
  <si>
    <t>-410,50</t>
  </si>
  <si>
    <t>-410,30</t>
  </si>
  <si>
    <t>-410,10</t>
  </si>
  <si>
    <t>-430,550</t>
  </si>
  <si>
    <t>-430,530</t>
  </si>
  <si>
    <t>-430,510</t>
  </si>
  <si>
    <t>-430,490</t>
  </si>
  <si>
    <t>-430,470</t>
  </si>
  <si>
    <t>-430,450</t>
  </si>
  <si>
    <t>-430,430</t>
  </si>
  <si>
    <t>-430,410</t>
  </si>
  <si>
    <t>-430,390</t>
  </si>
  <si>
    <t>-430,370</t>
  </si>
  <si>
    <t>-430,350</t>
  </si>
  <si>
    <t>-430,330</t>
  </si>
  <si>
    <t>-430,310</t>
  </si>
  <si>
    <t>-430,290</t>
  </si>
  <si>
    <t>-430,270</t>
  </si>
  <si>
    <t>-430,250</t>
  </si>
  <si>
    <t>-430,230</t>
  </si>
  <si>
    <t>-430,210</t>
  </si>
  <si>
    <t>-430,190</t>
  </si>
  <si>
    <t>-430,170</t>
  </si>
  <si>
    <t>-430,150</t>
  </si>
  <si>
    <t>-430,130</t>
  </si>
  <si>
    <t>-430,110</t>
  </si>
  <si>
    <t>-430,90</t>
  </si>
  <si>
    <t>-430,70</t>
  </si>
  <si>
    <t>-430,50</t>
  </si>
  <si>
    <t>-430,30</t>
  </si>
  <si>
    <t>-430,10</t>
  </si>
  <si>
    <t>-450,550</t>
  </si>
  <si>
    <t>-450,530</t>
  </si>
  <si>
    <t>-450,510</t>
  </si>
  <si>
    <t>-450,490</t>
  </si>
  <si>
    <t>-450,470</t>
  </si>
  <si>
    <t>-450,450</t>
  </si>
  <si>
    <t>-450,430</t>
  </si>
  <si>
    <t>-450,410</t>
  </si>
  <si>
    <t>-450,390</t>
  </si>
  <si>
    <t>-450,370</t>
  </si>
  <si>
    <t>-450,350</t>
  </si>
  <si>
    <t>-450,330</t>
  </si>
  <si>
    <t>-450,310</t>
  </si>
  <si>
    <t>-450,290</t>
  </si>
  <si>
    <t>-450,270</t>
  </si>
  <si>
    <t>-450,250</t>
  </si>
  <si>
    <t>-450,230</t>
  </si>
  <si>
    <t>-450,210</t>
  </si>
  <si>
    <t>-450,190</t>
  </si>
  <si>
    <t>-450,170</t>
  </si>
  <si>
    <t>-450,150</t>
  </si>
  <si>
    <t>-450,130</t>
  </si>
  <si>
    <t>-450,110</t>
  </si>
  <si>
    <t>-450,90</t>
  </si>
  <si>
    <t>-450,70</t>
  </si>
  <si>
    <t>-450,50</t>
  </si>
  <si>
    <t>-450,30</t>
  </si>
  <si>
    <t>-450,10</t>
  </si>
  <si>
    <t>-470,550</t>
  </si>
  <si>
    <t>-470,530</t>
  </si>
  <si>
    <t>-470,510</t>
  </si>
  <si>
    <t>-470,490</t>
  </si>
  <si>
    <t>-470,470</t>
  </si>
  <si>
    <t>-470,450</t>
  </si>
  <si>
    <t>-470,430</t>
  </si>
  <si>
    <t>-470,410</t>
  </si>
  <si>
    <t>-470,390</t>
  </si>
  <si>
    <t>-470,370</t>
  </si>
  <si>
    <t>-470,350</t>
  </si>
  <si>
    <t>-470,330</t>
  </si>
  <si>
    <t>-470,310</t>
  </si>
  <si>
    <t>-470,290</t>
  </si>
  <si>
    <t>-470,270</t>
  </si>
  <si>
    <t>-470,250</t>
  </si>
  <si>
    <t>-470,230</t>
  </si>
  <si>
    <t>-470,210</t>
  </si>
  <si>
    <t>-470,190</t>
  </si>
  <si>
    <t>-470,170</t>
  </si>
  <si>
    <t>-470,150</t>
  </si>
  <si>
    <t>-470,130</t>
  </si>
  <si>
    <t>-470,110</t>
  </si>
  <si>
    <t>-470,90</t>
  </si>
  <si>
    <t>-470,70</t>
  </si>
  <si>
    <t>-470,50</t>
  </si>
  <si>
    <t>-470,30</t>
  </si>
  <si>
    <t>-470,10</t>
  </si>
  <si>
    <t>-490,550</t>
  </si>
  <si>
    <t>-490,530</t>
  </si>
  <si>
    <t>-490,510</t>
  </si>
  <si>
    <t>-490,490</t>
  </si>
  <si>
    <t>-490,470</t>
  </si>
  <si>
    <t>-490,450</t>
  </si>
  <si>
    <t>-490,430</t>
  </si>
  <si>
    <t>-490,410</t>
  </si>
  <si>
    <t>-490,390</t>
  </si>
  <si>
    <t>-490,370</t>
  </si>
  <si>
    <t>-490,350</t>
  </si>
  <si>
    <t>-490,330</t>
  </si>
  <si>
    <t>-490,310</t>
  </si>
  <si>
    <t>-490,290</t>
  </si>
  <si>
    <t>-490,270</t>
  </si>
  <si>
    <t>-490,250</t>
  </si>
  <si>
    <t>-490,230</t>
  </si>
  <si>
    <t>-490,210</t>
  </si>
  <si>
    <t>-490,190</t>
  </si>
  <si>
    <t>-490,170</t>
  </si>
  <si>
    <t>-490,150</t>
  </si>
  <si>
    <t>-490,130</t>
  </si>
  <si>
    <t>-490,110</t>
  </si>
  <si>
    <t>-490,90</t>
  </si>
  <si>
    <t>-490,70</t>
  </si>
  <si>
    <t>-490,50</t>
  </si>
  <si>
    <t>-490,30</t>
  </si>
  <si>
    <t>-490,10</t>
  </si>
  <si>
    <t>-510,550</t>
  </si>
  <si>
    <t>-510,530</t>
  </si>
  <si>
    <t>-510,510</t>
  </si>
  <si>
    <t>-510,490</t>
  </si>
  <si>
    <t>-510,470</t>
  </si>
  <si>
    <t>-510,450</t>
  </si>
  <si>
    <t>-510,430</t>
  </si>
  <si>
    <t>-510,410</t>
  </si>
  <si>
    <t>-510,390</t>
  </si>
  <si>
    <t>-510,370</t>
  </si>
  <si>
    <t>-510,350</t>
  </si>
  <si>
    <t>-510,330</t>
  </si>
  <si>
    <t>-510,310</t>
  </si>
  <si>
    <t>-510,290</t>
  </si>
  <si>
    <t>-510,270</t>
  </si>
  <si>
    <t>-510,250</t>
  </si>
  <si>
    <t>-510,230</t>
  </si>
  <si>
    <t>-510,210</t>
  </si>
  <si>
    <t>-510,190</t>
  </si>
  <si>
    <t>-510,170</t>
  </si>
  <si>
    <t>-510,150</t>
  </si>
  <si>
    <t>-510,130</t>
  </si>
  <si>
    <t>-510,110</t>
  </si>
  <si>
    <t>-510,90</t>
  </si>
  <si>
    <t>-510,70</t>
  </si>
  <si>
    <t>-510,50</t>
  </si>
  <si>
    <t>-510,30</t>
  </si>
  <si>
    <t>-510,10</t>
  </si>
  <si>
    <t>-530,550</t>
  </si>
  <si>
    <t>-530,530</t>
  </si>
  <si>
    <t>-530,510</t>
  </si>
  <si>
    <t>-530,490</t>
  </si>
  <si>
    <t>-530,470</t>
  </si>
  <si>
    <t>-530,450</t>
  </si>
  <si>
    <t>-530,430</t>
  </si>
  <si>
    <t>-530,410</t>
  </si>
  <si>
    <t>-530,390</t>
  </si>
  <si>
    <t>-530,370</t>
  </si>
  <si>
    <t>-530,350</t>
  </si>
  <si>
    <t>-530,330</t>
  </si>
  <si>
    <t>-530,310</t>
  </si>
  <si>
    <t>-530,290</t>
  </si>
  <si>
    <t>-530,270</t>
  </si>
  <si>
    <t>-530,250</t>
  </si>
  <si>
    <t>-530,230</t>
  </si>
  <si>
    <t>-530,210</t>
  </si>
  <si>
    <t>-530,190</t>
  </si>
  <si>
    <t>-530,170</t>
  </si>
  <si>
    <t>-530,150</t>
  </si>
  <si>
    <t>-530,130</t>
  </si>
  <si>
    <t>-530,110</t>
  </si>
  <si>
    <t>-530,90</t>
  </si>
  <si>
    <t>-530,70</t>
  </si>
  <si>
    <t>-530,50</t>
  </si>
  <si>
    <t>-530,30</t>
  </si>
  <si>
    <t>-530,10</t>
  </si>
  <si>
    <t>-550,550</t>
  </si>
  <si>
    <t>-550,530</t>
  </si>
  <si>
    <t>-550,510</t>
  </si>
  <si>
    <t>-550,490</t>
  </si>
  <si>
    <t>-550,470</t>
  </si>
  <si>
    <t>-550,450</t>
  </si>
  <si>
    <t>-550,430</t>
  </si>
  <si>
    <t>-550,410</t>
  </si>
  <si>
    <t>-550,390</t>
  </si>
  <si>
    <t>-550,370</t>
  </si>
  <si>
    <t>-550,350</t>
  </si>
  <si>
    <t>-550,330</t>
  </si>
  <si>
    <t>-550,310</t>
  </si>
  <si>
    <t>-550,290</t>
  </si>
  <si>
    <t>-550,270</t>
  </si>
  <si>
    <t>-550,250</t>
  </si>
  <si>
    <t>-550,230</t>
  </si>
  <si>
    <t>-550,210</t>
  </si>
  <si>
    <t>-550,190</t>
  </si>
  <si>
    <t>-550,170</t>
  </si>
  <si>
    <t>-550,150</t>
  </si>
  <si>
    <t>-550,130</t>
  </si>
  <si>
    <t>-550,110</t>
  </si>
  <si>
    <t>-550,90</t>
  </si>
  <si>
    <t>-550,70</t>
  </si>
  <si>
    <t>-550,50</t>
  </si>
  <si>
    <t>-550,30</t>
  </si>
  <si>
    <t>-550,10</t>
  </si>
  <si>
    <t>-570,550</t>
  </si>
  <si>
    <t>-570,530</t>
  </si>
  <si>
    <t>-570,510</t>
  </si>
  <si>
    <t>-570,490</t>
  </si>
  <si>
    <t>-570,470</t>
  </si>
  <si>
    <t>-570,450</t>
  </si>
  <si>
    <t>-570,430</t>
  </si>
  <si>
    <t>-570,410</t>
  </si>
  <si>
    <t>-570,390</t>
  </si>
  <si>
    <t>-570,370</t>
  </si>
  <si>
    <t>-570,350</t>
  </si>
  <si>
    <t>-570,330</t>
  </si>
  <si>
    <t>-570,310</t>
  </si>
  <si>
    <t>-570,290</t>
  </si>
  <si>
    <t>-570,270</t>
  </si>
  <si>
    <t>-570,250</t>
  </si>
  <si>
    <t>-570,230</t>
  </si>
  <si>
    <t>-570,210</t>
  </si>
  <si>
    <t>-570,190</t>
  </si>
  <si>
    <t>-570,170</t>
  </si>
  <si>
    <t>-570,150</t>
  </si>
  <si>
    <t>-570,130</t>
  </si>
  <si>
    <t>-570,110</t>
  </si>
  <si>
    <t>-570,90</t>
  </si>
  <si>
    <t>-570,70</t>
  </si>
  <si>
    <t>-570,50</t>
  </si>
  <si>
    <t>-570,30</t>
  </si>
  <si>
    <t>-570,10</t>
  </si>
  <si>
    <t>-590,550</t>
  </si>
  <si>
    <t>-590,530</t>
  </si>
  <si>
    <t>-590,510</t>
  </si>
  <si>
    <t>-590,490</t>
  </si>
  <si>
    <t>-590,470</t>
  </si>
  <si>
    <t>-590,450</t>
  </si>
  <si>
    <t>-590,430</t>
  </si>
  <si>
    <t>-590,410</t>
  </si>
  <si>
    <t>-590,390</t>
  </si>
  <si>
    <t>-590,370</t>
  </si>
  <si>
    <t>-590,350</t>
  </si>
  <si>
    <t>-590,330</t>
  </si>
  <si>
    <t>-590,310</t>
  </si>
  <si>
    <t>-590,290</t>
  </si>
  <si>
    <t>-590,270</t>
  </si>
  <si>
    <t>-590,250</t>
  </si>
  <si>
    <t>-590,230</t>
  </si>
  <si>
    <t>-590,210</t>
  </si>
  <si>
    <t>-590,190</t>
  </si>
  <si>
    <t>-590,170</t>
  </si>
  <si>
    <t>-590,150</t>
  </si>
  <si>
    <t>-590,130</t>
  </si>
  <si>
    <t>-590,110</t>
  </si>
  <si>
    <t>-590,90</t>
  </si>
  <si>
    <t>-590,70</t>
  </si>
  <si>
    <t>-590,50</t>
  </si>
  <si>
    <t>-590,30</t>
  </si>
  <si>
    <t>-590,10</t>
  </si>
  <si>
    <t>-610,550</t>
  </si>
  <si>
    <t>-610,530</t>
  </si>
  <si>
    <t>-610,510</t>
  </si>
  <si>
    <t>-610,490</t>
  </si>
  <si>
    <t>-610,470</t>
  </si>
  <si>
    <t>-610,450</t>
  </si>
  <si>
    <t>-610,430</t>
  </si>
  <si>
    <t>-610,410</t>
  </si>
  <si>
    <t>-610,390</t>
  </si>
  <si>
    <t>-610,370</t>
  </si>
  <si>
    <t>-610,350</t>
  </si>
  <si>
    <t>-610,330</t>
  </si>
  <si>
    <t>-610,310</t>
  </si>
  <si>
    <t>-610,290</t>
  </si>
  <si>
    <t>-610,270</t>
  </si>
  <si>
    <t>-610,250</t>
  </si>
  <si>
    <t>-610,230</t>
  </si>
  <si>
    <t>-610,210</t>
  </si>
  <si>
    <t>-610,190</t>
  </si>
  <si>
    <t>-610,170</t>
  </si>
  <si>
    <t>-610,150</t>
  </si>
  <si>
    <t>-610,130</t>
  </si>
  <si>
    <t>-610,110</t>
  </si>
  <si>
    <t>-610,90</t>
  </si>
  <si>
    <t>-610,70</t>
  </si>
  <si>
    <t>-610,50</t>
  </si>
  <si>
    <t>-610,30</t>
  </si>
  <si>
    <t>-610,10</t>
  </si>
  <si>
    <t>-630,550</t>
  </si>
  <si>
    <t>-630,530</t>
  </si>
  <si>
    <t>-630,510</t>
  </si>
  <si>
    <t>-630,490</t>
  </si>
  <si>
    <t>-630,470</t>
  </si>
  <si>
    <t>-630,450</t>
  </si>
  <si>
    <t>-630,430</t>
  </si>
  <si>
    <t>-630,410</t>
  </si>
  <si>
    <t>-630,390</t>
  </si>
  <si>
    <t>-630,370</t>
  </si>
  <si>
    <t>-630,350</t>
  </si>
  <si>
    <t>-630,330</t>
  </si>
  <si>
    <t>-630,310</t>
  </si>
  <si>
    <t>-630,290</t>
  </si>
  <si>
    <t>-630,270</t>
  </si>
  <si>
    <t>-630,250</t>
  </si>
  <si>
    <t>-630,230</t>
  </si>
  <si>
    <t>-630,210</t>
  </si>
  <si>
    <t>-630,190</t>
  </si>
  <si>
    <t>-630,170</t>
  </si>
  <si>
    <t>-630,150</t>
  </si>
  <si>
    <t>-630,130</t>
  </si>
  <si>
    <t>-630,110</t>
  </si>
  <si>
    <t>-630,90</t>
  </si>
  <si>
    <t>-630,70</t>
  </si>
  <si>
    <t>-630,50</t>
  </si>
  <si>
    <t>-630,30</t>
  </si>
  <si>
    <t>-630,10</t>
  </si>
  <si>
    <t>-650,550</t>
  </si>
  <si>
    <t>-650,530</t>
  </si>
  <si>
    <t>-650,510</t>
  </si>
  <si>
    <t>-650,490</t>
  </si>
  <si>
    <t>-650,470</t>
  </si>
  <si>
    <t>-650,450</t>
  </si>
  <si>
    <t>-650,430</t>
  </si>
  <si>
    <t>-650,410</t>
  </si>
  <si>
    <t>-650,390</t>
  </si>
  <si>
    <t>-650,370</t>
  </si>
  <si>
    <t>-650,350</t>
  </si>
  <si>
    <t>-650,330</t>
  </si>
  <si>
    <t>-650,310</t>
  </si>
  <si>
    <t>-650,290</t>
  </si>
  <si>
    <t>-650,270</t>
  </si>
  <si>
    <t>-650,250</t>
  </si>
  <si>
    <t>-650,230</t>
  </si>
  <si>
    <t>-650,210</t>
  </si>
  <si>
    <t>-650,190</t>
  </si>
  <si>
    <t>-650,170</t>
  </si>
  <si>
    <t>-650,150</t>
  </si>
  <si>
    <t>-650,130</t>
  </si>
  <si>
    <t>-650,110</t>
  </si>
  <si>
    <t>-650,90</t>
  </si>
  <si>
    <t>-650,70</t>
  </si>
  <si>
    <t>-650,50</t>
  </si>
  <si>
    <t>-650,30</t>
  </si>
  <si>
    <t>-650,10</t>
  </si>
  <si>
    <t>-670,550</t>
  </si>
  <si>
    <t>-670,530</t>
  </si>
  <si>
    <t>-670,510</t>
  </si>
  <si>
    <t>-670,490</t>
  </si>
  <si>
    <t>-670,470</t>
  </si>
  <si>
    <t>-670,450</t>
  </si>
  <si>
    <t>-670,430</t>
  </si>
  <si>
    <t>-670,410</t>
  </si>
  <si>
    <t>-670,390</t>
  </si>
  <si>
    <t>-670,370</t>
  </si>
  <si>
    <t>-670,350</t>
  </si>
  <si>
    <t>-670,330</t>
  </si>
  <si>
    <t>-670,310</t>
  </si>
  <si>
    <t>-670,290</t>
  </si>
  <si>
    <t>-670,270</t>
  </si>
  <si>
    <t>-670,250</t>
  </si>
  <si>
    <t>-670,230</t>
  </si>
  <si>
    <t>-670,210</t>
  </si>
  <si>
    <t>-670,190</t>
  </si>
  <si>
    <t>-670,170</t>
  </si>
  <si>
    <t>-670,150</t>
  </si>
  <si>
    <t>-670,130</t>
  </si>
  <si>
    <t>-670,110</t>
  </si>
  <si>
    <t>-670,90</t>
  </si>
  <si>
    <t>-670,70</t>
  </si>
  <si>
    <t>-670,50</t>
  </si>
  <si>
    <t>-670,30</t>
  </si>
  <si>
    <t>-670,10</t>
  </si>
  <si>
    <t>-690,550</t>
  </si>
  <si>
    <t>-690,530</t>
  </si>
  <si>
    <t>-690,510</t>
  </si>
  <si>
    <t>-690,490</t>
  </si>
  <si>
    <t>-690,470</t>
  </si>
  <si>
    <t>-690,450</t>
  </si>
  <si>
    <t>-690,430</t>
  </si>
  <si>
    <t>-690,410</t>
  </si>
  <si>
    <t>-690,390</t>
  </si>
  <si>
    <t>-690,370</t>
  </si>
  <si>
    <t>-690,350</t>
  </si>
  <si>
    <t>-690,330</t>
  </si>
  <si>
    <t>-690,310</t>
  </si>
  <si>
    <t>-690,290</t>
  </si>
  <si>
    <t>-690,270</t>
  </si>
  <si>
    <t>-690,250</t>
  </si>
  <si>
    <t>-690,230</t>
  </si>
  <si>
    <t>-690,210</t>
  </si>
  <si>
    <t>-690,190</t>
  </si>
  <si>
    <t>-690,170</t>
  </si>
  <si>
    <t>-690,150</t>
  </si>
  <si>
    <t>-690,130</t>
  </si>
  <si>
    <t>-690,110</t>
  </si>
  <si>
    <t>-690,90</t>
  </si>
  <si>
    <t>-690,70</t>
  </si>
  <si>
    <t>-690,50</t>
  </si>
  <si>
    <t>-690,30</t>
  </si>
  <si>
    <t>-690,10</t>
  </si>
  <si>
    <t>-710,550</t>
  </si>
  <si>
    <t>-710,530</t>
  </si>
  <si>
    <t>-710,510</t>
  </si>
  <si>
    <t>-710,490</t>
  </si>
  <si>
    <t>-710,470</t>
  </si>
  <si>
    <t>-710,450</t>
  </si>
  <si>
    <t>-710,430</t>
  </si>
  <si>
    <t>-710,410</t>
  </si>
  <si>
    <t>-710,390</t>
  </si>
  <si>
    <t>-710,370</t>
  </si>
  <si>
    <t>-710,350</t>
  </si>
  <si>
    <t>-710,330</t>
  </si>
  <si>
    <t>-710,310</t>
  </si>
  <si>
    <t>-710,290</t>
  </si>
  <si>
    <t>-710,270</t>
  </si>
  <si>
    <t>-710,250</t>
  </si>
  <si>
    <t>-710,230</t>
  </si>
  <si>
    <t>-710,210</t>
  </si>
  <si>
    <t>-710,190</t>
  </si>
  <si>
    <t>-710,170</t>
  </si>
  <si>
    <t>-710,150</t>
  </si>
  <si>
    <t>-710,130</t>
  </si>
  <si>
    <t>-710,110</t>
  </si>
  <si>
    <t>-710,90</t>
  </si>
  <si>
    <t>-710,70</t>
  </si>
  <si>
    <t>-710,50</t>
  </si>
  <si>
    <t>-710,30</t>
  </si>
  <si>
    <t>-710,10</t>
  </si>
  <si>
    <t>-730,550</t>
  </si>
  <si>
    <t>-730,530</t>
  </si>
  <si>
    <t>-730,510</t>
  </si>
  <si>
    <t>-730,490</t>
  </si>
  <si>
    <t>-730,470</t>
  </si>
  <si>
    <t>-730,450</t>
  </si>
  <si>
    <t>-730,430</t>
  </si>
  <si>
    <t>-730,410</t>
  </si>
  <si>
    <t>-730,390</t>
  </si>
  <si>
    <t>-730,370</t>
  </si>
  <si>
    <t>-730,350</t>
  </si>
  <si>
    <t>-730,330</t>
  </si>
  <si>
    <t>-730,310</t>
  </si>
  <si>
    <t>-730,290</t>
  </si>
  <si>
    <t>-730,270</t>
  </si>
  <si>
    <t>-730,250</t>
  </si>
  <si>
    <t>-730,230</t>
  </si>
  <si>
    <t>-730,210</t>
  </si>
  <si>
    <t>-730,190</t>
  </si>
  <si>
    <t>-730,170</t>
  </si>
  <si>
    <t>-730,150</t>
  </si>
  <si>
    <t>-730,130</t>
  </si>
  <si>
    <t>-730,110</t>
  </si>
  <si>
    <t>-730,90</t>
  </si>
  <si>
    <t>-730,70</t>
  </si>
  <si>
    <t>-730,50</t>
  </si>
  <si>
    <t>-730,30</t>
  </si>
  <si>
    <t>-730,10</t>
  </si>
  <si>
    <t>-750,550</t>
  </si>
  <si>
    <t>-750,530</t>
  </si>
  <si>
    <t>-750,510</t>
  </si>
  <si>
    <t>-750,490</t>
  </si>
  <si>
    <t>-750,470</t>
  </si>
  <si>
    <t>-750,450</t>
  </si>
  <si>
    <t>-750,430</t>
  </si>
  <si>
    <t>-750,410</t>
  </si>
  <si>
    <t>-750,390</t>
  </si>
  <si>
    <t>-750,370</t>
  </si>
  <si>
    <t>-750,350</t>
  </si>
  <si>
    <t>-750,330</t>
  </si>
  <si>
    <t>-750,310</t>
  </si>
  <si>
    <t>-750,290</t>
  </si>
  <si>
    <t>-750,270</t>
  </si>
  <si>
    <t>-750,250</t>
  </si>
  <si>
    <t>-750,230</t>
  </si>
  <si>
    <t>-750,210</t>
  </si>
  <si>
    <t>-750,190</t>
  </si>
  <si>
    <t>-750,170</t>
  </si>
  <si>
    <t>-750,150</t>
  </si>
  <si>
    <t>-750,130</t>
  </si>
  <si>
    <t>-750,110</t>
  </si>
  <si>
    <t>-750,90</t>
  </si>
  <si>
    <t>-750,70</t>
  </si>
  <si>
    <t>-750,50</t>
  </si>
  <si>
    <t>-750,30</t>
  </si>
  <si>
    <t>-750,10</t>
  </si>
  <si>
    <t>-770,550</t>
  </si>
  <si>
    <t>-770,530</t>
  </si>
  <si>
    <t>-770,510</t>
  </si>
  <si>
    <t>-770,490</t>
  </si>
  <si>
    <t>-770,470</t>
  </si>
  <si>
    <t>-770,450</t>
  </si>
  <si>
    <t>-770,430</t>
  </si>
  <si>
    <t>-770,410</t>
  </si>
  <si>
    <t>-770,390</t>
  </si>
  <si>
    <t>-770,370</t>
  </si>
  <si>
    <t>-770,350</t>
  </si>
  <si>
    <t>-770,330</t>
  </si>
  <si>
    <t>-770,310</t>
  </si>
  <si>
    <t>-770,290</t>
  </si>
  <si>
    <t>-770,270</t>
  </si>
  <si>
    <t>-770,250</t>
  </si>
  <si>
    <t>-770,230</t>
  </si>
  <si>
    <t>-770,210</t>
  </si>
  <si>
    <t>-770,190</t>
  </si>
  <si>
    <t>-770,170</t>
  </si>
  <si>
    <t>-770,150</t>
  </si>
  <si>
    <t>-770,130</t>
  </si>
  <si>
    <t>-770,110</t>
  </si>
  <si>
    <t>-770,90</t>
  </si>
  <si>
    <t>-770,70</t>
  </si>
  <si>
    <t>-770,50</t>
  </si>
  <si>
    <t>-770,30</t>
  </si>
  <si>
    <t>-770,10</t>
  </si>
  <si>
    <t>-790,550</t>
  </si>
  <si>
    <t>-790,530</t>
  </si>
  <si>
    <t>-790,510</t>
  </si>
  <si>
    <t>-790,490</t>
  </si>
  <si>
    <t>-790,470</t>
  </si>
  <si>
    <t>-790,450</t>
  </si>
  <si>
    <t>-790,430</t>
  </si>
  <si>
    <t>-790,410</t>
  </si>
  <si>
    <t>-790,390</t>
  </si>
  <si>
    <t>-790,370</t>
  </si>
  <si>
    <t>-790,350</t>
  </si>
  <si>
    <t>-790,330</t>
  </si>
  <si>
    <t>-790,310</t>
  </si>
  <si>
    <t>-790,290</t>
  </si>
  <si>
    <t>-790,270</t>
  </si>
  <si>
    <t>-790,250</t>
  </si>
  <si>
    <t>-790,230</t>
  </si>
  <si>
    <t>-790,210</t>
  </si>
  <si>
    <t>-790,190</t>
  </si>
  <si>
    <t>-790,170</t>
  </si>
  <si>
    <t>-790,150</t>
  </si>
  <si>
    <t>-790,130</t>
  </si>
  <si>
    <t>-790,110</t>
  </si>
  <si>
    <t>-790,90</t>
  </si>
  <si>
    <t>-790,70</t>
  </si>
  <si>
    <t>-790,50</t>
  </si>
  <si>
    <t>-790,30</t>
  </si>
  <si>
    <t>-790,10</t>
  </si>
  <si>
    <t>-810,550</t>
  </si>
  <si>
    <t>-810,530</t>
  </si>
  <si>
    <t>-810,510</t>
  </si>
  <si>
    <t>-810,490</t>
  </si>
  <si>
    <t>-810,470</t>
  </si>
  <si>
    <t>-810,450</t>
  </si>
  <si>
    <t>-810,430</t>
  </si>
  <si>
    <t>-810,410</t>
  </si>
  <si>
    <t>-810,390</t>
  </si>
  <si>
    <t>-810,370</t>
  </si>
  <si>
    <t>-810,350</t>
  </si>
  <si>
    <t>-810,330</t>
  </si>
  <si>
    <t>-810,310</t>
  </si>
  <si>
    <t>-810,290</t>
  </si>
  <si>
    <t>-810,270</t>
  </si>
  <si>
    <t>-810,250</t>
  </si>
  <si>
    <t>-810,230</t>
  </si>
  <si>
    <t>-810,210</t>
  </si>
  <si>
    <t>-810,190</t>
  </si>
  <si>
    <t>-810,170</t>
  </si>
  <si>
    <t>-810,150</t>
  </si>
  <si>
    <t>-810,130</t>
  </si>
  <si>
    <t>-810,110</t>
  </si>
  <si>
    <t>-810,90</t>
  </si>
  <si>
    <t>-810,70</t>
  </si>
  <si>
    <t>-810,50</t>
  </si>
  <si>
    <t>-810,30</t>
  </si>
  <si>
    <t>-810,10</t>
  </si>
  <si>
    <t>-830,550</t>
  </si>
  <si>
    <t>-830,530</t>
  </si>
  <si>
    <t>-830,510</t>
  </si>
  <si>
    <t>-830,490</t>
  </si>
  <si>
    <t>-830,470</t>
  </si>
  <si>
    <t>-830,450</t>
  </si>
  <si>
    <t>-830,430</t>
  </si>
  <si>
    <t>-830,410</t>
  </si>
  <si>
    <t>-830,390</t>
  </si>
  <si>
    <t>-830,370</t>
  </si>
  <si>
    <t>-830,350</t>
  </si>
  <si>
    <t>-830,330</t>
  </si>
  <si>
    <t>-830,310</t>
  </si>
  <si>
    <t>-830,290</t>
  </si>
  <si>
    <t>-830,270</t>
  </si>
  <si>
    <t>-830,250</t>
  </si>
  <si>
    <t>-830,230</t>
  </si>
  <si>
    <t>-830,210</t>
  </si>
  <si>
    <t>-830,190</t>
  </si>
  <si>
    <t>-830,170</t>
  </si>
  <si>
    <t>-830,150</t>
  </si>
  <si>
    <t>-830,130</t>
  </si>
  <si>
    <t>-830,110</t>
  </si>
  <si>
    <t>-830,90</t>
  </si>
  <si>
    <t>-830,70</t>
  </si>
  <si>
    <t>-830,50</t>
  </si>
  <si>
    <t>-830,30</t>
  </si>
  <si>
    <t>-830,10</t>
  </si>
  <si>
    <t>-850,550</t>
  </si>
  <si>
    <t>-850,530</t>
  </si>
  <si>
    <t>-850,510</t>
  </si>
  <si>
    <t>-850,490</t>
  </si>
  <si>
    <t>-850,470</t>
  </si>
  <si>
    <t>-850,450</t>
  </si>
  <si>
    <t>-850,430</t>
  </si>
  <si>
    <t>-850,410</t>
  </si>
  <si>
    <t>-850,390</t>
  </si>
  <si>
    <t>-850,370</t>
  </si>
  <si>
    <t>-850,350</t>
  </si>
  <si>
    <t>-850,330</t>
  </si>
  <si>
    <t>-850,310</t>
  </si>
  <si>
    <t>-850,290</t>
  </si>
  <si>
    <t>-850,270</t>
  </si>
  <si>
    <t>-850,250</t>
  </si>
  <si>
    <t>-850,230</t>
  </si>
  <si>
    <t>-850,210</t>
  </si>
  <si>
    <t>-850,190</t>
  </si>
  <si>
    <t>-850,170</t>
  </si>
  <si>
    <t>-850,150</t>
  </si>
  <si>
    <t>-850,130</t>
  </si>
  <si>
    <t>-850,110</t>
  </si>
  <si>
    <t>-850,90</t>
  </si>
  <si>
    <t>-850,70</t>
  </si>
  <si>
    <t>-850,50</t>
  </si>
  <si>
    <t>-850,30</t>
  </si>
  <si>
    <t>-850,10</t>
  </si>
  <si>
    <t>-870,550</t>
  </si>
  <si>
    <t>-870,530</t>
  </si>
  <si>
    <t>-870,510</t>
  </si>
  <si>
    <t>-870,490</t>
  </si>
  <si>
    <t>-870,470</t>
  </si>
  <si>
    <t>-870,450</t>
  </si>
  <si>
    <t>-870,430</t>
  </si>
  <si>
    <t>-870,410</t>
  </si>
  <si>
    <t>-870,390</t>
  </si>
  <si>
    <t>-870,370</t>
  </si>
  <si>
    <t>-870,350</t>
  </si>
  <si>
    <t>-870,330</t>
  </si>
  <si>
    <t>-870,310</t>
  </si>
  <si>
    <t>-870,290</t>
  </si>
  <si>
    <t>-870,270</t>
  </si>
  <si>
    <t>-870,250</t>
  </si>
  <si>
    <t>-870,230</t>
  </si>
  <si>
    <t>-870,210</t>
  </si>
  <si>
    <t>-870,190</t>
  </si>
  <si>
    <t>-870,170</t>
  </si>
  <si>
    <t>-870,150</t>
  </si>
  <si>
    <t>-870,130</t>
  </si>
  <si>
    <t>-870,110</t>
  </si>
  <si>
    <t>-870,90</t>
  </si>
  <si>
    <t>-870,70</t>
  </si>
  <si>
    <t>-870,50</t>
  </si>
  <si>
    <t>-870,30</t>
  </si>
  <si>
    <t>-870,10</t>
  </si>
  <si>
    <t>-890,550</t>
  </si>
  <si>
    <t>-890,530</t>
  </si>
  <si>
    <t>-890,510</t>
  </si>
  <si>
    <t>-890,490</t>
  </si>
  <si>
    <t>-890,470</t>
  </si>
  <si>
    <t>-890,450</t>
  </si>
  <si>
    <t>-890,430</t>
  </si>
  <si>
    <t>-890,410</t>
  </si>
  <si>
    <t>-890,390</t>
  </si>
  <si>
    <t>-890,370</t>
  </si>
  <si>
    <t>-890,350</t>
  </si>
  <si>
    <t>-890,330</t>
  </si>
  <si>
    <t>-890,310</t>
  </si>
  <si>
    <t>-890,290</t>
  </si>
  <si>
    <t>-890,270</t>
  </si>
  <si>
    <t>-890,250</t>
  </si>
  <si>
    <t>-890,230</t>
  </si>
  <si>
    <t>-890,210</t>
  </si>
  <si>
    <t>-890,190</t>
  </si>
  <si>
    <t>-890,170</t>
  </si>
  <si>
    <t>-890,150</t>
  </si>
  <si>
    <t>-890,130</t>
  </si>
  <si>
    <t>-890,110</t>
  </si>
  <si>
    <t>-890,90</t>
  </si>
  <si>
    <t>-890,70</t>
  </si>
  <si>
    <t>-890,50</t>
  </si>
  <si>
    <t>-890,30</t>
  </si>
  <si>
    <t>-890,10</t>
  </si>
  <si>
    <t>-910,550</t>
  </si>
  <si>
    <t>-910,530</t>
  </si>
  <si>
    <t>-910,510</t>
  </si>
  <si>
    <t>-910,490</t>
  </si>
  <si>
    <t>-910,470</t>
  </si>
  <si>
    <t>-910,450</t>
  </si>
  <si>
    <t>-910,430</t>
  </si>
  <si>
    <t>-910,410</t>
  </si>
  <si>
    <t>-910,390</t>
  </si>
  <si>
    <t>-910,370</t>
  </si>
  <si>
    <t>-910,350</t>
  </si>
  <si>
    <t>-910,330</t>
  </si>
  <si>
    <t>-910,310</t>
  </si>
  <si>
    <t>-910,290</t>
  </si>
  <si>
    <t>-910,270</t>
  </si>
  <si>
    <t>-910,250</t>
  </si>
  <si>
    <t>-910,230</t>
  </si>
  <si>
    <t>-910,210</t>
  </si>
  <si>
    <t>-910,190</t>
  </si>
  <si>
    <t>-910,170</t>
  </si>
  <si>
    <t>-910,150</t>
  </si>
  <si>
    <t>-910,130</t>
  </si>
  <si>
    <t>-910,110</t>
  </si>
  <si>
    <t>-910,90</t>
  </si>
  <si>
    <t>-910,70</t>
  </si>
  <si>
    <t>-910,50</t>
  </si>
  <si>
    <t>-910,30</t>
  </si>
  <si>
    <t>-910,10</t>
  </si>
  <si>
    <t>-930,550</t>
  </si>
  <si>
    <t>-930,530</t>
  </si>
  <si>
    <t>-930,510</t>
  </si>
  <si>
    <t>-930,490</t>
  </si>
  <si>
    <t>-930,470</t>
  </si>
  <si>
    <t>-930,450</t>
  </si>
  <si>
    <t>-930,430</t>
  </si>
  <si>
    <t>-930,410</t>
  </si>
  <si>
    <t>-930,390</t>
  </si>
  <si>
    <t>-930,370</t>
  </si>
  <si>
    <t>-930,350</t>
  </si>
  <si>
    <t>-930,330</t>
  </si>
  <si>
    <t>-930,310</t>
  </si>
  <si>
    <t>-930,290</t>
  </si>
  <si>
    <t>-930,270</t>
  </si>
  <si>
    <t>-930,250</t>
  </si>
  <si>
    <t>-930,230</t>
  </si>
  <si>
    <t>-930,210</t>
  </si>
  <si>
    <t>-930,190</t>
  </si>
  <si>
    <t>-930,170</t>
  </si>
  <si>
    <t>-930,150</t>
  </si>
  <si>
    <t>-930,130</t>
  </si>
  <si>
    <t>-930,110</t>
  </si>
  <si>
    <t>-930,90</t>
  </si>
  <si>
    <t>-930,70</t>
  </si>
  <si>
    <t>-930,50</t>
  </si>
  <si>
    <t>-930,30</t>
  </si>
  <si>
    <t>-930,10</t>
  </si>
  <si>
    <t>-950,550</t>
  </si>
  <si>
    <t>-950,530</t>
  </si>
  <si>
    <t>-950,510</t>
  </si>
  <si>
    <t>-950,490</t>
  </si>
  <si>
    <t>-950,470</t>
  </si>
  <si>
    <t>-950,450</t>
  </si>
  <si>
    <t>-950,430</t>
  </si>
  <si>
    <t>-950,410</t>
  </si>
  <si>
    <t>-950,390</t>
  </si>
  <si>
    <t>-950,370</t>
  </si>
  <si>
    <t>-950,350</t>
  </si>
  <si>
    <t>-950,330</t>
  </si>
  <si>
    <t>-950,310</t>
  </si>
  <si>
    <t>-950,290</t>
  </si>
  <si>
    <t>-950,270</t>
  </si>
  <si>
    <t>-950,250</t>
  </si>
  <si>
    <t>-950,230</t>
  </si>
  <si>
    <t>-950,210</t>
  </si>
  <si>
    <t>-950,190</t>
  </si>
  <si>
    <t>-950,170</t>
  </si>
  <si>
    <t>-950,150</t>
  </si>
  <si>
    <t>-950,130</t>
  </si>
  <si>
    <t>-950,110</t>
  </si>
  <si>
    <t>-950,90</t>
  </si>
  <si>
    <t>-950,70</t>
  </si>
  <si>
    <t>-950,50</t>
  </si>
  <si>
    <t>-950,30</t>
  </si>
  <si>
    <t>-950,10</t>
  </si>
  <si>
    <t>-970,550</t>
  </si>
  <si>
    <t>-970,530</t>
  </si>
  <si>
    <t>-970,510</t>
  </si>
  <si>
    <t>-970,490</t>
  </si>
  <si>
    <t>-970,470</t>
  </si>
  <si>
    <t>-970,450</t>
  </si>
  <si>
    <t>-970,430</t>
  </si>
  <si>
    <t>-970,410</t>
  </si>
  <si>
    <t>-970,390</t>
  </si>
  <si>
    <t>-970,370</t>
  </si>
  <si>
    <t>-970,350</t>
  </si>
  <si>
    <t>-970,330</t>
  </si>
  <si>
    <t>-970,310</t>
  </si>
  <si>
    <t>-970,290</t>
  </si>
  <si>
    <t>-970,270</t>
  </si>
  <si>
    <t>-970,250</t>
  </si>
  <si>
    <t>-970,230</t>
  </si>
  <si>
    <t>-970,210</t>
  </si>
  <si>
    <t>-970,190</t>
  </si>
  <si>
    <t>-970,170</t>
  </si>
  <si>
    <t>-970,150</t>
  </si>
  <si>
    <t>-970,130</t>
  </si>
  <si>
    <t>-970,110</t>
  </si>
  <si>
    <t>-970,90</t>
  </si>
  <si>
    <t>-970,70</t>
  </si>
  <si>
    <t>-970,50</t>
  </si>
  <si>
    <t>-970,30</t>
  </si>
  <si>
    <t>-970,10</t>
  </si>
  <si>
    <t>-990,550</t>
  </si>
  <si>
    <t>-990,530</t>
  </si>
  <si>
    <t>-990,510</t>
  </si>
  <si>
    <t>-990,490</t>
  </si>
  <si>
    <t>-990,470</t>
  </si>
  <si>
    <t>-990,450</t>
  </si>
  <si>
    <t>-990,430</t>
  </si>
  <si>
    <t>-990,410</t>
  </si>
  <si>
    <t>-990,390</t>
  </si>
  <si>
    <t>-990,370</t>
  </si>
  <si>
    <t>-990,350</t>
  </si>
  <si>
    <t>-990,330</t>
  </si>
  <si>
    <t>-990,310</t>
  </si>
  <si>
    <t>-990,290</t>
  </si>
  <si>
    <t>-990,270</t>
  </si>
  <si>
    <t>-990,250</t>
  </si>
  <si>
    <t>-990,230</t>
  </si>
  <si>
    <t>-990,210</t>
  </si>
  <si>
    <t>-990,190</t>
  </si>
  <si>
    <t>-990,170</t>
  </si>
  <si>
    <t>-990,150</t>
  </si>
  <si>
    <t>-990,130</t>
  </si>
  <si>
    <t>-990,110</t>
  </si>
  <si>
    <t>-990,90</t>
  </si>
  <si>
    <t>-990,70</t>
  </si>
  <si>
    <t>-990,50</t>
  </si>
  <si>
    <t>-990,30</t>
  </si>
  <si>
    <t>-990,10</t>
  </si>
  <si>
    <t>Nr cells averaged</t>
  </si>
  <si>
    <t>MPDB Deformation Colours</t>
  </si>
  <si>
    <t>----&gt;&gt;</t>
  </si>
  <si>
    <t>far-side centre airbag</t>
  </si>
  <si>
    <t>UBriC</t>
  </si>
  <si>
    <t>Cybex Solution Z i-Fix</t>
  </si>
  <si>
    <t>-</t>
  </si>
  <si>
    <t>Pass Cell Stability</t>
  </si>
  <si>
    <t>KFP dummy numbers</t>
  </si>
  <si>
    <t>KFP mods</t>
  </si>
  <si>
    <t>AOP</t>
  </si>
  <si>
    <t>Anything &lt; adequate?</t>
  </si>
  <si>
    <t>Compatibility</t>
  </si>
  <si>
    <t>Far-side</t>
  </si>
  <si>
    <t>poor.</t>
  </si>
  <si>
    <t>weak.</t>
  </si>
  <si>
    <t>marginal.</t>
  </si>
  <si>
    <t>adequate.</t>
  </si>
  <si>
    <t>good.</t>
  </si>
  <si>
    <t>COP</t>
  </si>
  <si>
    <t>Recommended</t>
  </si>
  <si>
    <t>Vehicle provisions</t>
  </si>
  <si>
    <t>&lt; 83cm</t>
  </si>
  <si>
    <t>Maxi Cosi Pebble 360</t>
  </si>
  <si>
    <t>ISO/R2</t>
  </si>
  <si>
    <t>135cm</t>
  </si>
  <si>
    <t>Britax Kidfix i-Size</t>
  </si>
  <si>
    <t>ISO/B2</t>
  </si>
  <si>
    <t>150cm</t>
  </si>
  <si>
    <t>ISO/B3</t>
  </si>
  <si>
    <t>40-105cm</t>
  </si>
  <si>
    <t>Maxi Cosi Pearl 360 &amp; FamilyFix 360</t>
  </si>
  <si>
    <t>150CM</t>
  </si>
  <si>
    <t>F2X</t>
  </si>
  <si>
    <t>_ I _ S</t>
  </si>
  <si>
    <t>Installation assessment</t>
  </si>
  <si>
    <t>Pedestrian Legform (aPLI)</t>
  </si>
  <si>
    <t>CHILD PRESENCE DETECTION</t>
  </si>
  <si>
    <t>CPD scoring</t>
  </si>
  <si>
    <t>R16 compliant?</t>
  </si>
  <si>
    <t>WEBSITE INFORMATION FORM</t>
  </si>
  <si>
    <t>OEM data provided?</t>
  </si>
  <si>
    <t>VRU Headforms</t>
  </si>
  <si>
    <t>TOTAL VRU HEADFORM</t>
  </si>
  <si>
    <t>Femur Bending Moment</t>
  </si>
  <si>
    <t>F1</t>
  </si>
  <si>
    <t>F2</t>
  </si>
  <si>
    <t>F3</t>
  </si>
  <si>
    <t>Tibia &amp; MCL</t>
  </si>
  <si>
    <t>Femur</t>
  </si>
  <si>
    <t>Acceleration</t>
  </si>
  <si>
    <t>Upper chest deflection  (resultant) - mm</t>
  </si>
  <si>
    <t>Lower chest deflection  (resultant) - mm</t>
  </si>
  <si>
    <t>Three or more i-Size positions AND two ISO/R3</t>
  </si>
  <si>
    <t>i-Size availability</t>
  </si>
  <si>
    <t>Adult</t>
  </si>
  <si>
    <t>Cyclist</t>
  </si>
  <si>
    <t>HAIC</t>
  </si>
  <si>
    <t>Damage (-1,-2)</t>
  </si>
  <si>
    <t>Chest D / PCA - monitoring</t>
  </si>
  <si>
    <t>Chest D / TIC - monitoring</t>
  </si>
  <si>
    <t>Gabarit installation &amp; belt length</t>
  </si>
  <si>
    <t>CRS type</t>
  </si>
  <si>
    <t>Specific vehicle booster seat</t>
  </si>
  <si>
    <t>i-Size booster seat</t>
  </si>
  <si>
    <t>Universal belted</t>
  </si>
  <si>
    <t>i-Size universal ISOFIX</t>
  </si>
  <si>
    <t>100-135</t>
  </si>
  <si>
    <t>Up to 83cm must be RWF</t>
  </si>
  <si>
    <t>Facing</t>
  </si>
  <si>
    <t>Forward</t>
  </si>
  <si>
    <t>Rearward</t>
  </si>
  <si>
    <t>Must be up to and including 150cm</t>
  </si>
  <si>
    <t>System coverage - seating positions</t>
  </si>
  <si>
    <t>Child scenarios covered - 1, 2, 3</t>
  </si>
  <si>
    <t>System functionality check</t>
  </si>
  <si>
    <t>Warning and intervention check</t>
  </si>
  <si>
    <t>Occupant space coverage - (2025 onwards)</t>
  </si>
  <si>
    <t>Child Presence Decection</t>
  </si>
  <si>
    <t>Standard</t>
  </si>
  <si>
    <t>Stature</t>
  </si>
  <si>
    <t>Child
small adult</t>
  </si>
  <si>
    <t>Upper Legform force assessment</t>
  </si>
  <si>
    <t>TOTAL FEMUR ASSESSMENT</t>
  </si>
  <si>
    <t>TOTAL KNEE &amp; TIBIA ASSESSMENT</t>
  </si>
  <si>
    <t>TOTAL PELVIS ASSESSMENT</t>
  </si>
  <si>
    <t>Knee &amp; Tibia</t>
  </si>
  <si>
    <t>100-150</t>
  </si>
  <si>
    <t>Deactivation</t>
  </si>
  <si>
    <t>Active speed</t>
  </si>
  <si>
    <t>Noise variables - Drivers</t>
  </si>
  <si>
    <t>Noise variables - Driver behaviours</t>
  </si>
  <si>
    <t>Noise variables - Occlusion</t>
  </si>
  <si>
    <t>Noise variables</t>
  </si>
  <si>
    <t>Inattention Type</t>
  </si>
  <si>
    <t>Scenario</t>
  </si>
  <si>
    <t>Warning</t>
  </si>
  <si>
    <t>Intervention</t>
  </si>
  <si>
    <t>Distraction</t>
  </si>
  <si>
    <t>Long Distraction</t>
  </si>
  <si>
    <t>Away from forward road, non-driving task</t>
  </si>
  <si>
    <t>Lizard</t>
  </si>
  <si>
    <t>Body lean</t>
  </si>
  <si>
    <t>Driving task</t>
  </si>
  <si>
    <t>Short Distraction (VATS)</t>
  </si>
  <si>
    <t>Away from road (multiple locations)</t>
  </si>
  <si>
    <t>Phone Usage</t>
  </si>
  <si>
    <t xml:space="preserve">Phone Use Detection – Basic </t>
  </si>
  <si>
    <t xml:space="preserve">Phone Use Detection – Advanced </t>
  </si>
  <si>
    <t>Fatigue</t>
  </si>
  <si>
    <t>Drowsiness</t>
  </si>
  <si>
    <t>Microsleep</t>
  </si>
  <si>
    <t>Sleep</t>
  </si>
  <si>
    <t xml:space="preserve">Owl </t>
  </si>
  <si>
    <t>Unresponsive Driver - Sudden Sickness</t>
  </si>
  <si>
    <t>Sub-totals</t>
  </si>
  <si>
    <t>Total Scenario Score</t>
  </si>
  <si>
    <t>Movement</t>
  </si>
  <si>
    <t>Advanced Functions - Conditional speed limits</t>
  </si>
  <si>
    <t>Advanced Functions - Road features</t>
  </si>
  <si>
    <t>Curves</t>
  </si>
  <si>
    <t>Roundabouts</t>
  </si>
  <si>
    <t>Junctions</t>
  </si>
  <si>
    <t>Traffic lights</t>
  </si>
  <si>
    <t>Stop signs</t>
  </si>
  <si>
    <t>Yield/Give way signs</t>
  </si>
  <si>
    <t>No entry</t>
  </si>
  <si>
    <t>Advanced Functions - Local hazards</t>
  </si>
  <si>
    <t>Traffic jams</t>
  </si>
  <si>
    <t>Construction zones</t>
  </si>
  <si>
    <t>Accident ahead</t>
  </si>
  <si>
    <t>Wrong way driver</t>
  </si>
  <si>
    <t>Stopped vehicle on hard shoulder</t>
  </si>
  <si>
    <t>Items in road (including animals, people, debris etc.)</t>
  </si>
  <si>
    <t>Poor road conditions (including slippery roads)</t>
  </si>
  <si>
    <t>Poor weather conditions (including fog, heavy rain, etc.)</t>
  </si>
  <si>
    <t>Emergency vehicle</t>
  </si>
  <si>
    <t>Advanced Functions - System updates</t>
  </si>
  <si>
    <t>Speed control:</t>
  </si>
  <si>
    <t>General requirements - GSR compliant</t>
  </si>
  <si>
    <t>Conditional speed limits total</t>
  </si>
  <si>
    <t>Road features total</t>
  </si>
  <si>
    <t>Local hazards total</t>
  </si>
  <si>
    <t>System updates total</t>
  </si>
  <si>
    <t>Warning function</t>
  </si>
  <si>
    <t>Default ON at start of every journey</t>
  </si>
  <si>
    <t>Visual warning in direct field of driver's view</t>
  </si>
  <si>
    <t>General requirements assessment</t>
  </si>
  <si>
    <t>Speed control function type (setting Vadj)</t>
  </si>
  <si>
    <t>Intelligent ACC</t>
  </si>
  <si>
    <t>0-84</t>
  </si>
  <si>
    <t>Availble for Model tested - All EAA languages</t>
  </si>
  <si>
    <t>Emergency Response Guide for tested variant</t>
  </si>
  <si>
    <t>ISO Compliant Rescue sheet</t>
  </si>
  <si>
    <t>Identification of Direct Hazard Disabling Equipment</t>
  </si>
  <si>
    <t>Compliance with ECE regulations re EV safety</t>
  </si>
  <si>
    <t>Direction of impact &amp; Delta V</t>
  </si>
  <si>
    <t>Advanced eCall assessment</t>
  </si>
  <si>
    <t>Third Party Service eCall</t>
  </si>
  <si>
    <t>Multi-language communication</t>
  </si>
  <si>
    <t xml:space="preserve">Hazard detection </t>
  </si>
  <si>
    <t>Transfer of paired mobile number</t>
  </si>
  <si>
    <t>Transfer of vehicle type</t>
  </si>
  <si>
    <t>Any new function</t>
  </si>
  <si>
    <t>Third party eCall assessment</t>
  </si>
  <si>
    <t>Vehicle Submergence</t>
  </si>
  <si>
    <t>Door opening check</t>
  </si>
  <si>
    <t>Window opening check</t>
  </si>
  <si>
    <t>Vehicle submergence assessment</t>
  </si>
  <si>
    <t>Multi-collision brake assessment</t>
  </si>
  <si>
    <t>Adult headform zone star cap?</t>
  </si>
  <si>
    <t>Child headfrom zone star cap?</t>
  </si>
  <si>
    <t>Front Passenger(s)</t>
  </si>
  <si>
    <t>Including ALL optional seats</t>
  </si>
  <si>
    <t>Available for all other cars from OEM (launched 2020 onwards)</t>
  </si>
  <si>
    <t>Nr of seats</t>
  </si>
  <si>
    <t>5 Pass</t>
  </si>
  <si>
    <t>2 Pass</t>
  </si>
  <si>
    <t>RESULT</t>
  </si>
  <si>
    <t>CPRm-50</t>
  </si>
  <si>
    <t>CPRs-75</t>
  </si>
  <si>
    <t>CPRs-50</t>
  </si>
  <si>
    <t>CPRs-25</t>
  </si>
  <si>
    <t>REVERSE</t>
  </si>
  <si>
    <t>CPTA-50 nearside same</t>
  </si>
  <si>
    <t>CPTA-50 farside same</t>
  </si>
  <si>
    <t>CPTA-50 nearside opposite</t>
  </si>
  <si>
    <t>CPTA-50 farside opposite</t>
  </si>
  <si>
    <t>TURNING</t>
  </si>
  <si>
    <t>OEM</t>
  </si>
  <si>
    <t>LONGITUDINAL</t>
  </si>
  <si>
    <t>CPNCO-50</t>
  </si>
  <si>
    <t>CROSSING</t>
  </si>
  <si>
    <t>TOTAL AEB Bicyclist</t>
  </si>
  <si>
    <t>CBDA</t>
  </si>
  <si>
    <t>CBTA</t>
  </si>
  <si>
    <t>CBNAO-50</t>
  </si>
  <si>
    <t>CBNA-50</t>
  </si>
  <si>
    <t>CBFA-50</t>
  </si>
  <si>
    <t>Retention</t>
  </si>
  <si>
    <t>Information</t>
  </si>
  <si>
    <r>
      <t>TTC</t>
    </r>
    <r>
      <rPr>
        <b/>
        <vertAlign val="subscript"/>
        <sz val="10"/>
        <rFont val="Calibri"/>
        <family val="2"/>
        <scheme val="minor"/>
      </rPr>
      <t>END</t>
    </r>
  </si>
  <si>
    <r>
      <t>TTC</t>
    </r>
    <r>
      <rPr>
        <b/>
        <vertAlign val="subscript"/>
        <sz val="10"/>
        <rFont val="Calibri"/>
        <family val="2"/>
        <scheme val="minor"/>
      </rPr>
      <t>START</t>
    </r>
  </si>
  <si>
    <t>Driver door</t>
  </si>
  <si>
    <t>DOORING</t>
  </si>
  <si>
    <t>CBTA-50 nearside opposite</t>
  </si>
  <si>
    <t>CBTA-50 farside opposite</t>
  </si>
  <si>
    <t>AEB Bicyclist</t>
  </si>
  <si>
    <t>CMovertaking</t>
  </si>
  <si>
    <t>CMoncoming</t>
  </si>
  <si>
    <t>CMFtap</t>
  </si>
  <si>
    <t xml:space="preserve">CMRs-50 </t>
  </si>
  <si>
    <t>LATERAL</t>
  </si>
  <si>
    <t>60 km/h</t>
  </si>
  <si>
    <t>CMRb-25-12m</t>
  </si>
  <si>
    <t>CMRs-50</t>
  </si>
  <si>
    <t>AEB Motorcyclist</t>
  </si>
  <si>
    <t>System type - Direct or indirect monitoring</t>
  </si>
  <si>
    <t>TOTAL AEB Motorcyclist</t>
  </si>
  <si>
    <t>AEB VRU Motorcyclist  tests</t>
  </si>
  <si>
    <t>CMRb-25-40m</t>
  </si>
  <si>
    <t>All side doors</t>
  </si>
  <si>
    <t xml:space="preserve">CMRb-25-12m </t>
  </si>
  <si>
    <t xml:space="preserve">CMRb-25-40m </t>
  </si>
  <si>
    <t>VUT @ 72 &amp; EMT @ 80 km/h</t>
  </si>
  <si>
    <t>VUT @ 50 &amp; EMT @ 60 km/h</t>
  </si>
  <si>
    <t>VUT &amp; EMT @ 72 km/h</t>
  </si>
  <si>
    <t>&lt;--Target speed for relative impact speed judgement</t>
  </si>
  <si>
    <t>Cell</t>
  </si>
  <si>
    <t>adult</t>
  </si>
  <si>
    <t>child</t>
  </si>
  <si>
    <t>Select Cells then</t>
  </si>
  <si>
    <t>or</t>
  </si>
  <si>
    <t>Child Presence Detection</t>
  </si>
  <si>
    <t>RATING REQUIREMENTS 2023</t>
  </si>
  <si>
    <t>Sliding</t>
  </si>
  <si>
    <t>Door type</t>
  </si>
  <si>
    <t xml:space="preserve">Points </t>
  </si>
  <si>
    <t>Result</t>
  </si>
  <si>
    <t>CCCscp</t>
  </si>
  <si>
    <t>Start From Stop</t>
  </si>
  <si>
    <t>40 km/h</t>
  </si>
  <si>
    <t>50 km/h</t>
  </si>
  <si>
    <t>Testpoints CCCscp</t>
  </si>
  <si>
    <t>Car-to-Car Head On</t>
  </si>
  <si>
    <t>CCCscp RESULT</t>
  </si>
  <si>
    <t>Car-to-Car Head On RESULT</t>
  </si>
  <si>
    <t>CCFhos</t>
  </si>
  <si>
    <t>CCFhol</t>
  </si>
  <si>
    <t>70 km/h</t>
  </si>
  <si>
    <t>Speed Reduction</t>
  </si>
  <si>
    <t>Restraint activation / dynamic retractors / ESS</t>
  </si>
  <si>
    <t>Speed Limitation Function</t>
  </si>
  <si>
    <t>Intelligent Speed Limiter, not default ON</t>
  </si>
  <si>
    <t>Intelligent Speed Limiter, default ON</t>
  </si>
  <si>
    <t>Type Approval Number</t>
  </si>
  <si>
    <t>Trolley OLC - g</t>
  </si>
  <si>
    <t>Vehicle LHS B-pillar OLC - g</t>
  </si>
  <si>
    <t>Vehicle RHS B-pillar OLC - g</t>
  </si>
  <si>
    <t>Submarining modifier (-4)</t>
  </si>
  <si>
    <t>Head restraint fitted to all positions</t>
  </si>
  <si>
    <t>Compliant with R17-08</t>
  </si>
  <si>
    <t>Inflatable belt or rear airbag</t>
  </si>
  <si>
    <t>Row 1</t>
  </si>
  <si>
    <t>Row 2</t>
  </si>
  <si>
    <t>Row 3</t>
  </si>
  <si>
    <t>Meets exemption requirements? (3rd row only)</t>
  </si>
  <si>
    <t>Passenger(s)</t>
  </si>
  <si>
    <t>Seat arrangement (incl. driver)</t>
  </si>
  <si>
    <t>1 Pass</t>
  </si>
  <si>
    <t>4 Pass</t>
  </si>
  <si>
    <t>6 Pass</t>
  </si>
  <si>
    <t>3 Pass</t>
  </si>
  <si>
    <t>AEB/LSS Motorcyclist</t>
  </si>
  <si>
    <t>Alert, warning &amp; intervention</t>
  </si>
  <si>
    <t>Sensing type - Direct or indirect</t>
  </si>
  <si>
    <t>Maxus</t>
  </si>
  <si>
    <t>WEY</t>
  </si>
  <si>
    <t>ORA</t>
  </si>
  <si>
    <t>Chery</t>
  </si>
  <si>
    <t>Omoda</t>
  </si>
  <si>
    <t>Polestar</t>
  </si>
  <si>
    <t>Lucid</t>
  </si>
  <si>
    <t>BYD</t>
  </si>
  <si>
    <t>Cupra</t>
  </si>
  <si>
    <t>DS</t>
  </si>
  <si>
    <t>Aiways</t>
  </si>
  <si>
    <t>Porsche</t>
  </si>
  <si>
    <t>v2023.0.2</t>
  </si>
  <si>
    <t>PASS</t>
  </si>
  <si>
    <t>Can identify slower walking pedestrian (CPNA-75) from 10 km/h</t>
  </si>
  <si>
    <t>System does NOT release brakes unless path is clear?</t>
  </si>
  <si>
    <t>Corrected and expanded pre-requisites for DSM</t>
  </si>
  <si>
    <t>Changed drop-down of DSM from values to Yes, No, to account for decimal separator</t>
  </si>
  <si>
    <t>Frontal FW, cell D63 formula changed, limits for capping of chest changed from 42mm to 34mm (celld D23 and H23)</t>
  </si>
  <si>
    <t>Added pre-requisite in AEB VRU Pedestrian CPRs (brakes not released unless path is clear)</t>
  </si>
  <si>
    <t>Overall Rating, changed formulae for AEB Ped, Cyc and MC scores to check sum of subcomponent includes knee and tibia</t>
  </si>
  <si>
    <t>Checked calculation of COP Vehicle Based Cell D27.  Protocol changed from 2020-2022, and calc correct</t>
  </si>
  <si>
    <t>Changed formula for Pole_Capping D71 (mistake was comma instead of = sign)</t>
  </si>
  <si>
    <t>AEMDB, formulae D76, E76 changed for pelvis submarining</t>
  </si>
  <si>
    <t>Formulae change in Rescue D17, D22, D27 and D32.  Now applies modifier if no data entered. Formula for belt unlatching corrected - 60N for front impacts and 100N for side impacts</t>
  </si>
  <si>
    <t>Rescue Advanced eCall formula changed (was correct for 2024, not 2023)</t>
  </si>
  <si>
    <t>COP Dynamic D7, F7 takes CRS names from General Overview</t>
  </si>
  <si>
    <t>OSM D9 H9 formulae simplified</t>
  </si>
  <si>
    <t>OSM D18 formula corrected for 3 pass but expanded to cover many other requirements</t>
  </si>
  <si>
    <t>E16</t>
  </si>
  <si>
    <t>F16</t>
  </si>
  <si>
    <t>G16</t>
  </si>
  <si>
    <t>H16</t>
  </si>
  <si>
    <t>I16</t>
  </si>
  <si>
    <t>J16</t>
  </si>
  <si>
    <t>K16</t>
  </si>
  <si>
    <t>L16</t>
  </si>
  <si>
    <t>M16</t>
  </si>
  <si>
    <t>N16</t>
  </si>
  <si>
    <t>O16</t>
  </si>
  <si>
    <t>P16</t>
  </si>
  <si>
    <t>Q16</t>
  </si>
  <si>
    <t>R16</t>
  </si>
  <si>
    <t>S16</t>
  </si>
  <si>
    <t>T16</t>
  </si>
  <si>
    <t>U16</t>
  </si>
  <si>
    <t>V16</t>
  </si>
  <si>
    <t>W16</t>
  </si>
  <si>
    <t>X16</t>
  </si>
  <si>
    <t>Y16</t>
  </si>
  <si>
    <t>E17</t>
  </si>
  <si>
    <t>F17</t>
  </si>
  <si>
    <t>G17</t>
  </si>
  <si>
    <t>H17</t>
  </si>
  <si>
    <t>I17</t>
  </si>
  <si>
    <t>J17</t>
  </si>
  <si>
    <t>K17</t>
  </si>
  <si>
    <t>L17</t>
  </si>
  <si>
    <t>M17</t>
  </si>
  <si>
    <t>N17</t>
  </si>
  <si>
    <t>O17</t>
  </si>
  <si>
    <t>P17</t>
  </si>
  <si>
    <t>Q17</t>
  </si>
  <si>
    <t>R17</t>
  </si>
  <si>
    <t>S17</t>
  </si>
  <si>
    <t>T17</t>
  </si>
  <si>
    <t>U17</t>
  </si>
  <si>
    <t>V17</t>
  </si>
  <si>
    <t>W17</t>
  </si>
  <si>
    <t>X17</t>
  </si>
  <si>
    <t>Y17</t>
  </si>
  <si>
    <t>D Green</t>
  </si>
  <si>
    <t>VRU PELVIS</t>
  </si>
  <si>
    <t>Dooring Prevention</t>
  </si>
  <si>
    <t>Fatigue/Distraction Monitoring</t>
  </si>
  <si>
    <t>VRU KNEE TIBIA</t>
  </si>
  <si>
    <t>VRU FEMUR</t>
  </si>
  <si>
    <t>CPD</t>
  </si>
  <si>
    <t>Submergence Comment</t>
  </si>
  <si>
    <t>VRU Impact Mitigation</t>
  </si>
  <si>
    <t>Cyclist Dooring Prevention</t>
  </si>
  <si>
    <t>Lane Support Motorcyclist</t>
  </si>
  <si>
    <t>Colour</t>
  </si>
  <si>
    <t>Car Reversing into adult or child</t>
  </si>
  <si>
    <t>Adult crossing a road into which a car is turning</t>
  </si>
  <si>
    <t>Adult crossing the road</t>
  </si>
  <si>
    <t>Child running from behind parked vehicles</t>
  </si>
  <si>
    <t>Adult along the roadside</t>
  </si>
  <si>
    <t>Approaching a cyclist crossing from behind parked vehicles</t>
  </si>
  <si>
    <t>Turning across the path of an oncoming cyclist</t>
  </si>
  <si>
    <t>Approaching a crossing cyclist</t>
  </si>
  <si>
    <t>Approaching a cyclist along the roadside</t>
  </si>
  <si>
    <t>Dooring a passing cyclist 2023</t>
  </si>
  <si>
    <t>Comment</t>
  </si>
  <si>
    <t>Approaching a stationary motorcyclist 2023</t>
  </si>
  <si>
    <t>Approaching a braking motorcyclist 2023</t>
  </si>
  <si>
    <t>Turning across the path of an oncoming motorcyclist</t>
  </si>
  <si>
    <t>Changing lane across path of oncoming m-cyclist</t>
  </si>
  <si>
    <t>Chaning lane across path of overtaking m-cyclist</t>
  </si>
  <si>
    <t>Night/FCW</t>
  </si>
  <si>
    <t>Day/AEB</t>
  </si>
  <si>
    <t>CPFA &amp; CPNA</t>
  </si>
  <si>
    <t>CM oncoming and CM overtaking</t>
  </si>
  <si>
    <t>CPNCO</t>
  </si>
  <si>
    <t>AEB Car to Car</t>
  </si>
  <si>
    <t>Approaching a car crossing a junction</t>
  </si>
  <si>
    <t>Approaching a car head-on</t>
  </si>
  <si>
    <t>Turning across the path of an oncoming car</t>
  </si>
  <si>
    <t>Approaching a stationary car</t>
  </si>
  <si>
    <t>Approaching a slower moving car</t>
  </si>
  <si>
    <t>Approaching a braking car</t>
  </si>
  <si>
    <t>AEB Score</t>
  </si>
  <si>
    <t>FCW Score</t>
  </si>
  <si>
    <t>Autobrake</t>
  </si>
  <si>
    <t>Driver reacts</t>
  </si>
  <si>
    <t>e11*2017/56*1234*00</t>
  </si>
  <si>
    <t>999</t>
  </si>
  <si>
    <t>Fatigue Comment</t>
  </si>
  <si>
    <t>Distraction Comment</t>
  </si>
  <si>
    <t>Impairment Comment</t>
  </si>
  <si>
    <t>Owl +
Lizard</t>
  </si>
  <si>
    <t>No line (road edge only)</t>
  </si>
  <si>
    <t>Dashed centre line</t>
  </si>
  <si>
    <t>ELK Solid Line assessment</t>
  </si>
  <si>
    <t>Cyclist headform zone star cap?</t>
  </si>
  <si>
    <t>Belt Installed</t>
  </si>
  <si>
    <t>Belt Attached</t>
  </si>
  <si>
    <t>OEM Spreadsheet detailing Vehicle information regarding Child Occupant Protection</t>
  </si>
  <si>
    <t xml:space="preserve">Table is to be completed by the OEM. </t>
  </si>
  <si>
    <t>Vehicle make:</t>
  </si>
  <si>
    <t>Comments about this table</t>
  </si>
  <si>
    <t xml:space="preserve">Each row has a specific Validation List to use to chose the answer. Any further information can be added in the comments section. </t>
  </si>
  <si>
    <t>Vehicle model:</t>
  </si>
  <si>
    <t xml:space="preserve">Information must be provided regarding both standard and optional equipment. </t>
  </si>
  <si>
    <t>Assessment year:</t>
  </si>
  <si>
    <t>Is there any difference between RHD and LHD?</t>
  </si>
  <si>
    <t>To help you fill in the table, there are formulas that can hide cells depending on a previous question. But once you select the choice in the list, the formula has disappeared.</t>
  </si>
  <si>
    <t>For this reason, if you have to come back to the original formula please go to row T and row U, the original formulas are there.</t>
  </si>
  <si>
    <t>Filled in by:</t>
  </si>
  <si>
    <t>This table goes together with the table "for website" which is a sketch of the possible visual display that can be on the website</t>
  </si>
  <si>
    <t>Date of modification:</t>
  </si>
  <si>
    <t>VEHICLE PROVISIONS</t>
  </si>
  <si>
    <t>Template front row</t>
  </si>
  <si>
    <t>Template rear row</t>
  </si>
  <si>
    <t>Data to be provided by the OEM in advance from the assessment</t>
  </si>
  <si>
    <t>Vehicle general characteristics</t>
  </si>
  <si>
    <t xml:space="preserve">Seat arrangement </t>
  </si>
  <si>
    <t>Row 1 frontal airbag deactivation</t>
  </si>
  <si>
    <t>N/A</t>
  </si>
  <si>
    <t>Row 2 or Row 3 frontal protection airbag and its deactivation</t>
  </si>
  <si>
    <t>Where applicable as either standard or optional equipment</t>
  </si>
  <si>
    <t>inflating seat belt</t>
  </si>
  <si>
    <t>Seat orientation</t>
  </si>
  <si>
    <t xml:space="preserve">Where applicable </t>
  </si>
  <si>
    <t>Seat adjustment possibilities</t>
  </si>
  <si>
    <t>put optional if one adjustment (or more) is not standard</t>
  </si>
  <si>
    <t>seatback angle</t>
  </si>
  <si>
    <t>seat fore/aft</t>
  </si>
  <si>
    <t>seat height</t>
  </si>
  <si>
    <t>extra comfort equipment</t>
  </si>
  <si>
    <t>Head Restraint adjustment possibilities</t>
  </si>
  <si>
    <t>non-use / stowable position</t>
  </si>
  <si>
    <t>HR height</t>
  </si>
  <si>
    <t>HR tilt</t>
  </si>
  <si>
    <t>HR fore/aft</t>
  </si>
  <si>
    <t>HR removable</t>
  </si>
  <si>
    <t>Seat belts</t>
  </si>
  <si>
    <t>presence of secondary buckle for the belt anchorage</t>
  </si>
  <si>
    <t>Where applicable - provide details how to attach bucke and if a specific path is required</t>
  </si>
  <si>
    <t>Floor storage in front of the seat position, in the possible support leg area</t>
  </si>
  <si>
    <t>OEM data will be checked with CRS installation</t>
  </si>
  <si>
    <t>Specificities dedicated to Child Protection</t>
  </si>
  <si>
    <t>Universal Gabarit compatibility (ECE 16 only)</t>
  </si>
  <si>
    <t>Universal Gabarit compatibility (with Euro NCAP additional requirements)</t>
  </si>
  <si>
    <t>means extra 150 mm belt length</t>
  </si>
  <si>
    <t>Universal Gabarit compatibility - additional info</t>
  </si>
  <si>
    <t>if to be compatible there is a need to modify something else than the seat adjustment</t>
  </si>
  <si>
    <t>i-Size homologation</t>
  </si>
  <si>
    <t>presented as standard / optional / not available since the equipment may not be in std</t>
  </si>
  <si>
    <t>Isofix homologation</t>
  </si>
  <si>
    <t>(not needed if i-Size already)</t>
  </si>
  <si>
    <t>Location of top-tether anchorage</t>
  </si>
  <si>
    <t>ISO/R3 compatibility</t>
  </si>
  <si>
    <t>(=i-Size)</t>
  </si>
  <si>
    <t>ISO/R1</t>
  </si>
  <si>
    <t>ISO/F1</t>
  </si>
  <si>
    <t>ISO/F2</t>
  </si>
  <si>
    <t>ISO/F2X</t>
  </si>
  <si>
    <t>ISO/B2 belt + Isofix compatibility</t>
  </si>
  <si>
    <t>ISO/B3 compatibility</t>
  </si>
  <si>
    <t>Lower-tether anchorage</t>
  </si>
  <si>
    <t>(provide instructions where to find them)</t>
  </si>
  <si>
    <t>Support leg compatibility</t>
  </si>
  <si>
    <t>(apart from i-Size homologation)</t>
  </si>
  <si>
    <t>when homologated for i-Size, the floor is judged compatible for support leg. But if the support leg is not i-Size, there may be other problems. Recommendation in case of iSize homologation to always write Check CRS vehicle List to cover the Isofix CRS</t>
  </si>
  <si>
    <t>Support leg possible incompatibility reason</t>
  </si>
  <si>
    <t>Pass_AB_On</t>
  </si>
  <si>
    <t>Pass_AB_Off</t>
  </si>
  <si>
    <t>R2_L</t>
  </si>
  <si>
    <t>R2_C</t>
  </si>
  <si>
    <t>R2_R</t>
  </si>
  <si>
    <t>R3_L</t>
  </si>
  <si>
    <t>R3_C</t>
  </si>
  <si>
    <t>R3_R</t>
  </si>
  <si>
    <t>Description</t>
  </si>
  <si>
    <t>Category</t>
  </si>
  <si>
    <t xml:space="preserve">Rearward facing belted child seat with integral harness </t>
  </si>
  <si>
    <t>Forward facing belted child seat with integral harness or shield</t>
  </si>
  <si>
    <t xml:space="preserve">Forward facing belted booster seat </t>
  </si>
  <si>
    <r>
      <t xml:space="preserve">Belted booster cushion covering </t>
    </r>
    <r>
      <rPr>
        <u/>
        <sz val="10"/>
        <color rgb="FF000000"/>
        <rFont val="Calibri"/>
        <family val="2"/>
        <scheme val="minor"/>
      </rPr>
      <t>B3</t>
    </r>
  </si>
  <si>
    <t>Belted base with support leg (forward facing)</t>
  </si>
  <si>
    <t>Belted base with support leg (rearward facing)</t>
  </si>
  <si>
    <t>Specific vehicle ISOFIX (forward facing) with integral harness or shield</t>
  </si>
  <si>
    <r>
      <t xml:space="preserve">Specific  vehicle ISOFIX (rearward facing) with integral harness – </t>
    </r>
    <r>
      <rPr>
        <u/>
        <sz val="10"/>
        <color theme="1"/>
        <rFont val="Times New Roman"/>
        <family val="1"/>
      </rPr>
      <t>R3 flag</t>
    </r>
  </si>
  <si>
    <t>Specific vehicle ISOFIX booster seat (forward facing)</t>
  </si>
  <si>
    <t>Specific vehicle ISOFIX booster cushion</t>
  </si>
  <si>
    <t>Specific vehicle ISOFIX base with support leg (forward facing)</t>
  </si>
  <si>
    <t>Specific vehicle ISOFIX base with support leg (rearward facing)</t>
  </si>
  <si>
    <t>Drowsiness and Microsleep</t>
  </si>
  <si>
    <t>Drowsiness and Sleep</t>
  </si>
  <si>
    <t>Microsleep and Sleep</t>
  </si>
  <si>
    <t>Drowsiness, Microsleep and Sleep</t>
  </si>
  <si>
    <t>Short Distraction</t>
  </si>
  <si>
    <t>Long and Short Distraction</t>
  </si>
  <si>
    <t>Phone Use</t>
  </si>
  <si>
    <t>Long Distraction and Phone Use</t>
  </si>
  <si>
    <t>Short Distraction and Phone Use</t>
  </si>
  <si>
    <t>Long &amp; Short Distraction and Phone Use</t>
  </si>
  <si>
    <t>Top-Tether</t>
  </si>
  <si>
    <t>4</t>
  </si>
  <si>
    <t>4.5</t>
  </si>
  <si>
    <t>2</t>
  </si>
  <si>
    <t>Conventional</t>
  </si>
  <si>
    <t>130 km/h vs 70 km/h GVT (verification)</t>
  </si>
  <si>
    <t>Is electric</t>
  </si>
  <si>
    <t>Small Off-Road</t>
  </si>
  <si>
    <t>Large Off-Road</t>
  </si>
  <si>
    <t>NIO</t>
  </si>
  <si>
    <t>Xpeng</t>
  </si>
  <si>
    <t>Zeekr</t>
  </si>
  <si>
    <t>Comments to the user of this table</t>
  </si>
  <si>
    <t>Comments from the user</t>
  </si>
  <si>
    <t/>
  </si>
  <si>
    <t>full seat stowable / foldable or removable</t>
  </si>
  <si>
    <t>stowable means sinking in the floor. Foldable does not apply to the folding of the seatback only but of the complete seat</t>
  </si>
  <si>
    <t>CRS Forward Facing allowed with Frontal airbag ON</t>
  </si>
  <si>
    <t>CRS Forward Facing allowed with Frontal airbag OFF</t>
  </si>
  <si>
    <t>CRS Rearward Facing allowed with Frontal airbag OFF</t>
  </si>
  <si>
    <t>Universal Gabarit compatibility - Specific vehicle seat adjustment need</t>
  </si>
  <si>
    <t>whenever the seat adjustment needs to differ from the by default adjustment defined by regulation to have compatibility, answer = "needed"</t>
  </si>
  <si>
    <t>ISO/R3 compatibility - Specific vehicle seat adjustment need</t>
  </si>
  <si>
    <t>ISO/B2 compatibility when using belt only</t>
  </si>
  <si>
    <t>Side Pole O2O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</si>
</sst>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0.0"/>
    <numFmt numFmtId="165" formatCode="0.000"/>
    <numFmt numFmtId="166" formatCode="0.0%"/>
    <numFmt numFmtId="167" formatCode="0\ &quot;km/h&quot;"/>
    <numFmt numFmtId="168" formatCode="0.0\ &quot;m/s&quot;"/>
    <numFmt numFmtId="169" formatCode="0\ &quot;seats&quot;"/>
    <numFmt numFmtId="170" formatCode="##&quot; km/h&quot;"/>
    <numFmt numFmtId="171" formatCode="yyyy\-mm\-dd;@"/>
  </numFmts>
  <fonts count="9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vertAlign val="subscript"/>
      <sz val="10"/>
      <name val="Calibri"/>
      <family val="2"/>
    </font>
    <font>
      <b/>
      <sz val="16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0"/>
      <color indexed="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4"/>
      <name val="Calibri"/>
      <family val="2"/>
    </font>
    <font>
      <b/>
      <i/>
      <sz val="10"/>
      <name val="Calibri"/>
      <family val="2"/>
    </font>
    <font>
      <sz val="10"/>
      <color indexed="8"/>
      <name val="Calibri"/>
      <family val="2"/>
    </font>
    <font>
      <b/>
      <sz val="18"/>
      <name val="Calibri"/>
      <family val="2"/>
    </font>
    <font>
      <sz val="14"/>
      <name val="Calibri"/>
      <family val="2"/>
    </font>
    <font>
      <sz val="12"/>
      <name val="Calibri"/>
      <family val="2"/>
    </font>
    <font>
      <b/>
      <sz val="12"/>
      <color indexed="9"/>
      <name val="Calibri"/>
      <family val="2"/>
    </font>
    <font>
      <b/>
      <sz val="11"/>
      <name val="Calibri"/>
      <family val="2"/>
    </font>
    <font>
      <sz val="10"/>
      <color indexed="9"/>
      <name val="Calibri"/>
      <family val="2"/>
    </font>
    <font>
      <sz val="11"/>
      <name val="Calibri"/>
      <family val="2"/>
    </font>
    <font>
      <sz val="8"/>
      <color indexed="55"/>
      <name val="Arial"/>
      <family val="2"/>
    </font>
    <font>
      <sz val="12"/>
      <color indexed="55"/>
      <name val="Calibri"/>
      <family val="2"/>
    </font>
    <font>
      <sz val="9"/>
      <color indexed="8"/>
      <name val="Calibri"/>
      <family val="2"/>
    </font>
    <font>
      <b/>
      <sz val="12"/>
      <name val="Calibri"/>
      <family val="2"/>
    </font>
    <font>
      <b/>
      <sz val="20"/>
      <name val="Calibri"/>
      <family val="2"/>
    </font>
    <font>
      <b/>
      <sz val="16"/>
      <name val="Calibri"/>
      <family val="2"/>
    </font>
    <font>
      <b/>
      <sz val="14"/>
      <color indexed="8"/>
      <name val="Calibri"/>
      <family val="2"/>
    </font>
    <font>
      <b/>
      <sz val="16"/>
      <color indexed="8"/>
      <name val="Calibri"/>
      <family val="2"/>
    </font>
    <font>
      <sz val="8"/>
      <color indexed="8"/>
      <name val="Calibri"/>
      <family val="2"/>
    </font>
    <font>
      <sz val="4"/>
      <name val="Calibri"/>
      <family val="2"/>
    </font>
    <font>
      <b/>
      <sz val="13"/>
      <name val="Calibri"/>
      <family val="2"/>
    </font>
    <font>
      <sz val="10"/>
      <color theme="0"/>
      <name val="Calibri"/>
      <family val="2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rgb="FFFF0000"/>
      <name val="Calibri"/>
      <family val="2"/>
    </font>
    <font>
      <sz val="8"/>
      <color rgb="FF000000"/>
      <name val="Consolas"/>
      <family val="3"/>
    </font>
    <font>
      <sz val="10"/>
      <color theme="0"/>
      <name val="Arial"/>
      <family val="2"/>
    </font>
    <font>
      <sz val="1"/>
      <color theme="1"/>
      <name val="Calibri"/>
      <family val="3"/>
      <charset val="128"/>
      <scheme val="minor"/>
    </font>
    <font>
      <b/>
      <sz val="9"/>
      <name val="Calibri"/>
      <family val="2"/>
      <scheme val="minor"/>
    </font>
    <font>
      <b/>
      <sz val="12"/>
      <color indexed="8"/>
      <name val="Calibri"/>
      <family val="2"/>
    </font>
    <font>
      <sz val="11"/>
      <color indexed="9"/>
      <name val="Calibri"/>
      <family val="2"/>
    </font>
    <font>
      <b/>
      <sz val="10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2"/>
      <color theme="0"/>
      <name val="Calibri"/>
      <family val="2"/>
    </font>
    <font>
      <b/>
      <sz val="24"/>
      <color theme="0"/>
      <name val="Calibri"/>
      <family val="2"/>
      <scheme val="minor"/>
    </font>
    <font>
      <b/>
      <vertAlign val="subscript"/>
      <sz val="10"/>
      <name val="Calibri"/>
      <family val="2"/>
      <scheme val="minor"/>
    </font>
    <font>
      <sz val="9"/>
      <name val="Calibri"/>
      <family val="2"/>
    </font>
    <font>
      <vertAlign val="subscript"/>
      <sz val="9"/>
      <name val="Calibri"/>
      <family val="2"/>
    </font>
    <font>
      <b/>
      <vertAlign val="superscript"/>
      <sz val="10"/>
      <color rgb="FF000000"/>
      <name val="Calibri"/>
      <family val="2"/>
    </font>
    <font>
      <sz val="10"/>
      <color theme="0" tint="-0.249977111117893"/>
      <name val="Calibri"/>
      <family val="2"/>
    </font>
    <font>
      <b/>
      <sz val="9"/>
      <name val="Calibri"/>
      <family val="2"/>
    </font>
    <font>
      <sz val="11"/>
      <color theme="0" tint="-0.249977111117893"/>
      <name val="Calibri"/>
      <family val="2"/>
    </font>
    <font>
      <sz val="9"/>
      <name val="Arial"/>
      <family val="2"/>
    </font>
    <font>
      <b/>
      <sz val="10"/>
      <color rgb="FFFF0000"/>
      <name val="Arial"/>
      <family val="2"/>
    </font>
    <font>
      <sz val="10"/>
      <color theme="0" tint="-0.34998626667073579"/>
      <name val="Arial"/>
      <family val="2"/>
    </font>
    <font>
      <b/>
      <sz val="10"/>
      <color theme="4"/>
      <name val="Arial"/>
      <family val="2"/>
    </font>
    <font>
      <sz val="9"/>
      <name val="Calibri"/>
      <family val="2"/>
      <scheme val="minor"/>
    </font>
    <font>
      <sz val="8"/>
      <name val="Calibri"/>
      <family val="2"/>
    </font>
    <font>
      <sz val="1"/>
      <color theme="1"/>
      <name val="Calibri"/>
      <family val="2"/>
      <scheme val="minor"/>
    </font>
    <font>
      <sz val="10"/>
      <name val="Calibri"/>
      <family val="3"/>
      <charset val="129"/>
      <scheme val="minor"/>
    </font>
    <font>
      <b/>
      <sz val="11"/>
      <color theme="1"/>
      <name val="Calibri"/>
      <family val="2"/>
      <scheme val="minor"/>
    </font>
    <font>
      <b/>
      <sz val="20"/>
      <name val="Arial"/>
      <family val="2"/>
    </font>
    <font>
      <i/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sz val="16"/>
      <name val="Calibri"/>
      <family val="2"/>
    </font>
    <font>
      <sz val="10"/>
      <color rgb="FFFF0000"/>
      <name val="Calibri"/>
      <family val="2"/>
    </font>
    <font>
      <b/>
      <sz val="9"/>
      <color theme="0"/>
      <name val="Calibri"/>
      <family val="2"/>
    </font>
    <font>
      <b/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8"/>
      <name val="Arial"/>
      <family val="2"/>
    </font>
    <font>
      <sz val="6"/>
      <name val="Arial"/>
      <family val="2"/>
    </font>
    <font>
      <sz val="6"/>
      <name val="Calibri"/>
      <family val="2"/>
    </font>
    <font>
      <sz val="10"/>
      <color theme="1"/>
      <name val="Times New Roman"/>
      <family val="1"/>
    </font>
    <font>
      <sz val="10"/>
      <color rgb="FF000000"/>
      <name val="Calibri"/>
      <family val="2"/>
      <scheme val="minor"/>
    </font>
    <font>
      <u/>
      <sz val="10"/>
      <color rgb="FF000000"/>
      <name val="Calibri"/>
      <family val="2"/>
      <scheme val="minor"/>
    </font>
    <font>
      <u/>
      <sz val="10"/>
      <color theme="1"/>
      <name val="Times New Roman"/>
      <family val="1"/>
    </font>
    <font>
      <sz val="10"/>
      <color rgb="FFFF00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647C8D"/>
        <bgColor indexed="64"/>
      </patternFill>
    </fill>
    <fill>
      <patternFill patternType="solid">
        <fgColor rgb="FF516D81"/>
        <bgColor indexed="64"/>
      </patternFill>
    </fill>
    <fill>
      <patternFill patternType="solid">
        <fgColor rgb="FFFFE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2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ck">
        <color rgb="FFFFC000"/>
      </left>
      <right style="thin">
        <color rgb="FFFFC000"/>
      </right>
      <top style="thick">
        <color rgb="FFFFC000"/>
      </top>
      <bottom style="thin">
        <color rgb="FFFFC000"/>
      </bottom>
      <diagonal/>
    </border>
    <border>
      <left style="thick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ck">
        <color theme="4"/>
      </left>
      <right style="thin">
        <color theme="4"/>
      </right>
      <top style="thick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ck">
        <color theme="4"/>
      </top>
      <bottom style="thin">
        <color theme="4"/>
      </bottom>
      <diagonal/>
    </border>
    <border>
      <left style="thin">
        <color theme="4"/>
      </left>
      <right style="thick">
        <color theme="4"/>
      </right>
      <top style="thick">
        <color theme="4"/>
      </top>
      <bottom style="thin">
        <color theme="4"/>
      </bottom>
      <diagonal/>
    </border>
    <border>
      <left style="thick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ck">
        <color theme="4"/>
      </right>
      <top style="thin">
        <color theme="4"/>
      </top>
      <bottom style="thin">
        <color theme="4"/>
      </bottom>
      <diagonal/>
    </border>
    <border>
      <left style="thick">
        <color theme="4"/>
      </left>
      <right style="thin">
        <color theme="4"/>
      </right>
      <top style="thin">
        <color theme="4"/>
      </top>
      <bottom style="thick">
        <color theme="4"/>
      </bottom>
      <diagonal/>
    </border>
    <border>
      <left style="thick">
        <color theme="4"/>
      </left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/>
      <diagonal/>
    </border>
    <border>
      <left style="thick">
        <color rgb="FF00B050"/>
      </left>
      <right style="thin">
        <color rgb="FF00B050"/>
      </right>
      <top style="thick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ck">
        <color rgb="FF00B050"/>
      </top>
      <bottom style="thin">
        <color rgb="FF00B050"/>
      </bottom>
      <diagonal/>
    </border>
    <border>
      <left style="thin">
        <color rgb="FF00B050"/>
      </left>
      <right style="thick">
        <color rgb="FF00B050"/>
      </right>
      <top style="thick">
        <color rgb="FF00B050"/>
      </top>
      <bottom style="thin">
        <color rgb="FF00B050"/>
      </bottom>
      <diagonal/>
    </border>
    <border>
      <left style="thick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ck">
        <color rgb="FF00B050"/>
      </right>
      <top style="thin">
        <color rgb="FF00B050"/>
      </top>
      <bottom style="thin">
        <color rgb="FF00B050"/>
      </bottom>
      <diagonal/>
    </border>
    <border>
      <left style="thick">
        <color rgb="FF00B050"/>
      </left>
      <right/>
      <top style="thin">
        <color rgb="FF00B050"/>
      </top>
      <bottom style="thick">
        <color rgb="FF00B050"/>
      </bottom>
      <diagonal/>
    </border>
    <border>
      <left style="thick">
        <color rgb="FFFFC000"/>
      </left>
      <right style="thin">
        <color rgb="FFFFC000"/>
      </right>
      <top/>
      <bottom style="thin">
        <color rgb="FFFFC000"/>
      </bottom>
      <diagonal/>
    </border>
    <border>
      <left style="thick">
        <color rgb="FFFFC000"/>
      </left>
      <right style="thin">
        <color rgb="FFFFC000"/>
      </right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 style="thin">
        <color rgb="FFFFC000"/>
      </bottom>
      <diagonal/>
    </border>
    <border>
      <left/>
      <right style="thin">
        <color rgb="FFFFC000"/>
      </right>
      <top style="thin">
        <color rgb="FFFFC000"/>
      </top>
      <bottom style="thick">
        <color rgb="FFFFC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0.14996795556505021"/>
      </right>
      <top/>
      <bottom/>
      <diagonal/>
    </border>
    <border>
      <left style="medium">
        <color indexed="64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indexed="64"/>
      </bottom>
      <diagonal/>
    </border>
    <border>
      <left style="thin">
        <color rgb="FF00B050"/>
      </left>
      <right/>
      <top style="thin">
        <color rgb="FFFFC000"/>
      </top>
      <bottom style="thin">
        <color rgb="FFFFC000"/>
      </bottom>
      <diagonal/>
    </border>
    <border>
      <left style="thin">
        <color rgb="FFFFC000"/>
      </left>
      <right/>
      <top style="thin">
        <color rgb="FFFFC000"/>
      </top>
      <bottom style="thin">
        <color rgb="FFFFC000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n">
        <color theme="0" tint="-0.14996795556505021"/>
      </right>
      <top/>
      <bottom style="medium">
        <color indexed="64"/>
      </bottom>
      <diagonal/>
    </border>
  </borders>
  <cellStyleXfs count="7">
    <xf numFmtId="0" fontId="0" fillId="0" borderId="0"/>
    <xf numFmtId="0" fontId="5" fillId="0" borderId="0"/>
    <xf numFmtId="9" fontId="5" fillId="0" borderId="0" applyFont="0" applyFill="0" applyBorder="0" applyAlignment="0" applyProtection="0"/>
    <xf numFmtId="0" fontId="4" fillId="0" borderId="0"/>
    <xf numFmtId="0" fontId="5" fillId="0" borderId="0"/>
    <xf numFmtId="0" fontId="2" fillId="0" borderId="0"/>
    <xf numFmtId="0" fontId="1" fillId="0" borderId="0"/>
  </cellStyleXfs>
  <cellXfs count="2302">
    <xf numFmtId="0" fontId="0" fillId="0" borderId="0" xfId="0"/>
    <xf numFmtId="0" fontId="11" fillId="2" borderId="0" xfId="0" applyFont="1" applyFill="1"/>
    <xf numFmtId="2" fontId="11" fillId="2" borderId="0" xfId="0" applyNumberFormat="1" applyFont="1" applyFill="1"/>
    <xf numFmtId="0" fontId="11" fillId="2" borderId="0" xfId="0" applyFont="1" applyFill="1" applyAlignment="1">
      <alignment horizontal="center"/>
    </xf>
    <xf numFmtId="0" fontId="12" fillId="2" borderId="0" xfId="0" applyFont="1" applyFill="1"/>
    <xf numFmtId="0" fontId="12" fillId="2" borderId="0" xfId="0" applyFont="1" applyFill="1" applyAlignment="1">
      <alignment horizontal="center"/>
    </xf>
    <xf numFmtId="0" fontId="12" fillId="0" borderId="3" xfId="0" applyFont="1" applyBorder="1" applyAlignment="1">
      <alignment horizontal="center"/>
    </xf>
    <xf numFmtId="2" fontId="12" fillId="0" borderId="4" xfId="0" applyNumberFormat="1" applyFont="1" applyBorder="1" applyAlignment="1">
      <alignment horizontal="center"/>
    </xf>
    <xf numFmtId="0" fontId="12" fillId="0" borderId="2" xfId="0" applyFont="1" applyBorder="1"/>
    <xf numFmtId="0" fontId="11" fillId="0" borderId="0" xfId="0" applyFont="1"/>
    <xf numFmtId="0" fontId="11" fillId="0" borderId="2" xfId="0" applyFont="1" applyBorder="1"/>
    <xf numFmtId="2" fontId="11" fillId="0" borderId="5" xfId="0" applyNumberFormat="1" applyFont="1" applyBorder="1"/>
    <xf numFmtId="165" fontId="11" fillId="0" borderId="5" xfId="0" applyNumberFormat="1" applyFont="1" applyBorder="1"/>
    <xf numFmtId="0" fontId="11" fillId="2" borderId="0" xfId="0" applyFont="1" applyFill="1" applyAlignment="1">
      <alignment horizontal="left"/>
    </xf>
    <xf numFmtId="0" fontId="13" fillId="2" borderId="0" xfId="0" applyFont="1" applyFill="1"/>
    <xf numFmtId="165" fontId="11" fillId="2" borderId="0" xfId="0" applyNumberFormat="1" applyFont="1" applyFill="1"/>
    <xf numFmtId="0" fontId="12" fillId="0" borderId="6" xfId="0" applyFont="1" applyBorder="1"/>
    <xf numFmtId="0" fontId="11" fillId="0" borderId="7" xfId="0" applyFont="1" applyBorder="1"/>
    <xf numFmtId="0" fontId="11" fillId="0" borderId="6" xfId="0" applyFont="1" applyBorder="1"/>
    <xf numFmtId="165" fontId="11" fillId="0" borderId="8" xfId="0" applyNumberFormat="1" applyFont="1" applyBorder="1"/>
    <xf numFmtId="0" fontId="11" fillId="0" borderId="9" xfId="0" applyFont="1" applyBorder="1"/>
    <xf numFmtId="165" fontId="11" fillId="4" borderId="10" xfId="0" applyNumberFormat="1" applyFont="1" applyFill="1" applyBorder="1"/>
    <xf numFmtId="0" fontId="12" fillId="0" borderId="2" xfId="0" applyFont="1" applyBorder="1" applyAlignment="1">
      <alignment horizontal="left"/>
    </xf>
    <xf numFmtId="2" fontId="11" fillId="0" borderId="2" xfId="0" applyNumberFormat="1" applyFont="1" applyBorder="1"/>
    <xf numFmtId="0" fontId="11" fillId="0" borderId="0" xfId="0" applyFont="1" applyAlignment="1">
      <alignment horizontal="right" indent="1"/>
    </xf>
    <xf numFmtId="0" fontId="11" fillId="2" borderId="11" xfId="0" applyFont="1" applyFill="1" applyBorder="1"/>
    <xf numFmtId="0" fontId="12" fillId="2" borderId="11" xfId="0" applyFont="1" applyFill="1" applyBorder="1"/>
    <xf numFmtId="165" fontId="11" fillId="2" borderId="11" xfId="0" applyNumberFormat="1" applyFont="1" applyFill="1" applyBorder="1"/>
    <xf numFmtId="0" fontId="11" fillId="0" borderId="11" xfId="0" applyFont="1" applyBorder="1"/>
    <xf numFmtId="165" fontId="11" fillId="0" borderId="10" xfId="0" applyNumberFormat="1" applyFont="1" applyBorder="1"/>
    <xf numFmtId="0" fontId="12" fillId="0" borderId="0" xfId="0" applyFont="1"/>
    <xf numFmtId="0" fontId="11" fillId="0" borderId="3" xfId="0" applyFont="1" applyBorder="1"/>
    <xf numFmtId="0" fontId="12" fillId="0" borderId="12" xfId="0" applyFont="1" applyBorder="1"/>
    <xf numFmtId="2" fontId="11" fillId="0" borderId="8" xfId="0" applyNumberFormat="1" applyFont="1" applyBorder="1"/>
    <xf numFmtId="0" fontId="11" fillId="0" borderId="8" xfId="0" applyFont="1" applyBorder="1"/>
    <xf numFmtId="2" fontId="12" fillId="0" borderId="13" xfId="0" applyNumberFormat="1" applyFont="1" applyBorder="1" applyAlignment="1">
      <alignment horizontal="center"/>
    </xf>
    <xf numFmtId="2" fontId="12" fillId="0" borderId="12" xfId="0" applyNumberFormat="1" applyFont="1" applyBorder="1" applyAlignment="1">
      <alignment horizontal="center"/>
    </xf>
    <xf numFmtId="2" fontId="11" fillId="0" borderId="0" xfId="0" applyNumberFormat="1" applyFont="1"/>
    <xf numFmtId="165" fontId="11" fillId="0" borderId="1" xfId="0" applyNumberFormat="1" applyFont="1" applyBorder="1"/>
    <xf numFmtId="49" fontId="11" fillId="2" borderId="0" xfId="0" applyNumberFormat="1" applyFont="1" applyFill="1"/>
    <xf numFmtId="165" fontId="11" fillId="5" borderId="10" xfId="0" applyNumberFormat="1" applyFont="1" applyFill="1" applyBorder="1"/>
    <xf numFmtId="165" fontId="11" fillId="0" borderId="7" xfId="0" applyNumberFormat="1" applyFont="1" applyBorder="1"/>
    <xf numFmtId="0" fontId="11" fillId="0" borderId="12" xfId="0" applyFont="1" applyBorder="1"/>
    <xf numFmtId="165" fontId="11" fillId="0" borderId="4" xfId="0" applyNumberFormat="1" applyFont="1" applyBorder="1"/>
    <xf numFmtId="0" fontId="11" fillId="2" borderId="9" xfId="0" applyFont="1" applyFill="1" applyBorder="1"/>
    <xf numFmtId="0" fontId="11" fillId="0" borderId="0" xfId="0" applyFont="1" applyAlignment="1">
      <alignment horizontal="left"/>
    </xf>
    <xf numFmtId="0" fontId="11" fillId="0" borderId="5" xfId="0" applyFont="1" applyBorder="1"/>
    <xf numFmtId="165" fontId="11" fillId="6" borderId="10" xfId="0" applyNumberFormat="1" applyFont="1" applyFill="1" applyBorder="1"/>
    <xf numFmtId="165" fontId="11" fillId="5" borderId="8" xfId="0" applyNumberFormat="1" applyFont="1" applyFill="1" applyBorder="1"/>
    <xf numFmtId="0" fontId="11" fillId="0" borderId="4" xfId="0" applyFont="1" applyBorder="1"/>
    <xf numFmtId="165" fontId="11" fillId="2" borderId="4" xfId="0" applyNumberFormat="1" applyFont="1" applyFill="1" applyBorder="1"/>
    <xf numFmtId="2" fontId="12" fillId="2" borderId="0" xfId="0" applyNumberFormat="1" applyFont="1" applyFill="1" applyAlignment="1">
      <alignment horizontal="center"/>
    </xf>
    <xf numFmtId="0" fontId="11" fillId="0" borderId="5" xfId="0" applyFont="1" applyBorder="1" applyAlignment="1">
      <alignment horizontal="right" indent="1"/>
    </xf>
    <xf numFmtId="0" fontId="11" fillId="0" borderId="18" xfId="0" applyFont="1" applyBorder="1"/>
    <xf numFmtId="0" fontId="11" fillId="0" borderId="4" xfId="0" applyFont="1" applyBorder="1" applyAlignment="1">
      <alignment horizontal="right" indent="1"/>
    </xf>
    <xf numFmtId="165" fontId="11" fillId="0" borderId="18" xfId="0" applyNumberFormat="1" applyFont="1" applyBorder="1"/>
    <xf numFmtId="165" fontId="12" fillId="0" borderId="1" xfId="0" applyNumberFormat="1" applyFont="1" applyBorder="1"/>
    <xf numFmtId="165" fontId="12" fillId="0" borderId="5" xfId="0" applyNumberFormat="1" applyFont="1" applyBorder="1"/>
    <xf numFmtId="165" fontId="11" fillId="0" borderId="13" xfId="0" applyNumberFormat="1" applyFont="1" applyBorder="1"/>
    <xf numFmtId="2" fontId="11" fillId="0" borderId="18" xfId="0" applyNumberFormat="1" applyFont="1" applyBorder="1"/>
    <xf numFmtId="2" fontId="11" fillId="0" borderId="7" xfId="0" applyNumberFormat="1" applyFont="1" applyBorder="1"/>
    <xf numFmtId="0" fontId="11" fillId="0" borderId="2" xfId="0" applyFont="1" applyBorder="1" applyAlignment="1">
      <alignment horizontal="right"/>
    </xf>
    <xf numFmtId="0" fontId="0" fillId="2" borderId="0" xfId="0" applyFill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7" fillId="2" borderId="0" xfId="0" applyFont="1" applyFill="1" applyProtection="1">
      <protection locked="0"/>
    </xf>
    <xf numFmtId="0" fontId="16" fillId="2" borderId="0" xfId="0" applyFont="1" applyFill="1" applyProtection="1">
      <protection locked="0"/>
    </xf>
    <xf numFmtId="0" fontId="17" fillId="2" borderId="0" xfId="0" applyFont="1" applyFill="1" applyProtection="1">
      <protection locked="0"/>
    </xf>
    <xf numFmtId="0" fontId="8" fillId="2" borderId="0" xfId="0" applyFont="1" applyFill="1" applyAlignment="1" applyProtection="1">
      <alignment vertical="center"/>
      <protection locked="0"/>
    </xf>
    <xf numFmtId="0" fontId="9" fillId="2" borderId="0" xfId="0" applyFont="1" applyFill="1" applyAlignment="1" applyProtection="1">
      <alignment vertical="center"/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0" fontId="18" fillId="2" borderId="0" xfId="0" applyFont="1" applyFill="1" applyAlignment="1" applyProtection="1">
      <alignment horizontal="center" vertical="center"/>
      <protection locked="0"/>
    </xf>
    <xf numFmtId="0" fontId="11" fillId="2" borderId="19" xfId="0" applyFont="1" applyFill="1" applyBorder="1" applyAlignment="1" applyProtection="1">
      <alignment horizontal="left" vertical="center"/>
      <protection locked="0"/>
    </xf>
    <xf numFmtId="0" fontId="11" fillId="2" borderId="20" xfId="0" applyFont="1" applyFill="1" applyBorder="1" applyAlignment="1" applyProtection="1">
      <alignment horizontal="left" vertical="center"/>
      <protection locked="0"/>
    </xf>
    <xf numFmtId="0" fontId="12" fillId="2" borderId="21" xfId="0" applyFont="1" applyFill="1" applyBorder="1" applyAlignment="1" applyProtection="1">
      <alignment horizontal="right" vertical="center" indent="1"/>
      <protection locked="0"/>
    </xf>
    <xf numFmtId="0" fontId="11" fillId="2" borderId="6" xfId="0" applyFont="1" applyFill="1" applyBorder="1" applyProtection="1">
      <protection locked="0"/>
    </xf>
    <xf numFmtId="0" fontId="11" fillId="2" borderId="22" xfId="0" applyFont="1" applyFill="1" applyBorder="1" applyAlignment="1" applyProtection="1">
      <alignment horizontal="left" vertical="center"/>
      <protection locked="0"/>
    </xf>
    <xf numFmtId="0" fontId="11" fillId="2" borderId="2" xfId="0" applyFont="1" applyFill="1" applyBorder="1" applyProtection="1">
      <protection locked="0"/>
    </xf>
    <xf numFmtId="0" fontId="11" fillId="2" borderId="3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1" fillId="2" borderId="0" xfId="0" applyFont="1" applyFill="1" applyProtection="1">
      <protection locked="0"/>
    </xf>
    <xf numFmtId="9" fontId="19" fillId="2" borderId="0" xfId="0" applyNumberFormat="1" applyFont="1" applyFill="1" applyAlignment="1" applyProtection="1">
      <alignment vertical="center"/>
      <protection locked="0"/>
    </xf>
    <xf numFmtId="0" fontId="12" fillId="2" borderId="23" xfId="0" applyFont="1" applyFill="1" applyBorder="1" applyAlignment="1" applyProtection="1">
      <alignment vertical="center"/>
      <protection locked="0"/>
    </xf>
    <xf numFmtId="0" fontId="12" fillId="2" borderId="24" xfId="0" applyFont="1" applyFill="1" applyBorder="1" applyAlignment="1" applyProtection="1">
      <alignment vertical="center"/>
      <protection locked="0"/>
    </xf>
    <xf numFmtId="0" fontId="12" fillId="2" borderId="25" xfId="0" applyFont="1" applyFill="1" applyBorder="1" applyAlignment="1" applyProtection="1">
      <alignment vertical="center"/>
      <protection locked="0"/>
    </xf>
    <xf numFmtId="0" fontId="12" fillId="0" borderId="4" xfId="0" applyFont="1" applyBorder="1" applyAlignment="1">
      <alignment horizontal="center"/>
    </xf>
    <xf numFmtId="0" fontId="12" fillId="0" borderId="0" xfId="0" applyFont="1" applyAlignment="1">
      <alignment wrapText="1"/>
    </xf>
    <xf numFmtId="0" fontId="11" fillId="0" borderId="7" xfId="0" applyFont="1" applyBorder="1" applyAlignment="1">
      <alignment horizontal="right" indent="1"/>
    </xf>
    <xf numFmtId="165" fontId="12" fillId="2" borderId="26" xfId="0" applyNumberFormat="1" applyFont="1" applyFill="1" applyBorder="1" applyAlignment="1" applyProtection="1">
      <alignment horizontal="right" vertical="center" indent="1"/>
      <protection locked="0"/>
    </xf>
    <xf numFmtId="165" fontId="12" fillId="2" borderId="27" xfId="0" applyNumberFormat="1" applyFont="1" applyFill="1" applyBorder="1" applyAlignment="1" applyProtection="1">
      <alignment horizontal="right" vertical="center" indent="1"/>
      <protection locked="0"/>
    </xf>
    <xf numFmtId="165" fontId="12" fillId="2" borderId="28" xfId="0" applyNumberFormat="1" applyFont="1" applyFill="1" applyBorder="1" applyAlignment="1" applyProtection="1">
      <alignment horizontal="right" vertical="center" indent="1"/>
      <protection locked="0"/>
    </xf>
    <xf numFmtId="165" fontId="12" fillId="2" borderId="29" xfId="0" applyNumberFormat="1" applyFont="1" applyFill="1" applyBorder="1" applyAlignment="1" applyProtection="1">
      <alignment horizontal="right" vertical="center" indent="1"/>
      <protection locked="0"/>
    </xf>
    <xf numFmtId="0" fontId="23" fillId="0" borderId="1" xfId="0" applyFont="1" applyBorder="1"/>
    <xf numFmtId="0" fontId="23" fillId="0" borderId="13" xfId="0" applyFont="1" applyBorder="1"/>
    <xf numFmtId="0" fontId="0" fillId="2" borderId="12" xfId="0" applyFill="1" applyBorder="1" applyAlignment="1" applyProtection="1">
      <alignment horizontal="center"/>
      <protection locked="0"/>
    </xf>
    <xf numFmtId="0" fontId="11" fillId="2" borderId="0" xfId="1" applyFont="1" applyFill="1"/>
    <xf numFmtId="0" fontId="13" fillId="2" borderId="9" xfId="1" applyFont="1" applyFill="1" applyBorder="1"/>
    <xf numFmtId="0" fontId="11" fillId="2" borderId="11" xfId="1" applyFont="1" applyFill="1" applyBorder="1"/>
    <xf numFmtId="0" fontId="11" fillId="2" borderId="2" xfId="1" applyFont="1" applyFill="1" applyBorder="1"/>
    <xf numFmtId="0" fontId="11" fillId="2" borderId="3" xfId="1" applyFont="1" applyFill="1" applyBorder="1"/>
    <xf numFmtId="0" fontId="13" fillId="2" borderId="0" xfId="1" applyFont="1" applyFill="1" applyAlignment="1" applyProtection="1">
      <alignment horizontal="center"/>
      <protection locked="0"/>
    </xf>
    <xf numFmtId="0" fontId="13" fillId="2" borderId="11" xfId="1" applyFont="1" applyFill="1" applyBorder="1" applyAlignment="1" applyProtection="1">
      <alignment horizontal="center"/>
      <protection locked="0"/>
    </xf>
    <xf numFmtId="0" fontId="11" fillId="2" borderId="10" xfId="1" applyFont="1" applyFill="1" applyBorder="1"/>
    <xf numFmtId="0" fontId="11" fillId="2" borderId="0" xfId="1" applyFont="1" applyFill="1" applyProtection="1">
      <protection locked="0"/>
    </xf>
    <xf numFmtId="0" fontId="11" fillId="0" borderId="0" xfId="1" applyFont="1"/>
    <xf numFmtId="0" fontId="11" fillId="0" borderId="5" xfId="1" applyFont="1" applyBorder="1"/>
    <xf numFmtId="0" fontId="11" fillId="0" borderId="2" xfId="1" applyFont="1" applyBorder="1"/>
    <xf numFmtId="0" fontId="11" fillId="0" borderId="12" xfId="1" applyFont="1" applyBorder="1"/>
    <xf numFmtId="0" fontId="11" fillId="0" borderId="4" xfId="1" applyFont="1" applyBorder="1"/>
    <xf numFmtId="0" fontId="11" fillId="2" borderId="0" xfId="1" applyFont="1" applyFill="1" applyAlignment="1">
      <alignment horizontal="center"/>
    </xf>
    <xf numFmtId="165" fontId="12" fillId="0" borderId="26" xfId="0" applyNumberFormat="1" applyFont="1" applyBorder="1" applyAlignment="1" applyProtection="1">
      <alignment horizontal="right" vertical="center" indent="1"/>
      <protection locked="0"/>
    </xf>
    <xf numFmtId="165" fontId="12" fillId="2" borderId="21" xfId="0" applyNumberFormat="1" applyFont="1" applyFill="1" applyBorder="1" applyAlignment="1" applyProtection="1">
      <alignment horizontal="right" vertical="center" indent="1"/>
      <protection locked="0"/>
    </xf>
    <xf numFmtId="2" fontId="11" fillId="2" borderId="0" xfId="1" applyNumberFormat="1" applyFont="1" applyFill="1"/>
    <xf numFmtId="0" fontId="12" fillId="2" borderId="0" xfId="1" applyFont="1" applyFill="1"/>
    <xf numFmtId="0" fontId="15" fillId="0" borderId="31" xfId="1" applyFont="1" applyBorder="1"/>
    <xf numFmtId="0" fontId="31" fillId="0" borderId="32" xfId="1" applyFont="1" applyBorder="1"/>
    <xf numFmtId="0" fontId="15" fillId="0" borderId="1" xfId="1" applyFont="1" applyBorder="1"/>
    <xf numFmtId="0" fontId="15" fillId="0" borderId="13" xfId="1" applyFont="1" applyBorder="1"/>
    <xf numFmtId="0" fontId="31" fillId="0" borderId="12" xfId="1" applyFont="1" applyBorder="1"/>
    <xf numFmtId="0" fontId="11" fillId="0" borderId="33" xfId="1" applyFont="1" applyBorder="1"/>
    <xf numFmtId="0" fontId="11" fillId="0" borderId="34" xfId="1" applyFont="1" applyBorder="1"/>
    <xf numFmtId="0" fontId="22" fillId="0" borderId="35" xfId="1" applyFont="1" applyBorder="1"/>
    <xf numFmtId="165" fontId="11" fillId="2" borderId="0" xfId="1" applyNumberFormat="1" applyFont="1" applyFill="1"/>
    <xf numFmtId="165" fontId="11" fillId="0" borderId="0" xfId="1" applyNumberFormat="1" applyFont="1"/>
    <xf numFmtId="0" fontId="35" fillId="9" borderId="0" xfId="1" applyFont="1" applyFill="1"/>
    <xf numFmtId="0" fontId="36" fillId="9" borderId="0" xfId="1" applyFont="1" applyFill="1"/>
    <xf numFmtId="0" fontId="36" fillId="9" borderId="0" xfId="1" applyFont="1" applyFill="1" applyAlignment="1">
      <alignment horizontal="center"/>
    </xf>
    <xf numFmtId="0" fontId="37" fillId="9" borderId="0" xfId="1" applyFont="1" applyFill="1"/>
    <xf numFmtId="0" fontId="37" fillId="0" borderId="2" xfId="1" applyFont="1" applyBorder="1"/>
    <xf numFmtId="0" fontId="36" fillId="0" borderId="0" xfId="1" applyFont="1" applyAlignment="1">
      <alignment horizontal="right" indent="1"/>
    </xf>
    <xf numFmtId="0" fontId="37" fillId="0" borderId="6" xfId="1" applyFont="1" applyBorder="1"/>
    <xf numFmtId="0" fontId="36" fillId="0" borderId="7" xfId="1" applyFont="1" applyBorder="1" applyAlignment="1">
      <alignment horizontal="right" indent="1"/>
    </xf>
    <xf numFmtId="0" fontId="36" fillId="0" borderId="0" xfId="1" applyFont="1" applyAlignment="1">
      <alignment horizontal="left"/>
    </xf>
    <xf numFmtId="0" fontId="36" fillId="0" borderId="2" xfId="1" applyFont="1" applyBorder="1"/>
    <xf numFmtId="0" fontId="37" fillId="0" borderId="0" xfId="1" applyFont="1" applyAlignment="1">
      <alignment wrapText="1"/>
    </xf>
    <xf numFmtId="0" fontId="36" fillId="0" borderId="3" xfId="1" applyFont="1" applyBorder="1"/>
    <xf numFmtId="0" fontId="37" fillId="0" borderId="12" xfId="1" applyFont="1" applyBorder="1"/>
    <xf numFmtId="0" fontId="37" fillId="0" borderId="0" xfId="1" applyFont="1"/>
    <xf numFmtId="165" fontId="36" fillId="0" borderId="1" xfId="1" applyNumberFormat="1" applyFont="1" applyBorder="1" applyAlignment="1">
      <alignment horizontal="center"/>
    </xf>
    <xf numFmtId="49" fontId="11" fillId="0" borderId="7" xfId="0" applyNumberFormat="1" applyFont="1" applyBorder="1" applyAlignment="1">
      <alignment horizontal="center"/>
    </xf>
    <xf numFmtId="49" fontId="11" fillId="0" borderId="8" xfId="0" applyNumberFormat="1" applyFont="1" applyBorder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165" fontId="32" fillId="0" borderId="3" xfId="0" applyNumberFormat="1" applyFont="1" applyBorder="1" applyAlignment="1">
      <alignment horizontal="center"/>
    </xf>
    <xf numFmtId="165" fontId="32" fillId="0" borderId="12" xfId="0" applyNumberFormat="1" applyFont="1" applyBorder="1" applyAlignment="1">
      <alignment horizontal="center"/>
    </xf>
    <xf numFmtId="165" fontId="32" fillId="0" borderId="4" xfId="0" applyNumberFormat="1" applyFont="1" applyBorder="1" applyAlignment="1">
      <alignment horizontal="center"/>
    </xf>
    <xf numFmtId="0" fontId="11" fillId="9" borderId="0" xfId="1" applyFont="1" applyFill="1"/>
    <xf numFmtId="0" fontId="11" fillId="2" borderId="7" xfId="0" applyFont="1" applyFill="1" applyBorder="1"/>
    <xf numFmtId="165" fontId="11" fillId="2" borderId="7" xfId="0" applyNumberFormat="1" applyFont="1" applyFill="1" applyBorder="1"/>
    <xf numFmtId="167" fontId="36" fillId="0" borderId="0" xfId="1" applyNumberFormat="1" applyFont="1" applyAlignment="1">
      <alignment horizontal="right" indent="1"/>
    </xf>
    <xf numFmtId="0" fontId="11" fillId="0" borderId="0" xfId="1" applyFont="1" applyAlignment="1">
      <alignment horizontal="left"/>
    </xf>
    <xf numFmtId="0" fontId="20" fillId="7" borderId="9" xfId="1" applyFont="1" applyFill="1" applyBorder="1" applyAlignment="1">
      <alignment horizontal="left"/>
    </xf>
    <xf numFmtId="0" fontId="20" fillId="7" borderId="10" xfId="1" applyFont="1" applyFill="1" applyBorder="1" applyAlignment="1">
      <alignment horizontal="left"/>
    </xf>
    <xf numFmtId="0" fontId="12" fillId="0" borderId="2" xfId="1" applyFont="1" applyBorder="1"/>
    <xf numFmtId="2" fontId="11" fillId="0" borderId="1" xfId="1" applyNumberFormat="1" applyFont="1" applyBorder="1"/>
    <xf numFmtId="2" fontId="11" fillId="0" borderId="0" xfId="1" applyNumberFormat="1" applyFont="1"/>
    <xf numFmtId="2" fontId="11" fillId="0" borderId="5" xfId="1" applyNumberFormat="1" applyFont="1" applyBorder="1"/>
    <xf numFmtId="0" fontId="0" fillId="9" borderId="0" xfId="0" applyFill="1"/>
    <xf numFmtId="2" fontId="11" fillId="0" borderId="14" xfId="1" applyNumberFormat="1" applyFont="1" applyBorder="1"/>
    <xf numFmtId="165" fontId="11" fillId="0" borderId="1" xfId="1" applyNumberFormat="1" applyFont="1" applyBorder="1"/>
    <xf numFmtId="165" fontId="11" fillId="0" borderId="5" xfId="1" applyNumberFormat="1" applyFont="1" applyBorder="1"/>
    <xf numFmtId="0" fontId="12" fillId="0" borderId="0" xfId="1" applyFont="1"/>
    <xf numFmtId="2" fontId="11" fillId="0" borderId="2" xfId="1" applyNumberFormat="1" applyFont="1" applyBorder="1"/>
    <xf numFmtId="0" fontId="11" fillId="0" borderId="9" xfId="1" applyFont="1" applyBorder="1"/>
    <xf numFmtId="0" fontId="11" fillId="0" borderId="15" xfId="1" applyFont="1" applyBorder="1"/>
    <xf numFmtId="0" fontId="12" fillId="0" borderId="6" xfId="1" applyFont="1" applyBorder="1"/>
    <xf numFmtId="0" fontId="11" fillId="0" borderId="8" xfId="1" applyFont="1" applyBorder="1"/>
    <xf numFmtId="0" fontId="11" fillId="0" borderId="6" xfId="1" applyFont="1" applyBorder="1"/>
    <xf numFmtId="165" fontId="11" fillId="0" borderId="7" xfId="1" applyNumberFormat="1" applyFont="1" applyBorder="1"/>
    <xf numFmtId="0" fontId="11" fillId="0" borderId="16" xfId="1" applyFont="1" applyBorder="1"/>
    <xf numFmtId="165" fontId="11" fillId="0" borderId="8" xfId="1" applyNumberFormat="1" applyFont="1" applyBorder="1"/>
    <xf numFmtId="0" fontId="11" fillId="0" borderId="3" xfId="1" applyFont="1" applyBorder="1"/>
    <xf numFmtId="165" fontId="11" fillId="0" borderId="12" xfId="1" applyNumberFormat="1" applyFont="1" applyBorder="1"/>
    <xf numFmtId="165" fontId="11" fillId="0" borderId="4" xfId="1" applyNumberFormat="1" applyFont="1" applyBorder="1"/>
    <xf numFmtId="0" fontId="11" fillId="0" borderId="7" xfId="1" applyFont="1" applyBorder="1"/>
    <xf numFmtId="165" fontId="11" fillId="0" borderId="10" xfId="1" applyNumberFormat="1" applyFont="1" applyBorder="1"/>
    <xf numFmtId="165" fontId="11" fillId="0" borderId="11" xfId="1" applyNumberFormat="1" applyFont="1" applyBorder="1"/>
    <xf numFmtId="0" fontId="14" fillId="2" borderId="12" xfId="1" applyFont="1" applyFill="1" applyBorder="1"/>
    <xf numFmtId="0" fontId="12" fillId="2" borderId="11" xfId="1" applyFont="1" applyFill="1" applyBorder="1"/>
    <xf numFmtId="165" fontId="11" fillId="2" borderId="11" xfId="1" applyNumberFormat="1" applyFont="1" applyFill="1" applyBorder="1"/>
    <xf numFmtId="0" fontId="12" fillId="0" borderId="12" xfId="1" applyFont="1" applyBorder="1"/>
    <xf numFmtId="165" fontId="12" fillId="2" borderId="27" xfId="0" applyNumberFormat="1" applyFont="1" applyFill="1" applyBorder="1" applyAlignment="1">
      <alignment horizontal="right" vertical="center" indent="1"/>
    </xf>
    <xf numFmtId="0" fontId="11" fillId="0" borderId="14" xfId="1" applyFont="1" applyBorder="1"/>
    <xf numFmtId="2" fontId="11" fillId="0" borderId="6" xfId="0" applyNumberFormat="1" applyFont="1" applyBorder="1"/>
    <xf numFmtId="0" fontId="12" fillId="0" borderId="2" xfId="0" applyFont="1" applyBorder="1" applyAlignment="1">
      <alignment horizontal="right"/>
    </xf>
    <xf numFmtId="2" fontId="11" fillId="0" borderId="5" xfId="0" applyNumberFormat="1" applyFont="1" applyBorder="1" applyAlignment="1">
      <alignment horizontal="right" indent="1"/>
    </xf>
    <xf numFmtId="2" fontId="11" fillId="0" borderId="4" xfId="0" applyNumberFormat="1" applyFont="1" applyBorder="1"/>
    <xf numFmtId="2" fontId="11" fillId="0" borderId="8" xfId="0" applyNumberFormat="1" applyFont="1" applyBorder="1" applyAlignment="1">
      <alignment horizontal="right" indent="1"/>
    </xf>
    <xf numFmtId="0" fontId="12" fillId="0" borderId="3" xfId="0" applyFont="1" applyBorder="1" applyAlignment="1">
      <alignment horizontal="right"/>
    </xf>
    <xf numFmtId="0" fontId="11" fillId="0" borderId="6" xfId="0" applyFont="1" applyBorder="1" applyAlignment="1">
      <alignment horizontal="right"/>
    </xf>
    <xf numFmtId="2" fontId="12" fillId="0" borderId="6" xfId="0" applyNumberFormat="1" applyFont="1" applyBorder="1" applyAlignment="1">
      <alignment horizontal="left"/>
    </xf>
    <xf numFmtId="2" fontId="11" fillId="0" borderId="3" xfId="0" applyNumberFormat="1" applyFont="1" applyBorder="1" applyAlignment="1">
      <alignment horizontal="right" indent="1"/>
    </xf>
    <xf numFmtId="2" fontId="11" fillId="0" borderId="4" xfId="0" applyNumberFormat="1" applyFont="1" applyBorder="1" applyAlignment="1">
      <alignment horizontal="right" indent="1"/>
    </xf>
    <xf numFmtId="0" fontId="26" fillId="2" borderId="9" xfId="0" applyFont="1" applyFill="1" applyBorder="1"/>
    <xf numFmtId="0" fontId="26" fillId="2" borderId="11" xfId="0" applyFont="1" applyFill="1" applyBorder="1"/>
    <xf numFmtId="0" fontId="26" fillId="2" borderId="10" xfId="0" applyFont="1" applyFill="1" applyBorder="1"/>
    <xf numFmtId="0" fontId="11" fillId="0" borderId="7" xfId="0" applyFont="1" applyBorder="1" applyAlignment="1">
      <alignment horizontal="right"/>
    </xf>
    <xf numFmtId="2" fontId="11" fillId="0" borderId="13" xfId="0" applyNumberFormat="1" applyFont="1" applyBorder="1"/>
    <xf numFmtId="0" fontId="11" fillId="2" borderId="5" xfId="1" applyFont="1" applyFill="1" applyBorder="1"/>
    <xf numFmtId="49" fontId="11" fillId="3" borderId="34" xfId="1" applyNumberFormat="1" applyFont="1" applyFill="1" applyBorder="1" applyAlignment="1">
      <alignment horizontal="center"/>
    </xf>
    <xf numFmtId="0" fontId="34" fillId="0" borderId="36" xfId="1" applyFont="1" applyBorder="1" applyAlignment="1">
      <alignment horizontal="center"/>
    </xf>
    <xf numFmtId="0" fontId="11" fillId="0" borderId="37" xfId="1" applyFont="1" applyBorder="1"/>
    <xf numFmtId="0" fontId="18" fillId="7" borderId="11" xfId="1" applyFont="1" applyFill="1" applyBorder="1" applyAlignment="1" applyProtection="1">
      <alignment vertical="center"/>
      <protection locked="0"/>
    </xf>
    <xf numFmtId="0" fontId="18" fillId="7" borderId="10" xfId="1" applyFont="1" applyFill="1" applyBorder="1" applyAlignment="1" applyProtection="1">
      <alignment horizontal="center" vertical="center"/>
      <protection locked="0"/>
    </xf>
    <xf numFmtId="0" fontId="18" fillId="7" borderId="35" xfId="1" applyFont="1" applyFill="1" applyBorder="1" applyAlignment="1" applyProtection="1">
      <alignment horizontal="center" vertical="center"/>
      <protection locked="0"/>
    </xf>
    <xf numFmtId="49" fontId="11" fillId="3" borderId="36" xfId="1" applyNumberFormat="1" applyFont="1" applyFill="1" applyBorder="1" applyAlignment="1">
      <alignment horizontal="center"/>
    </xf>
    <xf numFmtId="0" fontId="5" fillId="0" borderId="37" xfId="1" applyBorder="1"/>
    <xf numFmtId="0" fontId="11" fillId="0" borderId="34" xfId="1" applyFont="1" applyBorder="1" applyAlignment="1">
      <alignment horizontal="center"/>
    </xf>
    <xf numFmtId="0" fontId="5" fillId="0" borderId="8" xfId="1" applyBorder="1"/>
    <xf numFmtId="49" fontId="11" fillId="3" borderId="5" xfId="1" applyNumberFormat="1" applyFont="1" applyFill="1" applyBorder="1" applyAlignment="1">
      <alignment horizontal="center"/>
    </xf>
    <xf numFmtId="49" fontId="11" fillId="3" borderId="38" xfId="1" applyNumberFormat="1" applyFont="1" applyFill="1" applyBorder="1" applyAlignment="1">
      <alignment horizontal="center"/>
    </xf>
    <xf numFmtId="0" fontId="0" fillId="2" borderId="2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11" fillId="2" borderId="39" xfId="0" applyFont="1" applyFill="1" applyBorder="1" applyAlignment="1" applyProtection="1">
      <alignment horizontal="left" vertical="center"/>
      <protection locked="0"/>
    </xf>
    <xf numFmtId="0" fontId="11" fillId="2" borderId="40" xfId="0" applyFont="1" applyFill="1" applyBorder="1" applyAlignment="1" applyProtection="1">
      <alignment horizontal="left" vertical="center"/>
      <protection locked="0"/>
    </xf>
    <xf numFmtId="0" fontId="11" fillId="2" borderId="41" xfId="0" applyFont="1" applyFill="1" applyBorder="1" applyAlignment="1" applyProtection="1">
      <alignment horizontal="left" vertical="center"/>
      <protection locked="0"/>
    </xf>
    <xf numFmtId="0" fontId="0" fillId="2" borderId="20" xfId="0" applyFill="1" applyBorder="1" applyProtection="1">
      <protection locked="0"/>
    </xf>
    <xf numFmtId="0" fontId="0" fillId="2" borderId="42" xfId="0" applyFill="1" applyBorder="1" applyProtection="1">
      <protection locked="0"/>
    </xf>
    <xf numFmtId="0" fontId="11" fillId="9" borderId="0" xfId="0" applyFont="1" applyFill="1"/>
    <xf numFmtId="0" fontId="12" fillId="9" borderId="0" xfId="0" applyFont="1" applyFill="1"/>
    <xf numFmtId="0" fontId="11" fillId="9" borderId="0" xfId="0" applyFont="1" applyFill="1" applyAlignment="1">
      <alignment horizontal="center"/>
    </xf>
    <xf numFmtId="0" fontId="11" fillId="2" borderId="0" xfId="0" applyFont="1" applyFill="1" applyAlignment="1" applyProtection="1">
      <alignment vertical="center" textRotation="90"/>
      <protection locked="0"/>
    </xf>
    <xf numFmtId="0" fontId="39" fillId="2" borderId="0" xfId="0" applyFont="1" applyFill="1" applyAlignment="1" applyProtection="1">
      <alignment vertical="center" textRotation="90"/>
      <protection locked="0"/>
    </xf>
    <xf numFmtId="0" fontId="12" fillId="0" borderId="3" xfId="0" applyFont="1" applyBorder="1"/>
    <xf numFmtId="0" fontId="11" fillId="0" borderId="5" xfId="0" applyFont="1" applyBorder="1" applyAlignment="1">
      <alignment horizontal="left"/>
    </xf>
    <xf numFmtId="0" fontId="36" fillId="0" borderId="0" xfId="1" applyFont="1" applyAlignment="1">
      <alignment wrapText="1"/>
    </xf>
    <xf numFmtId="0" fontId="36" fillId="0" borderId="0" xfId="1" applyFont="1" applyAlignment="1">
      <alignment horizontal="right" wrapText="1" indent="1"/>
    </xf>
    <xf numFmtId="0" fontId="34" fillId="2" borderId="0" xfId="1" applyFont="1" applyFill="1"/>
    <xf numFmtId="2" fontId="12" fillId="0" borderId="18" xfId="0" applyNumberFormat="1" applyFont="1" applyBorder="1" applyAlignment="1">
      <alignment horizontal="center"/>
    </xf>
    <xf numFmtId="2" fontId="12" fillId="0" borderId="7" xfId="0" applyNumberFormat="1" applyFont="1" applyBorder="1" applyAlignment="1">
      <alignment horizontal="center"/>
    </xf>
    <xf numFmtId="2" fontId="12" fillId="0" borderId="8" xfId="0" applyNumberFormat="1" applyFont="1" applyBorder="1" applyAlignment="1">
      <alignment horizontal="center"/>
    </xf>
    <xf numFmtId="49" fontId="11" fillId="3" borderId="5" xfId="1" applyNumberFormat="1" applyFont="1" applyFill="1" applyBorder="1"/>
    <xf numFmtId="49" fontId="11" fillId="3" borderId="4" xfId="1" applyNumberFormat="1" applyFont="1" applyFill="1" applyBorder="1"/>
    <xf numFmtId="49" fontId="11" fillId="0" borderId="36" xfId="1" applyNumberFormat="1" applyFont="1" applyBorder="1" applyAlignment="1">
      <alignment horizontal="center"/>
    </xf>
    <xf numFmtId="49" fontId="11" fillId="0" borderId="4" xfId="1" applyNumberFormat="1" applyFont="1" applyBorder="1" applyAlignment="1">
      <alignment horizontal="center"/>
    </xf>
    <xf numFmtId="49" fontId="11" fillId="0" borderId="5" xfId="0" applyNumberFormat="1" applyFont="1" applyBorder="1" applyAlignment="1">
      <alignment horizontal="center"/>
    </xf>
    <xf numFmtId="49" fontId="11" fillId="2" borderId="0" xfId="1" applyNumberFormat="1" applyFont="1" applyFill="1"/>
    <xf numFmtId="49" fontId="11" fillId="0" borderId="0" xfId="0" applyNumberFormat="1" applyFont="1" applyAlignment="1">
      <alignment horizontal="center"/>
    </xf>
    <xf numFmtId="49" fontId="11" fillId="0" borderId="12" xfId="0" applyNumberFormat="1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26" fillId="2" borderId="0" xfId="0" applyFont="1" applyFill="1" applyAlignment="1">
      <alignment horizontal="left"/>
    </xf>
    <xf numFmtId="165" fontId="11" fillId="0" borderId="18" xfId="1" applyNumberFormat="1" applyFont="1" applyBorder="1"/>
    <xf numFmtId="165" fontId="11" fillId="0" borderId="13" xfId="1" applyNumberFormat="1" applyFont="1" applyBorder="1"/>
    <xf numFmtId="165" fontId="11" fillId="4" borderId="30" xfId="1" applyNumberFormat="1" applyFont="1" applyFill="1" applyBorder="1"/>
    <xf numFmtId="165" fontId="11" fillId="0" borderId="30" xfId="1" applyNumberFormat="1" applyFont="1" applyBorder="1"/>
    <xf numFmtId="165" fontId="11" fillId="2" borderId="1" xfId="1" applyNumberFormat="1" applyFont="1" applyFill="1" applyBorder="1"/>
    <xf numFmtId="0" fontId="11" fillId="0" borderId="11" xfId="1" applyFont="1" applyBorder="1"/>
    <xf numFmtId="165" fontId="11" fillId="0" borderId="2" xfId="1" applyNumberFormat="1" applyFont="1" applyBorder="1"/>
    <xf numFmtId="49" fontId="34" fillId="2" borderId="0" xfId="0" applyNumberFormat="1" applyFont="1" applyFill="1"/>
    <xf numFmtId="49" fontId="34" fillId="0" borderId="9" xfId="0" applyNumberFormat="1" applyFont="1" applyBorder="1" applyAlignment="1">
      <alignment horizontal="center"/>
    </xf>
    <xf numFmtId="49" fontId="34" fillId="0" borderId="11" xfId="0" applyNumberFormat="1" applyFont="1" applyBorder="1" applyAlignment="1">
      <alignment horizontal="center"/>
    </xf>
    <xf numFmtId="2" fontId="34" fillId="2" borderId="0" xfId="0" applyNumberFormat="1" applyFont="1" applyFill="1"/>
    <xf numFmtId="0" fontId="34" fillId="2" borderId="0" xfId="0" applyFont="1" applyFill="1"/>
    <xf numFmtId="165" fontId="11" fillId="2" borderId="30" xfId="1" applyNumberFormat="1" applyFont="1" applyFill="1" applyBorder="1"/>
    <xf numFmtId="0" fontId="0" fillId="9" borderId="0" xfId="0" applyFill="1" applyProtection="1">
      <protection locked="0"/>
    </xf>
    <xf numFmtId="0" fontId="11" fillId="0" borderId="0" xfId="1" applyFont="1" applyAlignment="1">
      <alignment horizontal="right" indent="1"/>
    </xf>
    <xf numFmtId="0" fontId="31" fillId="0" borderId="7" xfId="1" applyFont="1" applyBorder="1" applyAlignment="1">
      <alignment horizontal="center"/>
    </xf>
    <xf numFmtId="0" fontId="31" fillId="0" borderId="8" xfId="1" applyFont="1" applyBorder="1" applyAlignment="1">
      <alignment horizontal="center"/>
    </xf>
    <xf numFmtId="164" fontId="34" fillId="2" borderId="0" xfId="1" applyNumberFormat="1" applyFont="1" applyFill="1"/>
    <xf numFmtId="168" fontId="36" fillId="0" borderId="0" xfId="1" applyNumberFormat="1" applyFont="1" applyAlignment="1">
      <alignment horizontal="right" indent="1"/>
    </xf>
    <xf numFmtId="0" fontId="12" fillId="2" borderId="0" xfId="1" applyFont="1" applyFill="1" applyAlignment="1">
      <alignment horizontal="center"/>
    </xf>
    <xf numFmtId="0" fontId="12" fillId="0" borderId="3" xfId="1" applyFont="1" applyBorder="1" applyAlignment="1">
      <alignment horizontal="center"/>
    </xf>
    <xf numFmtId="2" fontId="12" fillId="0" borderId="13" xfId="1" applyNumberFormat="1" applyFont="1" applyBorder="1" applyAlignment="1">
      <alignment horizontal="center"/>
    </xf>
    <xf numFmtId="2" fontId="12" fillId="0" borderId="12" xfId="1" applyNumberFormat="1" applyFont="1" applyBorder="1" applyAlignment="1">
      <alignment horizontal="center"/>
    </xf>
    <xf numFmtId="2" fontId="12" fillId="0" borderId="4" xfId="1" applyNumberFormat="1" applyFont="1" applyBorder="1" applyAlignment="1">
      <alignment horizontal="center"/>
    </xf>
    <xf numFmtId="2" fontId="11" fillId="0" borderId="8" xfId="1" applyNumberFormat="1" applyFont="1" applyBorder="1"/>
    <xf numFmtId="0" fontId="11" fillId="2" borderId="12" xfId="1" applyFont="1" applyFill="1" applyBorder="1"/>
    <xf numFmtId="49" fontId="11" fillId="0" borderId="1" xfId="1" applyNumberFormat="1" applyFont="1" applyBorder="1"/>
    <xf numFmtId="0" fontId="12" fillId="0" borderId="2" xfId="1" applyFont="1" applyBorder="1" applyAlignment="1">
      <alignment horizontal="left"/>
    </xf>
    <xf numFmtId="165" fontId="11" fillId="9" borderId="11" xfId="1" applyNumberFormat="1" applyFont="1" applyFill="1" applyBorder="1"/>
    <xf numFmtId="165" fontId="11" fillId="9" borderId="10" xfId="1" applyNumberFormat="1" applyFont="1" applyFill="1" applyBorder="1"/>
    <xf numFmtId="0" fontId="12" fillId="0" borderId="7" xfId="1" applyFont="1" applyBorder="1"/>
    <xf numFmtId="0" fontId="12" fillId="9" borderId="12" xfId="1" applyFont="1" applyFill="1" applyBorder="1"/>
    <xf numFmtId="165" fontId="12" fillId="9" borderId="12" xfId="1" applyNumberFormat="1" applyFont="1" applyFill="1" applyBorder="1" applyAlignment="1">
      <alignment horizontal="center"/>
    </xf>
    <xf numFmtId="49" fontId="34" fillId="2" borderId="0" xfId="1" applyNumberFormat="1" applyFont="1" applyFill="1"/>
    <xf numFmtId="0" fontId="12" fillId="0" borderId="2" xfId="1" applyFont="1" applyBorder="1" applyAlignment="1">
      <alignment horizontal="right"/>
    </xf>
    <xf numFmtId="2" fontId="11" fillId="0" borderId="5" xfId="1" applyNumberFormat="1" applyFont="1" applyBorder="1" applyAlignment="1">
      <alignment horizontal="right" indent="1"/>
    </xf>
    <xf numFmtId="2" fontId="11" fillId="0" borderId="8" xfId="1" applyNumberFormat="1" applyFont="1" applyBorder="1" applyAlignment="1">
      <alignment horizontal="right" indent="1"/>
    </xf>
    <xf numFmtId="0" fontId="12" fillId="0" borderId="3" xfId="1" applyFont="1" applyBorder="1" applyAlignment="1">
      <alignment horizontal="right"/>
    </xf>
    <xf numFmtId="2" fontId="11" fillId="0" borderId="4" xfId="1" applyNumberFormat="1" applyFont="1" applyBorder="1"/>
    <xf numFmtId="2" fontId="11" fillId="0" borderId="4" xfId="1" applyNumberFormat="1" applyFont="1" applyBorder="1" applyAlignment="1">
      <alignment horizontal="right" indent="1"/>
    </xf>
    <xf numFmtId="0" fontId="11" fillId="9" borderId="6" xfId="1" applyFont="1" applyFill="1" applyBorder="1"/>
    <xf numFmtId="0" fontId="11" fillId="9" borderId="16" xfId="1" applyFont="1" applyFill="1" applyBorder="1"/>
    <xf numFmtId="0" fontId="11" fillId="9" borderId="37" xfId="1" applyFont="1" applyFill="1" applyBorder="1"/>
    <xf numFmtId="0" fontId="11" fillId="9" borderId="8" xfId="1" applyFont="1" applyFill="1" applyBorder="1"/>
    <xf numFmtId="0" fontId="12" fillId="0" borderId="3" xfId="1" applyFont="1" applyBorder="1"/>
    <xf numFmtId="0" fontId="20" fillId="9" borderId="11" xfId="1" applyFont="1" applyFill="1" applyBorder="1" applyAlignment="1">
      <alignment horizontal="left"/>
    </xf>
    <xf numFmtId="0" fontId="20" fillId="9" borderId="0" xfId="1" applyFont="1" applyFill="1" applyAlignment="1">
      <alignment horizontal="left"/>
    </xf>
    <xf numFmtId="0" fontId="11" fillId="9" borderId="11" xfId="1" applyFont="1" applyFill="1" applyBorder="1" applyAlignment="1">
      <alignment horizontal="center"/>
    </xf>
    <xf numFmtId="0" fontId="11" fillId="9" borderId="0" xfId="1" applyFont="1" applyFill="1" applyAlignment="1">
      <alignment horizontal="center"/>
    </xf>
    <xf numFmtId="0" fontId="11" fillId="9" borderId="7" xfId="1" applyFont="1" applyFill="1" applyBorder="1"/>
    <xf numFmtId="0" fontId="11" fillId="9" borderId="0" xfId="1" applyFont="1" applyFill="1" applyAlignment="1">
      <alignment horizontal="right" indent="1"/>
    </xf>
    <xf numFmtId="0" fontId="11" fillId="0" borderId="7" xfId="1" applyFont="1" applyBorder="1" applyAlignment="1">
      <alignment horizontal="right" indent="1"/>
    </xf>
    <xf numFmtId="49" fontId="11" fillId="9" borderId="14" xfId="1" applyNumberFormat="1" applyFont="1" applyFill="1" applyBorder="1"/>
    <xf numFmtId="49" fontId="11" fillId="9" borderId="34" xfId="1" applyNumberFormat="1" applyFont="1" applyFill="1" applyBorder="1"/>
    <xf numFmtId="49" fontId="11" fillId="9" borderId="5" xfId="1" applyNumberFormat="1" applyFont="1" applyFill="1" applyBorder="1"/>
    <xf numFmtId="49" fontId="11" fillId="9" borderId="36" xfId="1" applyNumberFormat="1" applyFont="1" applyFill="1" applyBorder="1"/>
    <xf numFmtId="0" fontId="10" fillId="0" borderId="0" xfId="1" applyFont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0" fontId="10" fillId="0" borderId="5" xfId="1" applyFont="1" applyBorder="1" applyAlignment="1">
      <alignment horizontal="center" vertical="center"/>
    </xf>
    <xf numFmtId="0" fontId="10" fillId="0" borderId="3" xfId="1" applyFont="1" applyBorder="1" applyAlignment="1">
      <alignment horizontal="center" vertical="center"/>
    </xf>
    <xf numFmtId="0" fontId="10" fillId="0" borderId="12" xfId="1" applyFont="1" applyBorder="1" applyAlignment="1">
      <alignment horizontal="center" vertical="center"/>
    </xf>
    <xf numFmtId="0" fontId="10" fillId="0" borderId="13" xfId="1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49" fontId="15" fillId="0" borderId="8" xfId="1" applyNumberFormat="1" applyFont="1" applyBorder="1" applyAlignment="1">
      <alignment horizontal="center" vertical="center"/>
    </xf>
    <xf numFmtId="166" fontId="10" fillId="0" borderId="8" xfId="2" applyNumberFormat="1" applyFont="1" applyBorder="1" applyAlignment="1">
      <alignment horizontal="center" vertical="center"/>
    </xf>
    <xf numFmtId="49" fontId="25" fillId="0" borderId="5" xfId="1" applyNumberFormat="1" applyFont="1" applyBorder="1" applyAlignment="1">
      <alignment horizontal="center" vertical="center" wrapText="1"/>
    </xf>
    <xf numFmtId="166" fontId="10" fillId="0" borderId="5" xfId="2" applyNumberFormat="1" applyFont="1" applyBorder="1" applyAlignment="1">
      <alignment horizontal="center" vertical="center"/>
    </xf>
    <xf numFmtId="49" fontId="15" fillId="0" borderId="5" xfId="1" applyNumberFormat="1" applyFont="1" applyBorder="1" applyAlignment="1">
      <alignment horizontal="center" vertical="center"/>
    </xf>
    <xf numFmtId="49" fontId="15" fillId="0" borderId="12" xfId="1" applyNumberFormat="1" applyFont="1" applyBorder="1" applyAlignment="1">
      <alignment horizontal="center" vertical="center"/>
    </xf>
    <xf numFmtId="166" fontId="10" fillId="0" borderId="4" xfId="2" applyNumberFormat="1" applyFont="1" applyBorder="1" applyAlignment="1">
      <alignment horizontal="center" vertical="center"/>
    </xf>
    <xf numFmtId="49" fontId="25" fillId="0" borderId="4" xfId="1" applyNumberFormat="1" applyFont="1" applyBorder="1" applyAlignment="1">
      <alignment horizontal="center" vertical="center"/>
    </xf>
    <xf numFmtId="0" fontId="49" fillId="2" borderId="0" xfId="1" applyFont="1" applyFill="1" applyAlignment="1">
      <alignment horizontal="center" vertical="center"/>
    </xf>
    <xf numFmtId="0" fontId="11" fillId="2" borderId="0" xfId="1" applyFont="1" applyFill="1" applyAlignment="1">
      <alignment horizontal="center" vertical="center"/>
    </xf>
    <xf numFmtId="164" fontId="11" fillId="2" borderId="0" xfId="1" applyNumberFormat="1" applyFont="1" applyFill="1"/>
    <xf numFmtId="0" fontId="12" fillId="9" borderId="0" xfId="1" applyFont="1" applyFill="1"/>
    <xf numFmtId="49" fontId="11" fillId="9" borderId="0" xfId="1" applyNumberFormat="1" applyFont="1" applyFill="1"/>
    <xf numFmtId="0" fontId="18" fillId="7" borderId="30" xfId="1" applyFont="1" applyFill="1" applyBorder="1" applyAlignment="1" applyProtection="1">
      <alignment vertical="center"/>
      <protection locked="0"/>
    </xf>
    <xf numFmtId="49" fontId="11" fillId="0" borderId="34" xfId="1" applyNumberFormat="1" applyFont="1" applyBorder="1"/>
    <xf numFmtId="0" fontId="11" fillId="0" borderId="36" xfId="1" applyFont="1" applyBorder="1"/>
    <xf numFmtId="0" fontId="11" fillId="9" borderId="58" xfId="1" applyFont="1" applyFill="1" applyBorder="1" applyAlignment="1">
      <alignment horizontal="center"/>
    </xf>
    <xf numFmtId="0" fontId="11" fillId="9" borderId="32" xfId="1" applyFont="1" applyFill="1" applyBorder="1" applyAlignment="1">
      <alignment horizontal="center"/>
    </xf>
    <xf numFmtId="0" fontId="11" fillId="9" borderId="32" xfId="1" applyFont="1" applyFill="1" applyBorder="1"/>
    <xf numFmtId="0" fontId="11" fillId="9" borderId="63" xfId="1" applyFont="1" applyFill="1" applyBorder="1"/>
    <xf numFmtId="0" fontId="11" fillId="0" borderId="5" xfId="1" applyFont="1" applyBorder="1" applyAlignment="1">
      <alignment horizontal="right" indent="1"/>
    </xf>
    <xf numFmtId="0" fontId="11" fillId="0" borderId="4" xfId="1" applyFont="1" applyBorder="1" applyAlignment="1">
      <alignment horizontal="right" indent="1"/>
    </xf>
    <xf numFmtId="0" fontId="11" fillId="9" borderId="2" xfId="1" applyFont="1" applyFill="1" applyBorder="1" applyAlignment="1">
      <alignment horizontal="center"/>
    </xf>
    <xf numFmtId="0" fontId="11" fillId="9" borderId="5" xfId="1" applyFont="1" applyFill="1" applyBorder="1"/>
    <xf numFmtId="0" fontId="39" fillId="2" borderId="0" xfId="0" applyFont="1" applyFill="1" applyAlignment="1">
      <alignment horizontal="center" wrapText="1"/>
    </xf>
    <xf numFmtId="0" fontId="39" fillId="2" borderId="0" xfId="0" applyFont="1" applyFill="1" applyAlignment="1" applyProtection="1">
      <alignment horizontal="center" wrapText="1"/>
      <protection locked="0"/>
    </xf>
    <xf numFmtId="0" fontId="5" fillId="9" borderId="0" xfId="0" applyFont="1" applyFill="1" applyProtection="1">
      <protection locked="0"/>
    </xf>
    <xf numFmtId="0" fontId="11" fillId="9" borderId="0" xfId="0" applyFont="1" applyFill="1" applyProtection="1">
      <protection locked="0"/>
    </xf>
    <xf numFmtId="0" fontId="0" fillId="9" borderId="0" xfId="0" applyFill="1" applyAlignment="1" applyProtection="1">
      <alignment wrapText="1"/>
      <protection locked="0"/>
    </xf>
    <xf numFmtId="0" fontId="39" fillId="2" borderId="1" xfId="0" applyFont="1" applyFill="1" applyBorder="1" applyAlignment="1">
      <alignment horizontal="center" wrapText="1"/>
    </xf>
    <xf numFmtId="0" fontId="39" fillId="2" borderId="14" xfId="0" applyFont="1" applyFill="1" applyBorder="1" applyAlignment="1">
      <alignment horizontal="center" wrapText="1"/>
    </xf>
    <xf numFmtId="0" fontId="0" fillId="2" borderId="12" xfId="0" applyFill="1" applyBorder="1" applyProtection="1">
      <protection locked="0"/>
    </xf>
    <xf numFmtId="0" fontId="0" fillId="2" borderId="13" xfId="0" applyFill="1" applyBorder="1" applyProtection="1">
      <protection locked="0"/>
    </xf>
    <xf numFmtId="49" fontId="5" fillId="9" borderId="2" xfId="1" applyNumberFormat="1" applyFill="1" applyBorder="1"/>
    <xf numFmtId="49" fontId="5" fillId="9" borderId="0" xfId="1" applyNumberFormat="1" applyFill="1"/>
    <xf numFmtId="49" fontId="5" fillId="9" borderId="1" xfId="1" applyNumberFormat="1" applyFill="1" applyBorder="1"/>
    <xf numFmtId="49" fontId="5" fillId="9" borderId="14" xfId="1" applyNumberFormat="1" applyFill="1" applyBorder="1"/>
    <xf numFmtId="49" fontId="5" fillId="9" borderId="5" xfId="1" applyNumberFormat="1" applyFill="1" applyBorder="1"/>
    <xf numFmtId="49" fontId="5" fillId="9" borderId="12" xfId="1" applyNumberFormat="1" applyFill="1" applyBorder="1"/>
    <xf numFmtId="49" fontId="5" fillId="9" borderId="4" xfId="1" applyNumberFormat="1" applyFill="1" applyBorder="1"/>
    <xf numFmtId="49" fontId="11" fillId="0" borderId="9" xfId="1" applyNumberFormat="1" applyFont="1" applyBorder="1"/>
    <xf numFmtId="165" fontId="11" fillId="9" borderId="30" xfId="1" applyNumberFormat="1" applyFont="1" applyFill="1" applyBorder="1"/>
    <xf numFmtId="0" fontId="0" fillId="0" borderId="24" xfId="0" applyBorder="1"/>
    <xf numFmtId="0" fontId="27" fillId="0" borderId="2" xfId="0" applyFont="1" applyBorder="1" applyAlignment="1">
      <alignment horizontal="center" vertical="center"/>
    </xf>
    <xf numFmtId="0" fontId="27" fillId="0" borderId="5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5" xfId="0" applyFont="1" applyBorder="1" applyAlignment="1">
      <alignment horizontal="center"/>
    </xf>
    <xf numFmtId="49" fontId="11" fillId="0" borderId="5" xfId="1" applyNumberFormat="1" applyFont="1" applyBorder="1" applyAlignment="1">
      <alignment horizontal="center"/>
    </xf>
    <xf numFmtId="0" fontId="0" fillId="0" borderId="23" xfId="0" applyBorder="1"/>
    <xf numFmtId="0" fontId="0" fillId="0" borderId="25" xfId="0" applyBorder="1"/>
    <xf numFmtId="0" fontId="12" fillId="0" borderId="36" xfId="0" applyFont="1" applyBorder="1" applyAlignment="1">
      <alignment horizontal="center"/>
    </xf>
    <xf numFmtId="49" fontId="11" fillId="0" borderId="4" xfId="0" applyNumberFormat="1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34" xfId="0" applyFont="1" applyBorder="1" applyAlignment="1">
      <alignment horizontal="center"/>
    </xf>
    <xf numFmtId="49" fontId="5" fillId="0" borderId="8" xfId="1" applyNumberFormat="1" applyBorder="1"/>
    <xf numFmtId="0" fontId="11" fillId="0" borderId="12" xfId="1" applyFont="1" applyBorder="1" applyAlignment="1">
      <alignment horizontal="right" indent="1"/>
    </xf>
    <xf numFmtId="2" fontId="11" fillId="0" borderId="2" xfId="0" applyNumberFormat="1" applyFont="1" applyBorder="1" applyAlignment="1">
      <alignment horizontal="center"/>
    </xf>
    <xf numFmtId="0" fontId="36" fillId="0" borderId="8" xfId="1" applyFont="1" applyBorder="1" applyAlignment="1">
      <alignment horizontal="right" indent="1"/>
    </xf>
    <xf numFmtId="0" fontId="36" fillId="0" borderId="5" xfId="1" applyFont="1" applyBorder="1" applyAlignment="1">
      <alignment horizontal="right" indent="1"/>
    </xf>
    <xf numFmtId="0" fontId="36" fillId="0" borderId="4" xfId="1" applyFont="1" applyBorder="1" applyAlignment="1">
      <alignment horizontal="right" indent="1"/>
    </xf>
    <xf numFmtId="0" fontId="11" fillId="0" borderId="8" xfId="0" applyFont="1" applyBorder="1" applyAlignment="1">
      <alignment horizontal="right" indent="1"/>
    </xf>
    <xf numFmtId="0" fontId="11" fillId="0" borderId="4" xfId="0" applyFont="1" applyBorder="1" applyAlignment="1">
      <alignment horizontal="left"/>
    </xf>
    <xf numFmtId="0" fontId="50" fillId="0" borderId="2" xfId="1" applyFont="1" applyBorder="1"/>
    <xf numFmtId="0" fontId="11" fillId="14" borderId="6" xfId="0" applyFont="1" applyFill="1" applyBorder="1" applyAlignment="1" applyProtection="1">
      <alignment horizontal="center" vertical="center"/>
      <protection locked="0"/>
    </xf>
    <xf numFmtId="0" fontId="11" fillId="14" borderId="2" xfId="0" applyFont="1" applyFill="1" applyBorder="1" applyAlignment="1" applyProtection="1">
      <alignment horizontal="center" vertical="center"/>
      <protection locked="0"/>
    </xf>
    <xf numFmtId="0" fontId="24" fillId="14" borderId="3" xfId="0" applyFont="1" applyFill="1" applyBorder="1" applyAlignment="1" applyProtection="1">
      <alignment horizontal="center" vertical="center"/>
      <protection locked="0"/>
    </xf>
    <xf numFmtId="0" fontId="52" fillId="13" borderId="43" xfId="0" applyFont="1" applyFill="1" applyBorder="1" applyAlignment="1" applyProtection="1">
      <alignment vertical="center"/>
      <protection locked="0"/>
    </xf>
    <xf numFmtId="0" fontId="39" fillId="2" borderId="0" xfId="0" applyFont="1" applyFill="1" applyAlignment="1" applyProtection="1">
      <alignment vertical="center"/>
      <protection locked="0"/>
    </xf>
    <xf numFmtId="49" fontId="11" fillId="2" borderId="0" xfId="1" applyNumberFormat="1" applyFont="1" applyFill="1" applyAlignment="1">
      <alignment vertical="top"/>
    </xf>
    <xf numFmtId="0" fontId="36" fillId="9" borderId="0" xfId="1" applyFont="1" applyFill="1" applyAlignment="1">
      <alignment horizontal="right" indent="1"/>
    </xf>
    <xf numFmtId="0" fontId="12" fillId="9" borderId="0" xfId="0" applyFont="1" applyFill="1" applyAlignment="1">
      <alignment horizontal="center"/>
    </xf>
    <xf numFmtId="49" fontId="11" fillId="9" borderId="0" xfId="0" applyNumberFormat="1" applyFont="1" applyFill="1"/>
    <xf numFmtId="164" fontId="11" fillId="9" borderId="0" xfId="0" applyNumberFormat="1" applyFont="1" applyFill="1"/>
    <xf numFmtId="165" fontId="10" fillId="0" borderId="4" xfId="2" applyNumberFormat="1" applyFont="1" applyBorder="1" applyAlignment="1">
      <alignment horizontal="center" vertical="center"/>
    </xf>
    <xf numFmtId="0" fontId="11" fillId="0" borderId="2" xfId="1" applyFont="1" applyBorder="1" applyAlignment="1">
      <alignment horizontal="center"/>
    </xf>
    <xf numFmtId="0" fontId="11" fillId="0" borderId="14" xfId="1" applyFont="1" applyBorder="1" applyAlignment="1">
      <alignment horizontal="center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center"/>
    </xf>
    <xf numFmtId="0" fontId="12" fillId="2" borderId="11" xfId="1" applyFont="1" applyFill="1" applyBorder="1" applyAlignment="1">
      <alignment horizontal="center"/>
    </xf>
    <xf numFmtId="0" fontId="12" fillId="2" borderId="10" xfId="1" applyFont="1" applyFill="1" applyBorder="1" applyAlignment="1">
      <alignment horizontal="center"/>
    </xf>
    <xf numFmtId="0" fontId="12" fillId="2" borderId="65" xfId="1" applyFont="1" applyFill="1" applyBorder="1" applyAlignment="1">
      <alignment horizontal="center"/>
    </xf>
    <xf numFmtId="2" fontId="11" fillId="0" borderId="64" xfId="1" applyNumberFormat="1" applyFont="1" applyBorder="1"/>
    <xf numFmtId="2" fontId="11" fillId="0" borderId="45" xfId="1" applyNumberFormat="1" applyFont="1" applyBorder="1"/>
    <xf numFmtId="0" fontId="12" fillId="2" borderId="30" xfId="1" applyFont="1" applyFill="1" applyBorder="1" applyAlignment="1">
      <alignment horizontal="center"/>
    </xf>
    <xf numFmtId="2" fontId="11" fillId="0" borderId="44" xfId="1" applyNumberFormat="1" applyFont="1" applyBorder="1"/>
    <xf numFmtId="2" fontId="11" fillId="0" borderId="45" xfId="1" applyNumberFormat="1" applyFont="1" applyBorder="1" applyAlignment="1">
      <alignment horizontal="right"/>
    </xf>
    <xf numFmtId="2" fontId="11" fillId="0" borderId="44" xfId="1" applyNumberFormat="1" applyFont="1" applyBorder="1" applyAlignment="1">
      <alignment horizontal="right"/>
    </xf>
    <xf numFmtId="0" fontId="12" fillId="2" borderId="2" xfId="1" applyFont="1" applyFill="1" applyBorder="1"/>
    <xf numFmtId="0" fontId="11" fillId="0" borderId="13" xfId="1" applyFont="1" applyBorder="1" applyAlignment="1">
      <alignment horizontal="center"/>
    </xf>
    <xf numFmtId="0" fontId="13" fillId="2" borderId="8" xfId="1" applyFont="1" applyFill="1" applyBorder="1" applyAlignment="1">
      <alignment horizontal="center" vertical="center"/>
    </xf>
    <xf numFmtId="0" fontId="11" fillId="0" borderId="3" xfId="1" applyFont="1" applyBorder="1" applyAlignment="1">
      <alignment horizontal="center"/>
    </xf>
    <xf numFmtId="0" fontId="12" fillId="0" borderId="2" xfId="1" applyFont="1" applyBorder="1" applyAlignment="1">
      <alignment horizontal="center"/>
    </xf>
    <xf numFmtId="0" fontId="26" fillId="2" borderId="0" xfId="1" applyFont="1" applyFill="1"/>
    <xf numFmtId="165" fontId="20" fillId="0" borderId="35" xfId="1" applyNumberFormat="1" applyFont="1" applyBorder="1" applyAlignment="1">
      <alignment horizontal="center"/>
    </xf>
    <xf numFmtId="0" fontId="37" fillId="0" borderId="5" xfId="1" applyFont="1" applyBorder="1" applyAlignment="1">
      <alignment wrapText="1"/>
    </xf>
    <xf numFmtId="0" fontId="37" fillId="0" borderId="5" xfId="1" applyFont="1" applyBorder="1"/>
    <xf numFmtId="0" fontId="37" fillId="0" borderId="4" xfId="1" applyFont="1" applyBorder="1"/>
    <xf numFmtId="0" fontId="37" fillId="0" borderId="8" xfId="1" applyFont="1" applyBorder="1" applyAlignment="1">
      <alignment wrapText="1"/>
    </xf>
    <xf numFmtId="0" fontId="36" fillId="0" borderId="6" xfId="1" applyFont="1" applyBorder="1"/>
    <xf numFmtId="0" fontId="34" fillId="0" borderId="34" xfId="1" applyFont="1" applyBorder="1" applyAlignment="1">
      <alignment horizontal="center"/>
    </xf>
    <xf numFmtId="9" fontId="10" fillId="0" borderId="30" xfId="2" applyFont="1" applyBorder="1" applyAlignment="1">
      <alignment horizontal="center" vertical="distributed"/>
    </xf>
    <xf numFmtId="9" fontId="10" fillId="0" borderId="35" xfId="2" applyFont="1" applyBorder="1" applyAlignment="1">
      <alignment horizontal="center" vertical="distributed"/>
    </xf>
    <xf numFmtId="9" fontId="10" fillId="0" borderId="61" xfId="2" applyFont="1" applyBorder="1" applyAlignment="1">
      <alignment horizontal="center" vertical="distributed"/>
    </xf>
    <xf numFmtId="170" fontId="15" fillId="0" borderId="7" xfId="1" applyNumberFormat="1" applyFont="1" applyBorder="1" applyAlignment="1">
      <alignment horizontal="right" indent="1"/>
    </xf>
    <xf numFmtId="170" fontId="15" fillId="0" borderId="0" xfId="1" applyNumberFormat="1" applyFont="1" applyAlignment="1">
      <alignment horizontal="right" indent="1"/>
    </xf>
    <xf numFmtId="170" fontId="15" fillId="0" borderId="12" xfId="1" applyNumberFormat="1" applyFont="1" applyBorder="1" applyAlignment="1">
      <alignment horizontal="right" indent="1"/>
    </xf>
    <xf numFmtId="9" fontId="10" fillId="0" borderId="65" xfId="2" applyFont="1" applyBorder="1" applyAlignment="1">
      <alignment horizontal="center" vertical="distributed"/>
    </xf>
    <xf numFmtId="9" fontId="10" fillId="0" borderId="15" xfId="2" applyFont="1" applyBorder="1" applyAlignment="1">
      <alignment horizontal="center" vertical="distributed"/>
    </xf>
    <xf numFmtId="49" fontId="11" fillId="0" borderId="2" xfId="0" applyNumberFormat="1" applyFont="1" applyBorder="1" applyAlignment="1">
      <alignment horizontal="center"/>
    </xf>
    <xf numFmtId="0" fontId="36" fillId="0" borderId="5" xfId="1" applyFont="1" applyBorder="1" applyAlignment="1">
      <alignment horizontal="left" indent="1"/>
    </xf>
    <xf numFmtId="0" fontId="36" fillId="0" borderId="5" xfId="1" quotePrefix="1" applyFont="1" applyBorder="1" applyAlignment="1">
      <alignment horizontal="right" indent="1"/>
    </xf>
    <xf numFmtId="49" fontId="11" fillId="0" borderId="3" xfId="0" applyNumberFormat="1" applyFont="1" applyBorder="1" applyAlignment="1">
      <alignment horizontal="center"/>
    </xf>
    <xf numFmtId="0" fontId="36" fillId="0" borderId="4" xfId="1" quotePrefix="1" applyFont="1" applyBorder="1" applyAlignment="1">
      <alignment horizontal="right" indent="1"/>
    </xf>
    <xf numFmtId="0" fontId="56" fillId="0" borderId="10" xfId="1" applyFont="1" applyBorder="1" applyAlignment="1">
      <alignment horizontal="center"/>
    </xf>
    <xf numFmtId="165" fontId="11" fillId="0" borderId="8" xfId="0" applyNumberFormat="1" applyFont="1" applyBorder="1" applyAlignment="1">
      <alignment horizontal="center"/>
    </xf>
    <xf numFmtId="0" fontId="11" fillId="2" borderId="43" xfId="1" applyFont="1" applyFill="1" applyBorder="1"/>
    <xf numFmtId="0" fontId="12" fillId="0" borderId="5" xfId="1" applyFont="1" applyBorder="1"/>
    <xf numFmtId="0" fontId="12" fillId="0" borderId="4" xfId="1" applyFont="1" applyBorder="1"/>
    <xf numFmtId="0" fontId="11" fillId="0" borderId="5" xfId="1" applyFont="1" applyBorder="1" applyAlignment="1">
      <alignment horizontal="left"/>
    </xf>
    <xf numFmtId="49" fontId="11" fillId="0" borderId="5" xfId="1" applyNumberFormat="1" applyFont="1" applyBorder="1"/>
    <xf numFmtId="165" fontId="11" fillId="4" borderId="30" xfId="0" applyNumberFormat="1" applyFont="1" applyFill="1" applyBorder="1"/>
    <xf numFmtId="165" fontId="11" fillId="0" borderId="30" xfId="0" applyNumberFormat="1" applyFont="1" applyBorder="1"/>
    <xf numFmtId="165" fontId="11" fillId="5" borderId="30" xfId="0" applyNumberFormat="1" applyFont="1" applyFill="1" applyBorder="1"/>
    <xf numFmtId="49" fontId="11" fillId="0" borderId="64" xfId="0" applyNumberFormat="1" applyFont="1" applyBorder="1" applyAlignment="1">
      <alignment horizontal="center" vertical="center"/>
    </xf>
    <xf numFmtId="49" fontId="11" fillId="0" borderId="37" xfId="0" applyNumberFormat="1" applyFont="1" applyBorder="1" applyAlignment="1">
      <alignment horizontal="center"/>
    </xf>
    <xf numFmtId="49" fontId="11" fillId="0" borderId="45" xfId="0" applyNumberFormat="1" applyFont="1" applyBorder="1" applyAlignment="1">
      <alignment horizontal="center" vertical="center"/>
    </xf>
    <xf numFmtId="49" fontId="11" fillId="0" borderId="34" xfId="0" applyNumberFormat="1" applyFont="1" applyBorder="1" applyAlignment="1">
      <alignment horizontal="center"/>
    </xf>
    <xf numFmtId="49" fontId="11" fillId="0" borderId="44" xfId="0" applyNumberFormat="1" applyFont="1" applyBorder="1" applyAlignment="1">
      <alignment horizontal="center" vertical="center"/>
    </xf>
    <xf numFmtId="49" fontId="11" fillId="0" borderId="36" xfId="0" applyNumberFormat="1" applyFont="1" applyBorder="1" applyAlignment="1">
      <alignment horizontal="center"/>
    </xf>
    <xf numFmtId="0" fontId="35" fillId="0" borderId="2" xfId="1" applyFont="1" applyBorder="1"/>
    <xf numFmtId="165" fontId="11" fillId="2" borderId="2" xfId="1" applyNumberFormat="1" applyFont="1" applyFill="1" applyBorder="1"/>
    <xf numFmtId="0" fontId="12" fillId="2" borderId="2" xfId="0" applyFont="1" applyFill="1" applyBorder="1"/>
    <xf numFmtId="0" fontId="11" fillId="2" borderId="2" xfId="0" applyFont="1" applyFill="1" applyBorder="1"/>
    <xf numFmtId="49" fontId="11" fillId="2" borderId="2" xfId="0" applyNumberFormat="1" applyFont="1" applyFill="1" applyBorder="1"/>
    <xf numFmtId="49" fontId="15" fillId="9" borderId="2" xfId="1" applyNumberFormat="1" applyFont="1" applyFill="1" applyBorder="1" applyAlignment="1">
      <alignment horizontal="center" vertical="center"/>
    </xf>
    <xf numFmtId="49" fontId="15" fillId="9" borderId="3" xfId="1" applyNumberFormat="1" applyFont="1" applyFill="1" applyBorder="1" applyAlignment="1">
      <alignment horizontal="center" vertical="center"/>
    </xf>
    <xf numFmtId="0" fontId="13" fillId="2" borderId="7" xfId="1" applyFont="1" applyFill="1" applyBorder="1" applyAlignment="1">
      <alignment horizontal="center" vertical="center"/>
    </xf>
    <xf numFmtId="0" fontId="11" fillId="9" borderId="4" xfId="1" applyFont="1" applyFill="1" applyBorder="1"/>
    <xf numFmtId="0" fontId="11" fillId="2" borderId="58" xfId="0" applyFont="1" applyFill="1" applyBorder="1" applyAlignment="1" applyProtection="1">
      <alignment horizontal="left" vertical="center"/>
      <protection locked="0"/>
    </xf>
    <xf numFmtId="165" fontId="12" fillId="2" borderId="31" xfId="0" applyNumberFormat="1" applyFont="1" applyFill="1" applyBorder="1" applyAlignment="1" applyProtection="1">
      <alignment horizontal="right" vertical="center" indent="1"/>
      <protection locked="0"/>
    </xf>
    <xf numFmtId="0" fontId="11" fillId="2" borderId="66" xfId="0" applyFont="1" applyFill="1" applyBorder="1" applyAlignment="1" applyProtection="1">
      <alignment horizontal="left" vertical="center"/>
      <protection locked="0"/>
    </xf>
    <xf numFmtId="165" fontId="12" fillId="2" borderId="63" xfId="0" applyNumberFormat="1" applyFont="1" applyFill="1" applyBorder="1" applyAlignment="1" applyProtection="1">
      <alignment horizontal="right" vertical="center" indent="1"/>
      <protection locked="0"/>
    </xf>
    <xf numFmtId="0" fontId="12" fillId="0" borderId="9" xfId="0" applyFont="1" applyBorder="1" applyAlignment="1">
      <alignment horizontal="left"/>
    </xf>
    <xf numFmtId="0" fontId="12" fillId="0" borderId="10" xfId="0" applyFont="1" applyBorder="1" applyAlignment="1">
      <alignment horizontal="left"/>
    </xf>
    <xf numFmtId="0" fontId="12" fillId="0" borderId="9" xfId="1" applyFont="1" applyBorder="1" applyAlignment="1">
      <alignment horizontal="left"/>
    </xf>
    <xf numFmtId="0" fontId="12" fillId="0" borderId="10" xfId="1" applyFont="1" applyBorder="1" applyAlignment="1">
      <alignment horizontal="left"/>
    </xf>
    <xf numFmtId="49" fontId="34" fillId="0" borderId="0" xfId="1" applyNumberFormat="1" applyFont="1" applyAlignment="1">
      <alignment horizontal="center"/>
    </xf>
    <xf numFmtId="49" fontId="34" fillId="0" borderId="5" xfId="1" applyNumberFormat="1" applyFont="1" applyBorder="1" applyAlignment="1">
      <alignment horizontal="center"/>
    </xf>
    <xf numFmtId="2" fontId="11" fillId="0" borderId="18" xfId="1" applyNumberFormat="1" applyFont="1" applyBorder="1"/>
    <xf numFmtId="165" fontId="59" fillId="0" borderId="1" xfId="1" applyNumberFormat="1" applyFont="1" applyBorder="1" applyAlignment="1">
      <alignment horizontal="right"/>
    </xf>
    <xf numFmtId="1" fontId="11" fillId="0" borderId="0" xfId="1" applyNumberFormat="1" applyFont="1"/>
    <xf numFmtId="49" fontId="34" fillId="0" borderId="9" xfId="1" applyNumberFormat="1" applyFont="1" applyBorder="1" applyAlignment="1">
      <alignment horizontal="center"/>
    </xf>
    <xf numFmtId="49" fontId="34" fillId="0" borderId="11" xfId="1" applyNumberFormat="1" applyFont="1" applyBorder="1" applyAlignment="1">
      <alignment horizontal="center"/>
    </xf>
    <xf numFmtId="1" fontId="12" fillId="0" borderId="7" xfId="1" applyNumberFormat="1" applyFont="1" applyBorder="1"/>
    <xf numFmtId="0" fontId="11" fillId="0" borderId="1" xfId="0" applyFont="1" applyBorder="1"/>
    <xf numFmtId="49" fontId="34" fillId="0" borderId="43" xfId="1" applyNumberFormat="1" applyFont="1" applyBorder="1" applyAlignment="1">
      <alignment horizontal="center"/>
    </xf>
    <xf numFmtId="0" fontId="14" fillId="2" borderId="4" xfId="1" applyFont="1" applyFill="1" applyBorder="1"/>
    <xf numFmtId="165" fontId="11" fillId="2" borderId="5" xfId="1" applyNumberFormat="1" applyFont="1" applyFill="1" applyBorder="1"/>
    <xf numFmtId="165" fontId="59" fillId="0" borderId="1" xfId="1" applyNumberFormat="1" applyFont="1" applyBorder="1"/>
    <xf numFmtId="0" fontId="11" fillId="2" borderId="9" xfId="1" applyFont="1" applyFill="1" applyBorder="1"/>
    <xf numFmtId="165" fontId="22" fillId="6" borderId="65" xfId="0" applyNumberFormat="1" applyFont="1" applyFill="1" applyBorder="1"/>
    <xf numFmtId="0" fontId="11" fillId="2" borderId="10" xfId="0" applyFont="1" applyFill="1" applyBorder="1" applyAlignment="1">
      <alignment horizontal="center"/>
    </xf>
    <xf numFmtId="165" fontId="22" fillId="6" borderId="43" xfId="0" applyNumberFormat="1" applyFont="1" applyFill="1" applyBorder="1"/>
    <xf numFmtId="0" fontId="11" fillId="0" borderId="18" xfId="1" applyFont="1" applyBorder="1"/>
    <xf numFmtId="0" fontId="11" fillId="2" borderId="5" xfId="0" applyFont="1" applyFill="1" applyBorder="1"/>
    <xf numFmtId="0" fontId="21" fillId="0" borderId="0" xfId="0" applyFont="1"/>
    <xf numFmtId="0" fontId="21" fillId="0" borderId="12" xfId="0" applyFont="1" applyBorder="1"/>
    <xf numFmtId="0" fontId="11" fillId="0" borderId="3" xfId="0" applyFont="1" applyBorder="1" applyAlignment="1">
      <alignment horizontal="right"/>
    </xf>
    <xf numFmtId="0" fontId="11" fillId="0" borderId="12" xfId="0" applyFont="1" applyBorder="1" applyAlignment="1">
      <alignment horizontal="right"/>
    </xf>
    <xf numFmtId="0" fontId="12" fillId="0" borderId="6" xfId="1" applyFont="1" applyBorder="1" applyAlignment="1">
      <alignment horizontal="left"/>
    </xf>
    <xf numFmtId="0" fontId="12" fillId="0" borderId="6" xfId="0" applyFont="1" applyBorder="1" applyAlignment="1">
      <alignment horizontal="center"/>
    </xf>
    <xf numFmtId="0" fontId="12" fillId="0" borderId="8" xfId="1" applyFont="1" applyBorder="1" applyAlignment="1">
      <alignment horizontal="left"/>
    </xf>
    <xf numFmtId="2" fontId="12" fillId="0" borderId="3" xfId="0" applyNumberFormat="1" applyFont="1" applyBorder="1" applyAlignment="1">
      <alignment horizontal="center"/>
    </xf>
    <xf numFmtId="0" fontId="37" fillId="0" borderId="1" xfId="1" applyFont="1" applyBorder="1" applyAlignment="1">
      <alignment horizontal="center" vertical="center"/>
    </xf>
    <xf numFmtId="0" fontId="12" fillId="0" borderId="7" xfId="0" applyFont="1" applyBorder="1"/>
    <xf numFmtId="165" fontId="12" fillId="0" borderId="30" xfId="0" applyNumberFormat="1" applyFont="1" applyBorder="1"/>
    <xf numFmtId="165" fontId="12" fillId="0" borderId="10" xfId="0" applyNumberFormat="1" applyFont="1" applyBorder="1"/>
    <xf numFmtId="2" fontId="11" fillId="0" borderId="16" xfId="1" applyNumberFormat="1" applyFont="1" applyBorder="1"/>
    <xf numFmtId="0" fontId="12" fillId="2" borderId="9" xfId="1" applyFont="1" applyFill="1" applyBorder="1" applyAlignment="1">
      <alignment horizontal="left"/>
    </xf>
    <xf numFmtId="0" fontId="12" fillId="2" borderId="11" xfId="1" applyFont="1" applyFill="1" applyBorder="1" applyAlignment="1">
      <alignment horizontal="left"/>
    </xf>
    <xf numFmtId="165" fontId="12" fillId="2" borderId="11" xfId="1" applyNumberFormat="1" applyFont="1" applyFill="1" applyBorder="1" applyAlignment="1">
      <alignment horizontal="center"/>
    </xf>
    <xf numFmtId="0" fontId="11" fillId="2" borderId="7" xfId="1" applyFont="1" applyFill="1" applyBorder="1"/>
    <xf numFmtId="0" fontId="12" fillId="2" borderId="7" xfId="1" applyFont="1" applyFill="1" applyBorder="1"/>
    <xf numFmtId="165" fontId="11" fillId="2" borderId="7" xfId="1" applyNumberFormat="1" applyFont="1" applyFill="1" applyBorder="1"/>
    <xf numFmtId="2" fontId="11" fillId="2" borderId="11" xfId="1" applyNumberFormat="1" applyFont="1" applyFill="1" applyBorder="1"/>
    <xf numFmtId="2" fontId="12" fillId="2" borderId="0" xfId="1" applyNumberFormat="1" applyFont="1" applyFill="1" applyAlignment="1">
      <alignment horizontal="center"/>
    </xf>
    <xf numFmtId="2" fontId="11" fillId="0" borderId="6" xfId="1" applyNumberFormat="1" applyFont="1" applyBorder="1"/>
    <xf numFmtId="2" fontId="11" fillId="0" borderId="3" xfId="0" applyNumberFormat="1" applyFont="1" applyBorder="1"/>
    <xf numFmtId="2" fontId="11" fillId="0" borderId="3" xfId="1" applyNumberFormat="1" applyFont="1" applyBorder="1"/>
    <xf numFmtId="2" fontId="11" fillId="0" borderId="12" xfId="1" applyNumberFormat="1" applyFont="1" applyBorder="1"/>
    <xf numFmtId="2" fontId="11" fillId="0" borderId="13" xfId="1" applyNumberFormat="1" applyFont="1" applyBorder="1"/>
    <xf numFmtId="2" fontId="34" fillId="0" borderId="2" xfId="1" applyNumberFormat="1" applyFont="1" applyBorder="1"/>
    <xf numFmtId="2" fontId="34" fillId="0" borderId="1" xfId="1" applyNumberFormat="1" applyFont="1" applyBorder="1"/>
    <xf numFmtId="1" fontId="11" fillId="0" borderId="1" xfId="1" applyNumberFormat="1" applyFont="1" applyBorder="1"/>
    <xf numFmtId="1" fontId="11" fillId="0" borderId="5" xfId="1" applyNumberFormat="1" applyFont="1" applyBorder="1"/>
    <xf numFmtId="0" fontId="12" fillId="0" borderId="18" xfId="1" applyFont="1" applyBorder="1"/>
    <xf numFmtId="0" fontId="12" fillId="0" borderId="8" xfId="1" applyFont="1" applyBorder="1"/>
    <xf numFmtId="0" fontId="11" fillId="0" borderId="1" xfId="1" applyFont="1" applyBorder="1"/>
    <xf numFmtId="165" fontId="11" fillId="0" borderId="5" xfId="1" applyNumberFormat="1" applyFont="1" applyBorder="1" applyAlignment="1">
      <alignment horizontal="right"/>
    </xf>
    <xf numFmtId="0" fontId="26" fillId="2" borderId="9" xfId="1" applyFont="1" applyFill="1" applyBorder="1"/>
    <xf numFmtId="0" fontId="26" fillId="2" borderId="11" xfId="1" applyFont="1" applyFill="1" applyBorder="1"/>
    <xf numFmtId="0" fontId="26" fillId="2" borderId="10" xfId="1" applyFont="1" applyFill="1" applyBorder="1"/>
    <xf numFmtId="2" fontId="60" fillId="0" borderId="5" xfId="0" applyNumberFormat="1" applyFont="1" applyBorder="1" applyAlignment="1">
      <alignment horizontal="center"/>
    </xf>
    <xf numFmtId="0" fontId="36" fillId="0" borderId="0" xfId="1" applyFont="1" applyAlignment="1">
      <alignment horizontal="left" wrapText="1"/>
    </xf>
    <xf numFmtId="2" fontId="60" fillId="0" borderId="1" xfId="0" applyNumberFormat="1" applyFont="1" applyBorder="1" applyAlignment="1">
      <alignment horizontal="center"/>
    </xf>
    <xf numFmtId="2" fontId="60" fillId="0" borderId="45" xfId="0" applyNumberFormat="1" applyFont="1" applyBorder="1" applyAlignment="1">
      <alignment horizontal="center"/>
    </xf>
    <xf numFmtId="2" fontId="60" fillId="0" borderId="34" xfId="0" applyNumberFormat="1" applyFont="1" applyBorder="1" applyAlignment="1">
      <alignment horizontal="center"/>
    </xf>
    <xf numFmtId="2" fontId="60" fillId="0" borderId="37" xfId="0" applyNumberFormat="1" applyFont="1" applyBorder="1" applyAlignment="1">
      <alignment horizontal="center"/>
    </xf>
    <xf numFmtId="167" fontId="36" fillId="0" borderId="5" xfId="1" applyNumberFormat="1" applyFont="1" applyBorder="1" applyAlignment="1">
      <alignment horizontal="right" indent="1"/>
    </xf>
    <xf numFmtId="0" fontId="18" fillId="7" borderId="9" xfId="1" applyFont="1" applyFill="1" applyBorder="1" applyAlignment="1" applyProtection="1">
      <alignment horizontal="left" vertical="center" indent="3"/>
      <protection locked="0"/>
    </xf>
    <xf numFmtId="165" fontId="11" fillId="0" borderId="5" xfId="0" applyNumberFormat="1" applyFont="1" applyBorder="1" applyAlignment="1">
      <alignment horizontal="center"/>
    </xf>
    <xf numFmtId="165" fontId="20" fillId="0" borderId="10" xfId="1" applyNumberFormat="1" applyFont="1" applyBorder="1" applyAlignment="1">
      <alignment horizontal="center"/>
    </xf>
    <xf numFmtId="165" fontId="11" fillId="0" borderId="4" xfId="0" applyNumberFormat="1" applyFont="1" applyBorder="1" applyAlignment="1">
      <alignment horizontal="center"/>
    </xf>
    <xf numFmtId="0" fontId="56" fillId="0" borderId="11" xfId="1" applyFont="1" applyBorder="1" applyAlignment="1">
      <alignment horizontal="center"/>
    </xf>
    <xf numFmtId="0" fontId="13" fillId="2" borderId="9" xfId="1" applyFont="1" applyFill="1" applyBorder="1" applyAlignment="1">
      <alignment horizontal="left" vertical="center"/>
    </xf>
    <xf numFmtId="0" fontId="13" fillId="2" borderId="11" xfId="1" applyFont="1" applyFill="1" applyBorder="1" applyAlignment="1">
      <alignment horizontal="left" vertical="center"/>
    </xf>
    <xf numFmtId="0" fontId="13" fillId="2" borderId="30" xfId="1" applyFont="1" applyFill="1" applyBorder="1" applyAlignment="1">
      <alignment horizontal="left" vertical="center"/>
    </xf>
    <xf numFmtId="165" fontId="11" fillId="0" borderId="5" xfId="0" applyNumberFormat="1" applyFont="1" applyBorder="1" applyAlignment="1">
      <alignment horizontal="right"/>
    </xf>
    <xf numFmtId="9" fontId="10" fillId="0" borderId="65" xfId="2" applyFont="1" applyFill="1" applyBorder="1" applyAlignment="1">
      <alignment horizontal="center" vertical="distributed"/>
    </xf>
    <xf numFmtId="9" fontId="10" fillId="0" borderId="35" xfId="2" applyFont="1" applyFill="1" applyBorder="1" applyAlignment="1">
      <alignment horizontal="center" vertical="distributed"/>
    </xf>
    <xf numFmtId="9" fontId="10" fillId="0" borderId="61" xfId="2" applyFont="1" applyFill="1" applyBorder="1" applyAlignment="1">
      <alignment horizontal="center" vertical="distributed"/>
    </xf>
    <xf numFmtId="0" fontId="62" fillId="2" borderId="12" xfId="0" applyFont="1" applyFill="1" applyBorder="1" applyAlignment="1" applyProtection="1">
      <alignment vertical="top"/>
      <protection locked="0"/>
    </xf>
    <xf numFmtId="0" fontId="5" fillId="0" borderId="79" xfId="0" applyFont="1" applyBorder="1"/>
    <xf numFmtId="0" fontId="0" fillId="0" borderId="80" xfId="0" applyBorder="1"/>
    <xf numFmtId="0" fontId="5" fillId="0" borderId="79" xfId="0" applyFont="1" applyBorder="1" applyAlignment="1">
      <alignment horizontal="right"/>
    </xf>
    <xf numFmtId="0" fontId="0" fillId="0" borderId="79" xfId="0" applyBorder="1"/>
    <xf numFmtId="0" fontId="5" fillId="0" borderId="83" xfId="0" applyFont="1" applyBorder="1" applyAlignment="1">
      <alignment horizontal="right"/>
    </xf>
    <xf numFmtId="0" fontId="0" fillId="0" borderId="5" xfId="0" applyBorder="1"/>
    <xf numFmtId="49" fontId="13" fillId="2" borderId="10" xfId="1" applyNumberFormat="1" applyFont="1" applyFill="1" applyBorder="1" applyAlignment="1">
      <alignment horizontal="center" vertical="center"/>
    </xf>
    <xf numFmtId="49" fontId="11" fillId="0" borderId="1" xfId="0" applyNumberFormat="1" applyFont="1" applyBorder="1"/>
    <xf numFmtId="0" fontId="0" fillId="0" borderId="4" xfId="0" applyBorder="1"/>
    <xf numFmtId="0" fontId="0" fillId="0" borderId="84" xfId="0" applyBorder="1"/>
    <xf numFmtId="0" fontId="0" fillId="0" borderId="85" xfId="0" applyBorder="1"/>
    <xf numFmtId="0" fontId="0" fillId="0" borderId="86" xfId="0" applyBorder="1"/>
    <xf numFmtId="49" fontId="11" fillId="0" borderId="1" xfId="1" applyNumberFormat="1" applyFont="1" applyBorder="1" applyAlignment="1">
      <alignment horizontal="center"/>
    </xf>
    <xf numFmtId="165" fontId="11" fillId="0" borderId="13" xfId="1" applyNumberFormat="1" applyFont="1" applyBorder="1" applyAlignment="1">
      <alignment horizontal="center"/>
    </xf>
    <xf numFmtId="49" fontId="46" fillId="11" borderId="59" xfId="1" applyNumberFormat="1" applyFont="1" applyFill="1" applyBorder="1" applyAlignment="1" applyProtection="1">
      <alignment horizontal="center" vertical="center"/>
      <protection locked="0"/>
    </xf>
    <xf numFmtId="49" fontId="46" fillId="11" borderId="33" xfId="1" applyNumberFormat="1" applyFont="1" applyFill="1" applyBorder="1" applyAlignment="1" applyProtection="1">
      <alignment horizontal="center" vertical="center"/>
      <protection locked="0"/>
    </xf>
    <xf numFmtId="49" fontId="46" fillId="11" borderId="60" xfId="1" applyNumberFormat="1" applyFont="1" applyFill="1" applyBorder="1" applyAlignment="1" applyProtection="1">
      <alignment horizontal="center" vertical="center"/>
      <protection locked="0"/>
    </xf>
    <xf numFmtId="49" fontId="46" fillId="11" borderId="67" xfId="1" applyNumberFormat="1" applyFont="1" applyFill="1" applyBorder="1" applyAlignment="1" applyProtection="1">
      <alignment horizontal="center" vertical="center"/>
      <protection locked="0"/>
    </xf>
    <xf numFmtId="49" fontId="46" fillId="11" borderId="68" xfId="1" applyNumberFormat="1" applyFont="1" applyFill="1" applyBorder="1" applyAlignment="1" applyProtection="1">
      <alignment horizontal="center" vertical="center"/>
      <protection locked="0"/>
    </xf>
    <xf numFmtId="49" fontId="46" fillId="11" borderId="69" xfId="1" applyNumberFormat="1" applyFont="1" applyFill="1" applyBorder="1" applyAlignment="1" applyProtection="1">
      <alignment horizontal="center" vertical="center"/>
      <protection locked="0"/>
    </xf>
    <xf numFmtId="49" fontId="46" fillId="11" borderId="70" xfId="1" applyNumberFormat="1" applyFont="1" applyFill="1" applyBorder="1" applyAlignment="1" applyProtection="1">
      <alignment horizontal="center" vertical="center"/>
      <protection locked="0"/>
    </xf>
    <xf numFmtId="49" fontId="46" fillId="11" borderId="71" xfId="1" applyNumberFormat="1" applyFont="1" applyFill="1" applyBorder="1" applyAlignment="1" applyProtection="1">
      <alignment horizontal="center" vertical="center"/>
      <protection locked="0"/>
    </xf>
    <xf numFmtId="49" fontId="46" fillId="11" borderId="72" xfId="1" applyNumberFormat="1" applyFont="1" applyFill="1" applyBorder="1" applyAlignment="1" applyProtection="1">
      <alignment horizontal="center" vertical="center"/>
      <protection locked="0"/>
    </xf>
    <xf numFmtId="49" fontId="46" fillId="11" borderId="21" xfId="1" applyNumberFormat="1" applyFont="1" applyFill="1" applyBorder="1" applyAlignment="1" applyProtection="1">
      <alignment horizontal="center" vertical="center"/>
      <protection locked="0"/>
    </xf>
    <xf numFmtId="0" fontId="11" fillId="9" borderId="0" xfId="1" applyFont="1" applyFill="1" applyProtection="1">
      <protection locked="0"/>
    </xf>
    <xf numFmtId="1" fontId="11" fillId="0" borderId="2" xfId="0" applyNumberFormat="1" applyFont="1" applyBorder="1"/>
    <xf numFmtId="49" fontId="11" fillId="0" borderId="1" xfId="1" applyNumberFormat="1" applyFont="1" applyBorder="1" applyAlignment="1">
      <alignment horizontal="right"/>
    </xf>
    <xf numFmtId="49" fontId="11" fillId="0" borderId="5" xfId="1" applyNumberFormat="1" applyFont="1" applyBorder="1" applyAlignment="1">
      <alignment horizontal="right"/>
    </xf>
    <xf numFmtId="49" fontId="11" fillId="0" borderId="13" xfId="1" applyNumberFormat="1" applyFont="1" applyBorder="1" applyAlignment="1">
      <alignment horizontal="right"/>
    </xf>
    <xf numFmtId="49" fontId="11" fillId="0" borderId="4" xfId="1" applyNumberFormat="1" applyFont="1" applyBorder="1" applyAlignment="1">
      <alignment horizontal="right"/>
    </xf>
    <xf numFmtId="0" fontId="11" fillId="0" borderId="0" xfId="1" applyFont="1" applyAlignment="1">
      <alignment horizontal="left" indent="1"/>
    </xf>
    <xf numFmtId="0" fontId="8" fillId="0" borderId="79" xfId="0" applyFont="1" applyBorder="1" applyAlignment="1">
      <alignment horizontal="left"/>
    </xf>
    <xf numFmtId="0" fontId="5" fillId="0" borderId="75" xfId="0" applyFont="1" applyBorder="1"/>
    <xf numFmtId="0" fontId="39" fillId="2" borderId="0" xfId="0" applyFont="1" applyFill="1" applyAlignment="1">
      <alignment horizontal="center"/>
    </xf>
    <xf numFmtId="0" fontId="39" fillId="2" borderId="51" xfId="0" applyFont="1" applyFill="1" applyBorder="1" applyAlignment="1">
      <alignment horizontal="center" wrapText="1"/>
    </xf>
    <xf numFmtId="0" fontId="39" fillId="2" borderId="52" xfId="0" applyFont="1" applyFill="1" applyBorder="1" applyAlignment="1">
      <alignment horizontal="center" wrapText="1"/>
    </xf>
    <xf numFmtId="0" fontId="39" fillId="2" borderId="57" xfId="0" applyFont="1" applyFill="1" applyBorder="1" applyAlignment="1">
      <alignment horizontal="center" wrapText="1"/>
    </xf>
    <xf numFmtId="0" fontId="39" fillId="2" borderId="51" xfId="0" applyFont="1" applyFill="1" applyBorder="1" applyAlignment="1" applyProtection="1">
      <alignment horizontal="center" wrapText="1"/>
      <protection locked="0"/>
    </xf>
    <xf numFmtId="0" fontId="39" fillId="2" borderId="51" xfId="0" applyFont="1" applyFill="1" applyBorder="1" applyAlignment="1">
      <alignment horizontal="center"/>
    </xf>
    <xf numFmtId="0" fontId="0" fillId="0" borderId="75" xfId="0" applyBorder="1"/>
    <xf numFmtId="0" fontId="39" fillId="2" borderId="17" xfId="0" applyFont="1" applyFill="1" applyBorder="1" applyAlignment="1">
      <alignment horizontal="center" wrapText="1"/>
    </xf>
    <xf numFmtId="0" fontId="39" fillId="2" borderId="13" xfId="0" applyFont="1" applyFill="1" applyBorder="1" applyAlignment="1">
      <alignment horizontal="center" wrapText="1"/>
    </xf>
    <xf numFmtId="0" fontId="11" fillId="0" borderId="2" xfId="1" applyFont="1" applyBorder="1" applyAlignment="1">
      <alignment horizontal="right" indent="1"/>
    </xf>
    <xf numFmtId="0" fontId="12" fillId="9" borderId="12" xfId="1" applyFont="1" applyFill="1" applyBorder="1" applyAlignment="1">
      <alignment horizontal="center"/>
    </xf>
    <xf numFmtId="0" fontId="12" fillId="9" borderId="4" xfId="1" applyFont="1" applyFill="1" applyBorder="1" applyAlignment="1">
      <alignment horizontal="center"/>
    </xf>
    <xf numFmtId="0" fontId="11" fillId="9" borderId="7" xfId="1" applyFont="1" applyFill="1" applyBorder="1" applyAlignment="1">
      <alignment horizontal="center"/>
    </xf>
    <xf numFmtId="0" fontId="11" fillId="9" borderId="8" xfId="1" applyFont="1" applyFill="1" applyBorder="1" applyAlignment="1">
      <alignment horizontal="center"/>
    </xf>
    <xf numFmtId="49" fontId="11" fillId="9" borderId="0" xfId="1" quotePrefix="1" applyNumberFormat="1" applyFont="1" applyFill="1" applyAlignment="1">
      <alignment horizontal="center" vertical="center"/>
    </xf>
    <xf numFmtId="1" fontId="11" fillId="9" borderId="5" xfId="1" applyNumberFormat="1" applyFont="1" applyFill="1" applyBorder="1" applyAlignment="1">
      <alignment horizontal="center" vertical="center"/>
    </xf>
    <xf numFmtId="49" fontId="11" fillId="9" borderId="12" xfId="1" quotePrefix="1" applyNumberFormat="1" applyFont="1" applyFill="1" applyBorder="1" applyAlignment="1">
      <alignment horizontal="center" vertical="center"/>
    </xf>
    <xf numFmtId="1" fontId="11" fillId="9" borderId="4" xfId="1" applyNumberFormat="1" applyFont="1" applyFill="1" applyBorder="1" applyAlignment="1">
      <alignment horizontal="center" vertical="center"/>
    </xf>
    <xf numFmtId="49" fontId="11" fillId="9" borderId="0" xfId="1" quotePrefix="1" applyNumberFormat="1" applyFont="1" applyFill="1" applyAlignment="1">
      <alignment horizontal="center"/>
    </xf>
    <xf numFmtId="1" fontId="11" fillId="9" borderId="5" xfId="1" applyNumberFormat="1" applyFont="1" applyFill="1" applyBorder="1" applyAlignment="1">
      <alignment horizontal="center"/>
    </xf>
    <xf numFmtId="0" fontId="11" fillId="9" borderId="2" xfId="1" applyFont="1" applyFill="1" applyBorder="1" applyAlignment="1">
      <alignment horizontal="left"/>
    </xf>
    <xf numFmtId="0" fontId="11" fillId="9" borderId="0" xfId="1" applyFont="1" applyFill="1" applyAlignment="1">
      <alignment horizontal="left"/>
    </xf>
    <xf numFmtId="0" fontId="11" fillId="9" borderId="12" xfId="1" applyFont="1" applyFill="1" applyBorder="1" applyAlignment="1">
      <alignment horizontal="center"/>
    </xf>
    <xf numFmtId="0" fontId="11" fillId="9" borderId="4" xfId="1" applyFont="1" applyFill="1" applyBorder="1" applyAlignment="1">
      <alignment horizontal="center"/>
    </xf>
    <xf numFmtId="0" fontId="38" fillId="9" borderId="0" xfId="0" applyFont="1" applyFill="1"/>
    <xf numFmtId="0" fontId="36" fillId="9" borderId="0" xfId="0" applyFont="1" applyFill="1"/>
    <xf numFmtId="165" fontId="12" fillId="0" borderId="27" xfId="0" applyNumberFormat="1" applyFont="1" applyBorder="1" applyAlignment="1" applyProtection="1">
      <alignment horizontal="right" vertical="center" indent="1"/>
      <protection locked="0"/>
    </xf>
    <xf numFmtId="0" fontId="11" fillId="0" borderId="12" xfId="0" applyFont="1" applyBorder="1" applyAlignment="1">
      <alignment horizontal="left"/>
    </xf>
    <xf numFmtId="0" fontId="5" fillId="0" borderId="0" xfId="0" applyFont="1"/>
    <xf numFmtId="0" fontId="5" fillId="0" borderId="73" xfId="0" applyFont="1" applyBorder="1"/>
    <xf numFmtId="0" fontId="5" fillId="0" borderId="74" xfId="0" applyFont="1" applyBorder="1"/>
    <xf numFmtId="0" fontId="0" fillId="0" borderId="74" xfId="0" applyBorder="1"/>
    <xf numFmtId="0" fontId="8" fillId="0" borderId="94" xfId="0" applyFont="1" applyBorder="1"/>
    <xf numFmtId="0" fontId="8" fillId="0" borderId="0" xfId="0" applyFont="1"/>
    <xf numFmtId="0" fontId="8" fillId="0" borderId="74" xfId="0" applyFont="1" applyBorder="1"/>
    <xf numFmtId="0" fontId="63" fillId="0" borderId="0" xfId="0" applyFont="1"/>
    <xf numFmtId="0" fontId="0" fillId="0" borderId="95" xfId="0" applyBorder="1"/>
    <xf numFmtId="0" fontId="5" fillId="0" borderId="96" xfId="0" applyFont="1" applyBorder="1"/>
    <xf numFmtId="0" fontId="5" fillId="0" borderId="97" xfId="0" applyFont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8" fillId="0" borderId="79" xfId="0" applyFont="1" applyBorder="1"/>
    <xf numFmtId="0" fontId="8" fillId="0" borderId="80" xfId="0" applyFont="1" applyBorder="1"/>
    <xf numFmtId="0" fontId="0" fillId="0" borderId="81" xfId="0" applyBorder="1"/>
    <xf numFmtId="0" fontId="5" fillId="0" borderId="80" xfId="0" applyFont="1" applyBorder="1"/>
    <xf numFmtId="0" fontId="0" fillId="0" borderId="83" xfId="0" applyBorder="1"/>
    <xf numFmtId="0" fontId="5" fillId="0" borderId="82" xfId="0" applyFont="1" applyBorder="1"/>
    <xf numFmtId="0" fontId="8" fillId="0" borderId="87" xfId="0" applyFont="1" applyBorder="1"/>
    <xf numFmtId="0" fontId="0" fillId="0" borderId="88" xfId="0" applyBorder="1"/>
    <xf numFmtId="0" fontId="0" fillId="0" borderId="89" xfId="0" applyBorder="1"/>
    <xf numFmtId="0" fontId="8" fillId="0" borderId="90" xfId="0" applyFont="1" applyBorder="1"/>
    <xf numFmtId="0" fontId="0" fillId="0" borderId="91" xfId="0" applyBorder="1"/>
    <xf numFmtId="0" fontId="0" fillId="0" borderId="92" xfId="0" applyBorder="1"/>
    <xf numFmtId="0" fontId="5" fillId="0" borderId="90" xfId="0" applyFont="1" applyBorder="1"/>
    <xf numFmtId="0" fontId="0" fillId="0" borderId="90" xfId="0" applyBorder="1"/>
    <xf numFmtId="0" fontId="63" fillId="0" borderId="90" xfId="0" applyFont="1" applyBorder="1" applyAlignment="1">
      <alignment horizontal="right"/>
    </xf>
    <xf numFmtId="0" fontId="0" fillId="0" borderId="93" xfId="0" applyBorder="1"/>
    <xf numFmtId="0" fontId="65" fillId="0" borderId="0" xfId="0" applyFont="1"/>
    <xf numFmtId="49" fontId="0" fillId="0" borderId="75" xfId="0" applyNumberFormat="1" applyBorder="1"/>
    <xf numFmtId="2" fontId="11" fillId="0" borderId="0" xfId="0" applyNumberFormat="1" applyFont="1" applyAlignment="1">
      <alignment horizontal="center"/>
    </xf>
    <xf numFmtId="2" fontId="11" fillId="0" borderId="5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2" fontId="12" fillId="0" borderId="5" xfId="0" applyNumberFormat="1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2" fontId="12" fillId="0" borderId="0" xfId="0" applyNumberFormat="1" applyFont="1" applyAlignment="1">
      <alignment horizontal="center"/>
    </xf>
    <xf numFmtId="0" fontId="11" fillId="0" borderId="2" xfId="0" applyFont="1" applyBorder="1" applyAlignment="1">
      <alignment horizontal="center"/>
    </xf>
    <xf numFmtId="1" fontId="66" fillId="0" borderId="6" xfId="0" applyNumberFormat="1" applyFont="1" applyBorder="1" applyAlignment="1">
      <alignment horizontal="center" vertical="center"/>
    </xf>
    <xf numFmtId="1" fontId="66" fillId="0" borderId="7" xfId="0" applyNumberFormat="1" applyFont="1" applyBorder="1" applyAlignment="1">
      <alignment horizontal="center" vertical="center"/>
    </xf>
    <xf numFmtId="1" fontId="66" fillId="0" borderId="8" xfId="0" applyNumberFormat="1" applyFont="1" applyBorder="1" applyAlignment="1">
      <alignment horizontal="center" vertical="center"/>
    </xf>
    <xf numFmtId="1" fontId="66" fillId="0" borderId="2" xfId="0" applyNumberFormat="1" applyFont="1" applyBorder="1" applyAlignment="1">
      <alignment horizontal="center" vertical="center"/>
    </xf>
    <xf numFmtId="1" fontId="66" fillId="0" borderId="0" xfId="0" applyNumberFormat="1" applyFont="1" applyAlignment="1">
      <alignment horizontal="center" vertical="center"/>
    </xf>
    <xf numFmtId="1" fontId="66" fillId="0" borderId="5" xfId="0" applyNumberFormat="1" applyFont="1" applyBorder="1" applyAlignment="1">
      <alignment horizontal="center" vertical="center"/>
    </xf>
    <xf numFmtId="1" fontId="66" fillId="0" borderId="3" xfId="0" applyNumberFormat="1" applyFont="1" applyBorder="1" applyAlignment="1">
      <alignment horizontal="center" vertical="center"/>
    </xf>
    <xf numFmtId="1" fontId="66" fillId="0" borderId="12" xfId="0" applyNumberFormat="1" applyFont="1" applyBorder="1" applyAlignment="1">
      <alignment horizontal="center" vertical="center"/>
    </xf>
    <xf numFmtId="1" fontId="66" fillId="0" borderId="4" xfId="0" applyNumberFormat="1" applyFont="1" applyBorder="1" applyAlignment="1">
      <alignment horizontal="center" vertical="center"/>
    </xf>
    <xf numFmtId="1" fontId="11" fillId="0" borderId="6" xfId="0" applyNumberFormat="1" applyFont="1" applyBorder="1" applyAlignment="1">
      <alignment horizontal="center"/>
    </xf>
    <xf numFmtId="1" fontId="11" fillId="0" borderId="8" xfId="0" applyNumberFormat="1" applyFont="1" applyBorder="1" applyAlignment="1">
      <alignment horizontal="center"/>
    </xf>
    <xf numFmtId="2" fontId="67" fillId="0" borderId="67" xfId="0" applyNumberFormat="1" applyFont="1" applyBorder="1" applyAlignment="1">
      <alignment horizontal="center" vertical="center"/>
    </xf>
    <xf numFmtId="2" fontId="67" fillId="0" borderId="69" xfId="0" applyNumberFormat="1" applyFont="1" applyBorder="1" applyAlignment="1">
      <alignment horizontal="center" vertical="center"/>
    </xf>
    <xf numFmtId="2" fontId="67" fillId="0" borderId="98" xfId="0" applyNumberFormat="1" applyFont="1" applyBorder="1" applyAlignment="1">
      <alignment horizontal="center" vertical="center"/>
    </xf>
    <xf numFmtId="2" fontId="67" fillId="0" borderId="99" xfId="0" applyNumberFormat="1" applyFont="1" applyBorder="1" applyAlignment="1">
      <alignment horizontal="center" vertical="center"/>
    </xf>
    <xf numFmtId="0" fontId="12" fillId="0" borderId="8" xfId="0" applyFont="1" applyBorder="1"/>
    <xf numFmtId="1" fontId="11" fillId="0" borderId="0" xfId="0" applyNumberFormat="1" applyFont="1" applyAlignment="1">
      <alignment horizontal="center"/>
    </xf>
    <xf numFmtId="1" fontId="11" fillId="0" borderId="5" xfId="0" applyNumberFormat="1" applyFont="1" applyBorder="1" applyAlignment="1">
      <alignment horizontal="center"/>
    </xf>
    <xf numFmtId="1" fontId="11" fillId="0" borderId="12" xfId="0" applyNumberFormat="1" applyFont="1" applyBorder="1" applyAlignment="1">
      <alignment horizontal="center"/>
    </xf>
    <xf numFmtId="1" fontId="11" fillId="0" borderId="4" xfId="0" applyNumberFormat="1" applyFont="1" applyBorder="1" applyAlignment="1">
      <alignment horizontal="center"/>
    </xf>
    <xf numFmtId="0" fontId="36" fillId="2" borderId="0" xfId="0" applyFont="1" applyFill="1"/>
    <xf numFmtId="2" fontId="0" fillId="0" borderId="0" xfId="0" applyNumberFormat="1"/>
    <xf numFmtId="0" fontId="36" fillId="0" borderId="8" xfId="1" applyFont="1" applyBorder="1" applyAlignment="1">
      <alignment horizontal="left"/>
    </xf>
    <xf numFmtId="168" fontId="36" fillId="0" borderId="5" xfId="1" applyNumberFormat="1" applyFont="1" applyBorder="1" applyAlignment="1">
      <alignment horizontal="right" indent="1"/>
    </xf>
    <xf numFmtId="0" fontId="37" fillId="0" borderId="3" xfId="1" applyFont="1" applyBorder="1"/>
    <xf numFmtId="168" fontId="36" fillId="0" borderId="4" xfId="1" applyNumberFormat="1" applyFont="1" applyBorder="1" applyAlignment="1">
      <alignment horizontal="right" indent="1"/>
    </xf>
    <xf numFmtId="49" fontId="0" fillId="0" borderId="80" xfId="0" applyNumberFormat="1" applyBorder="1"/>
    <xf numFmtId="0" fontId="0" fillId="16" borderId="75" xfId="0" applyFill="1" applyBorder="1"/>
    <xf numFmtId="0" fontId="8" fillId="0" borderId="0" xfId="0" quotePrefix="1" applyFont="1"/>
    <xf numFmtId="0" fontId="13" fillId="2" borderId="7" xfId="1" applyFont="1" applyFill="1" applyBorder="1" applyAlignment="1">
      <alignment horizontal="left" vertical="center"/>
    </xf>
    <xf numFmtId="0" fontId="13" fillId="2" borderId="18" xfId="1" applyFont="1" applyFill="1" applyBorder="1" applyAlignment="1">
      <alignment horizontal="left" vertical="center"/>
    </xf>
    <xf numFmtId="0" fontId="68" fillId="0" borderId="101" xfId="4" applyFont="1" applyBorder="1" applyAlignment="1" applyProtection="1">
      <alignment horizontal="center" vertical="center"/>
      <protection locked="0"/>
    </xf>
    <xf numFmtId="0" fontId="68" fillId="0" borderId="102" xfId="4" applyFont="1" applyBorder="1" applyAlignment="1" applyProtection="1">
      <alignment horizontal="center" vertical="center"/>
      <protection locked="0"/>
    </xf>
    <xf numFmtId="0" fontId="68" fillId="0" borderId="100" xfId="4" applyFont="1" applyBorder="1" applyAlignment="1" applyProtection="1">
      <alignment horizontal="center" vertical="center"/>
      <protection locked="0"/>
    </xf>
    <xf numFmtId="0" fontId="10" fillId="0" borderId="6" xfId="1" applyFont="1" applyBorder="1" applyAlignment="1">
      <alignment horizontal="center" vertical="center"/>
    </xf>
    <xf numFmtId="0" fontId="10" fillId="0" borderId="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49" fontId="15" fillId="0" borderId="7" xfId="1" applyNumberFormat="1" applyFont="1" applyBorder="1" applyAlignment="1">
      <alignment horizontal="center" vertical="center"/>
    </xf>
    <xf numFmtId="49" fontId="25" fillId="0" borderId="5" xfId="1" applyNumberFormat="1" applyFont="1" applyBorder="1" applyAlignment="1">
      <alignment horizontal="center" vertical="center"/>
    </xf>
    <xf numFmtId="0" fontId="26" fillId="0" borderId="3" xfId="1" applyFont="1" applyBorder="1" applyAlignment="1">
      <alignment horizontal="center" vertical="center"/>
    </xf>
    <xf numFmtId="49" fontId="15" fillId="0" borderId="0" xfId="1" applyNumberFormat="1" applyFont="1" applyAlignment="1">
      <alignment horizontal="center" vertical="center"/>
    </xf>
    <xf numFmtId="0" fontId="26" fillId="0" borderId="6" xfId="1" applyFont="1" applyBorder="1" applyAlignment="1">
      <alignment horizontal="center" vertical="center"/>
    </xf>
    <xf numFmtId="0" fontId="26" fillId="0" borderId="2" xfId="1" applyFont="1" applyBorder="1" applyAlignment="1">
      <alignment horizontal="center" vertical="center"/>
    </xf>
    <xf numFmtId="0" fontId="31" fillId="0" borderId="0" xfId="1" applyFont="1"/>
    <xf numFmtId="0" fontId="5" fillId="9" borderId="0" xfId="0" applyFont="1" applyFill="1"/>
    <xf numFmtId="0" fontId="11" fillId="10" borderId="0" xfId="1" applyFont="1" applyFill="1" applyAlignment="1">
      <alignment horizontal="right" indent="1"/>
    </xf>
    <xf numFmtId="0" fontId="11" fillId="10" borderId="5" xfId="1" applyFont="1" applyFill="1" applyBorder="1"/>
    <xf numFmtId="165" fontId="12" fillId="0" borderId="0" xfId="1" applyNumberFormat="1" applyFont="1" applyAlignment="1">
      <alignment horizontal="center"/>
    </xf>
    <xf numFmtId="49" fontId="11" fillId="0" borderId="34" xfId="1" applyNumberFormat="1" applyFont="1" applyBorder="1" applyAlignment="1">
      <alignment horizontal="center"/>
    </xf>
    <xf numFmtId="49" fontId="12" fillId="0" borderId="24" xfId="1" applyNumberFormat="1" applyFont="1" applyBorder="1" applyAlignment="1">
      <alignment vertical="center"/>
    </xf>
    <xf numFmtId="49" fontId="12" fillId="9" borderId="24" xfId="1" applyNumberFormat="1" applyFont="1" applyFill="1" applyBorder="1" applyAlignment="1">
      <alignment vertical="center"/>
    </xf>
    <xf numFmtId="49" fontId="12" fillId="9" borderId="25" xfId="1" applyNumberFormat="1" applyFont="1" applyFill="1" applyBorder="1" applyAlignment="1">
      <alignment vertical="center"/>
    </xf>
    <xf numFmtId="0" fontId="29" fillId="0" borderId="25" xfId="1" applyFont="1" applyBorder="1" applyAlignment="1">
      <alignment vertical="center"/>
    </xf>
    <xf numFmtId="165" fontId="28" fillId="0" borderId="0" xfId="1" applyNumberFormat="1" applyFont="1" applyAlignment="1">
      <alignment horizontal="center"/>
    </xf>
    <xf numFmtId="49" fontId="15" fillId="0" borderId="23" xfId="1" applyNumberFormat="1" applyFont="1" applyBorder="1" applyAlignment="1">
      <alignment horizontal="center" vertical="center"/>
    </xf>
    <xf numFmtId="49" fontId="15" fillId="0" borderId="24" xfId="1" applyNumberFormat="1" applyFont="1" applyBorder="1" applyAlignment="1">
      <alignment horizontal="center" vertical="center"/>
    </xf>
    <xf numFmtId="49" fontId="15" fillId="0" borderId="25" xfId="1" applyNumberFormat="1" applyFont="1" applyBorder="1" applyAlignment="1">
      <alignment horizontal="center" vertical="center"/>
    </xf>
    <xf numFmtId="49" fontId="44" fillId="9" borderId="23" xfId="1" applyNumberFormat="1" applyFont="1" applyFill="1" applyBorder="1" applyAlignment="1">
      <alignment horizontal="left" vertical="center"/>
    </xf>
    <xf numFmtId="49" fontId="44" fillId="9" borderId="24" xfId="1" applyNumberFormat="1" applyFont="1" applyFill="1" applyBorder="1" applyAlignment="1">
      <alignment horizontal="left" vertical="center"/>
    </xf>
    <xf numFmtId="49" fontId="44" fillId="9" borderId="25" xfId="1" applyNumberFormat="1" applyFont="1" applyFill="1" applyBorder="1" applyAlignment="1">
      <alignment horizontal="left" vertical="center"/>
    </xf>
    <xf numFmtId="0" fontId="0" fillId="0" borderId="8" xfId="0" applyBorder="1"/>
    <xf numFmtId="0" fontId="12" fillId="0" borderId="7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165" fontId="11" fillId="0" borderId="0" xfId="0" applyNumberFormat="1" applyFont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165" fontId="11" fillId="0" borderId="0" xfId="0" applyNumberFormat="1" applyFont="1" applyAlignment="1">
      <alignment horizontal="center" vertical="center"/>
    </xf>
    <xf numFmtId="165" fontId="11" fillId="0" borderId="5" xfId="0" applyNumberFormat="1" applyFont="1" applyBorder="1" applyAlignment="1">
      <alignment horizontal="center" vertical="center"/>
    </xf>
    <xf numFmtId="165" fontId="11" fillId="0" borderId="12" xfId="0" applyNumberFormat="1" applyFont="1" applyBorder="1" applyAlignment="1">
      <alignment horizontal="center" vertical="center"/>
    </xf>
    <xf numFmtId="165" fontId="11" fillId="0" borderId="4" xfId="0" applyNumberFormat="1" applyFont="1" applyBorder="1" applyAlignment="1">
      <alignment horizontal="center" vertical="center"/>
    </xf>
    <xf numFmtId="49" fontId="5" fillId="9" borderId="6" xfId="1" applyNumberFormat="1" applyFill="1" applyBorder="1"/>
    <xf numFmtId="49" fontId="5" fillId="9" borderId="16" xfId="1" applyNumberFormat="1" applyFill="1" applyBorder="1"/>
    <xf numFmtId="49" fontId="5" fillId="9" borderId="7" xfId="1" applyNumberFormat="1" applyFill="1" applyBorder="1"/>
    <xf numFmtId="49" fontId="5" fillId="9" borderId="18" xfId="1" applyNumberFormat="1" applyFill="1" applyBorder="1"/>
    <xf numFmtId="49" fontId="5" fillId="9" borderId="8" xfId="1" applyNumberFormat="1" applyFill="1" applyBorder="1"/>
    <xf numFmtId="49" fontId="5" fillId="9" borderId="45" xfId="1" applyNumberFormat="1" applyFill="1" applyBorder="1"/>
    <xf numFmtId="49" fontId="15" fillId="9" borderId="45" xfId="1" applyNumberFormat="1" applyFont="1" applyFill="1" applyBorder="1" applyAlignment="1">
      <alignment horizontal="center" vertical="center"/>
    </xf>
    <xf numFmtId="0" fontId="12" fillId="9" borderId="7" xfId="1" applyFont="1" applyFill="1" applyBorder="1" applyAlignment="1">
      <alignment vertical="center" wrapText="1"/>
    </xf>
    <xf numFmtId="0" fontId="12" fillId="9" borderId="6" xfId="1" applyFont="1" applyFill="1" applyBorder="1" applyAlignment="1">
      <alignment vertical="center" wrapText="1"/>
    </xf>
    <xf numFmtId="0" fontId="68" fillId="0" borderId="53" xfId="4" applyFont="1" applyBorder="1" applyAlignment="1" applyProtection="1">
      <alignment horizontal="center" vertical="center"/>
      <protection locked="0"/>
    </xf>
    <xf numFmtId="0" fontId="68" fillId="0" borderId="54" xfId="4" applyFont="1" applyBorder="1" applyAlignment="1" applyProtection="1">
      <alignment horizontal="center" vertical="center"/>
      <protection locked="0"/>
    </xf>
    <xf numFmtId="165" fontId="11" fillId="0" borderId="12" xfId="0" applyNumberFormat="1" applyFont="1" applyBorder="1" applyAlignment="1">
      <alignment horizontal="center"/>
    </xf>
    <xf numFmtId="165" fontId="32" fillId="0" borderId="0" xfId="0" applyNumberFormat="1" applyFont="1" applyAlignment="1">
      <alignment horizontal="center"/>
    </xf>
    <xf numFmtId="165" fontId="32" fillId="0" borderId="5" xfId="0" applyNumberFormat="1" applyFont="1" applyBorder="1" applyAlignment="1">
      <alignment horizontal="center"/>
    </xf>
    <xf numFmtId="165" fontId="32" fillId="9" borderId="0" xfId="0" applyNumberFormat="1" applyFont="1" applyFill="1" applyAlignment="1">
      <alignment horizontal="center"/>
    </xf>
    <xf numFmtId="0" fontId="20" fillId="9" borderId="0" xfId="0" applyFont="1" applyFill="1" applyAlignment="1">
      <alignment horizontal="left" vertical="center"/>
    </xf>
    <xf numFmtId="2" fontId="11" fillId="9" borderId="0" xfId="0" applyNumberFormat="1" applyFont="1" applyFill="1"/>
    <xf numFmtId="165" fontId="32" fillId="0" borderId="2" xfId="0" applyNumberFormat="1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165" fontId="11" fillId="0" borderId="24" xfId="0" applyNumberFormat="1" applyFont="1" applyBorder="1" applyAlignment="1">
      <alignment horizontal="center"/>
    </xf>
    <xf numFmtId="165" fontId="11" fillId="0" borderId="25" xfId="0" applyNumberFormat="1" applyFont="1" applyBorder="1" applyAlignment="1">
      <alignment horizontal="center"/>
    </xf>
    <xf numFmtId="2" fontId="12" fillId="0" borderId="25" xfId="0" applyNumberFormat="1" applyFont="1" applyBorder="1" applyAlignment="1">
      <alignment horizontal="center"/>
    </xf>
    <xf numFmtId="165" fontId="11" fillId="0" borderId="7" xfId="0" applyNumberFormat="1" applyFont="1" applyBorder="1" applyAlignment="1">
      <alignment horizontal="center" vertical="center"/>
    </xf>
    <xf numFmtId="165" fontId="11" fillId="0" borderId="8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165" fontId="11" fillId="9" borderId="0" xfId="0" applyNumberFormat="1" applyFont="1" applyFill="1" applyAlignment="1">
      <alignment horizontal="center" vertical="center"/>
    </xf>
    <xf numFmtId="0" fontId="12" fillId="9" borderId="2" xfId="0" applyFont="1" applyFill="1" applyBorder="1"/>
    <xf numFmtId="165" fontId="12" fillId="0" borderId="25" xfId="0" applyNumberFormat="1" applyFont="1" applyBorder="1" applyAlignment="1">
      <alignment horizontal="center" vertical="center"/>
    </xf>
    <xf numFmtId="0" fontId="70" fillId="0" borderId="6" xfId="0" applyFont="1" applyBorder="1"/>
    <xf numFmtId="0" fontId="3" fillId="0" borderId="7" xfId="0" applyFont="1" applyBorder="1"/>
    <xf numFmtId="0" fontId="3" fillId="0" borderId="7" xfId="0" applyFont="1" applyBorder="1" applyAlignment="1">
      <alignment wrapText="1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165" fontId="11" fillId="9" borderId="5" xfId="0" applyNumberFormat="1" applyFont="1" applyFill="1" applyBorder="1" applyAlignment="1">
      <alignment horizontal="center" vertical="center"/>
    </xf>
    <xf numFmtId="165" fontId="11" fillId="9" borderId="0" xfId="0" applyNumberFormat="1" applyFont="1" applyFill="1"/>
    <xf numFmtId="2" fontId="11" fillId="0" borderId="40" xfId="0" applyNumberFormat="1" applyFont="1" applyBorder="1" applyAlignment="1">
      <alignment horizontal="center"/>
    </xf>
    <xf numFmtId="0" fontId="11" fillId="0" borderId="40" xfId="0" applyFont="1" applyBorder="1"/>
    <xf numFmtId="0" fontId="13" fillId="0" borderId="6" xfId="0" applyFont="1" applyBorder="1" applyAlignment="1">
      <alignment horizontal="center"/>
    </xf>
    <xf numFmtId="0" fontId="12" fillId="0" borderId="104" xfId="0" applyFont="1" applyBorder="1"/>
    <xf numFmtId="0" fontId="12" fillId="0" borderId="0" xfId="0" applyFont="1" applyAlignment="1">
      <alignment horizontal="left"/>
    </xf>
    <xf numFmtId="49" fontId="11" fillId="9" borderId="0" xfId="0" applyNumberFormat="1" applyFont="1" applyFill="1" applyAlignment="1">
      <alignment horizontal="center"/>
    </xf>
    <xf numFmtId="49" fontId="11" fillId="9" borderId="5" xfId="0" applyNumberFormat="1" applyFont="1" applyFill="1" applyBorder="1" applyAlignment="1">
      <alignment horizontal="center"/>
    </xf>
    <xf numFmtId="2" fontId="11" fillId="2" borderId="0" xfId="0" applyNumberFormat="1" applyFont="1" applyFill="1" applyAlignment="1">
      <alignment horizontal="center"/>
    </xf>
    <xf numFmtId="0" fontId="12" fillId="9" borderId="12" xfId="0" applyFont="1" applyFill="1" applyBorder="1" applyAlignment="1">
      <alignment horizontal="center"/>
    </xf>
    <xf numFmtId="0" fontId="12" fillId="9" borderId="4" xfId="0" applyFont="1" applyFill="1" applyBorder="1" applyAlignment="1">
      <alignment horizontal="center"/>
    </xf>
    <xf numFmtId="0" fontId="8" fillId="9" borderId="0" xfId="0" applyFont="1" applyFill="1"/>
    <xf numFmtId="0" fontId="0" fillId="9" borderId="0" xfId="0" applyFill="1" applyAlignment="1">
      <alignment horizontal="center"/>
    </xf>
    <xf numFmtId="165" fontId="36" fillId="0" borderId="5" xfId="1" applyNumberFormat="1" applyFont="1" applyBorder="1" applyAlignment="1">
      <alignment horizontal="center"/>
    </xf>
    <xf numFmtId="49" fontId="46" fillId="11" borderId="2" xfId="1" applyNumberFormat="1" applyFont="1" applyFill="1" applyBorder="1" applyAlignment="1" applyProtection="1">
      <alignment horizontal="center" vertical="center"/>
      <protection locked="0"/>
    </xf>
    <xf numFmtId="49" fontId="46" fillId="11" borderId="0" xfId="1" applyNumberFormat="1" applyFont="1" applyFill="1" applyAlignment="1" applyProtection="1">
      <alignment horizontal="center" vertical="center"/>
      <protection locked="0"/>
    </xf>
    <xf numFmtId="0" fontId="37" fillId="0" borderId="5" xfId="1" applyFont="1" applyBorder="1" applyAlignment="1">
      <alignment horizontal="center" vertical="center"/>
    </xf>
    <xf numFmtId="0" fontId="37" fillId="0" borderId="0" xfId="1" applyFont="1" applyAlignment="1">
      <alignment horizontal="center" vertical="center"/>
    </xf>
    <xf numFmtId="0" fontId="37" fillId="0" borderId="2" xfId="1" applyFont="1" applyBorder="1" applyAlignment="1">
      <alignment horizontal="center" vertical="center"/>
    </xf>
    <xf numFmtId="49" fontId="46" fillId="11" borderId="14" xfId="1" applyNumberFormat="1" applyFont="1" applyFill="1" applyBorder="1" applyAlignment="1" applyProtection="1">
      <alignment horizontal="center" vertical="center"/>
      <protection locked="0"/>
    </xf>
    <xf numFmtId="0" fontId="37" fillId="0" borderId="14" xfId="1" applyFont="1" applyBorder="1" applyAlignment="1">
      <alignment horizontal="center" vertical="center"/>
    </xf>
    <xf numFmtId="0" fontId="50" fillId="0" borderId="3" xfId="1" applyFont="1" applyBorder="1"/>
    <xf numFmtId="0" fontId="72" fillId="0" borderId="5" xfId="1" applyFont="1" applyBorder="1" applyAlignment="1">
      <alignment horizontal="right" wrapText="1" indent="1"/>
    </xf>
    <xf numFmtId="165" fontId="36" fillId="0" borderId="13" xfId="1" applyNumberFormat="1" applyFont="1" applyBorder="1" applyAlignment="1">
      <alignment horizontal="center"/>
    </xf>
    <xf numFmtId="10" fontId="36" fillId="9" borderId="0" xfId="1" applyNumberFormat="1" applyFont="1" applyFill="1" applyAlignment="1">
      <alignment horizontal="center"/>
    </xf>
    <xf numFmtId="0" fontId="11" fillId="0" borderId="1" xfId="1" applyFont="1" applyBorder="1" applyAlignment="1">
      <alignment horizontal="right" indent="1"/>
    </xf>
    <xf numFmtId="0" fontId="36" fillId="9" borderId="106" xfId="1" applyFont="1" applyFill="1" applyBorder="1" applyAlignment="1">
      <alignment horizontal="center"/>
    </xf>
    <xf numFmtId="167" fontId="36" fillId="0" borderId="106" xfId="1" applyNumberFormat="1" applyFont="1" applyBorder="1" applyAlignment="1">
      <alignment horizontal="right" indent="1"/>
    </xf>
    <xf numFmtId="1" fontId="36" fillId="9" borderId="106" xfId="1" applyNumberFormat="1" applyFont="1" applyFill="1" applyBorder="1" applyAlignment="1">
      <alignment horizontal="center"/>
    </xf>
    <xf numFmtId="2" fontId="36" fillId="9" borderId="106" xfId="1" applyNumberFormat="1" applyFont="1" applyFill="1" applyBorder="1" applyAlignment="1">
      <alignment horizontal="center"/>
    </xf>
    <xf numFmtId="0" fontId="35" fillId="0" borderId="0" xfId="1" applyFont="1" applyAlignment="1">
      <alignment horizontal="right" indent="1"/>
    </xf>
    <xf numFmtId="0" fontId="39" fillId="0" borderId="0" xfId="0" applyFont="1" applyAlignment="1" applyProtection="1">
      <alignment horizontal="center" wrapText="1"/>
      <protection locked="0"/>
    </xf>
    <xf numFmtId="0" fontId="0" fillId="9" borderId="0" xfId="0" applyFill="1" applyAlignment="1">
      <alignment wrapText="1"/>
    </xf>
    <xf numFmtId="0" fontId="68" fillId="0" borderId="108" xfId="4" applyFont="1" applyBorder="1" applyAlignment="1" applyProtection="1">
      <alignment horizontal="center" vertical="center"/>
      <protection locked="0"/>
    </xf>
    <xf numFmtId="49" fontId="16" fillId="0" borderId="0" xfId="1" applyNumberFormat="1" applyFont="1" applyAlignment="1">
      <alignment vertical="center"/>
    </xf>
    <xf numFmtId="165" fontId="11" fillId="18" borderId="30" xfId="0" applyNumberFormat="1" applyFont="1" applyFill="1" applyBorder="1"/>
    <xf numFmtId="0" fontId="11" fillId="0" borderId="6" xfId="0" applyFont="1" applyBorder="1" applyAlignment="1">
      <alignment horizontal="center"/>
    </xf>
    <xf numFmtId="0" fontId="11" fillId="2" borderId="4" xfId="1" applyFont="1" applyFill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36" fillId="9" borderId="0" xfId="1" applyFont="1" applyFill="1" applyAlignment="1">
      <alignment horizontal="left"/>
    </xf>
    <xf numFmtId="167" fontId="36" fillId="0" borderId="12" xfId="1" applyNumberFormat="1" applyFont="1" applyBorder="1" applyAlignment="1">
      <alignment horizontal="right" indent="1"/>
    </xf>
    <xf numFmtId="2" fontId="36" fillId="9" borderId="110" xfId="1" applyNumberFormat="1" applyFont="1" applyFill="1" applyBorder="1" applyAlignment="1">
      <alignment horizontal="center"/>
    </xf>
    <xf numFmtId="0" fontId="37" fillId="0" borderId="114" xfId="1" applyFont="1" applyBorder="1" applyAlignment="1">
      <alignment horizontal="center" vertical="center"/>
    </xf>
    <xf numFmtId="0" fontId="37" fillId="0" borderId="115" xfId="1" applyFont="1" applyBorder="1" applyAlignment="1">
      <alignment horizontal="center" vertical="center"/>
    </xf>
    <xf numFmtId="0" fontId="37" fillId="0" borderId="109" xfId="1" applyFont="1" applyBorder="1" applyAlignment="1">
      <alignment horizontal="center" vertical="center"/>
    </xf>
    <xf numFmtId="49" fontId="46" fillId="11" borderId="118" xfId="1" applyNumberFormat="1" applyFont="1" applyFill="1" applyBorder="1" applyAlignment="1" applyProtection="1">
      <alignment horizontal="center" vertical="center"/>
      <protection locked="0"/>
    </xf>
    <xf numFmtId="49" fontId="46" fillId="11" borderId="116" xfId="1" applyNumberFormat="1" applyFont="1" applyFill="1" applyBorder="1" applyAlignment="1" applyProtection="1">
      <alignment horizontal="center" vertical="center"/>
      <protection locked="0"/>
    </xf>
    <xf numFmtId="49" fontId="46" fillId="11" borderId="117" xfId="1" applyNumberFormat="1" applyFont="1" applyFill="1" applyBorder="1" applyAlignment="1" applyProtection="1">
      <alignment horizontal="center" vertical="center"/>
      <protection locked="0"/>
    </xf>
    <xf numFmtId="49" fontId="46" fillId="11" borderId="102" xfId="1" applyNumberFormat="1" applyFont="1" applyFill="1" applyBorder="1" applyAlignment="1" applyProtection="1">
      <alignment horizontal="center" vertical="center"/>
      <protection locked="0"/>
    </xf>
    <xf numFmtId="49" fontId="46" fillId="11" borderId="100" xfId="1" applyNumberFormat="1" applyFont="1" applyFill="1" applyBorder="1" applyAlignment="1" applyProtection="1">
      <alignment horizontal="center" vertical="center"/>
      <protection locked="0"/>
    </xf>
    <xf numFmtId="0" fontId="36" fillId="0" borderId="45" xfId="1" quotePrefix="1" applyFont="1" applyBorder="1" applyAlignment="1">
      <alignment horizontal="center" vertical="center"/>
    </xf>
    <xf numFmtId="0" fontId="11" fillId="2" borderId="5" xfId="1" applyFont="1" applyFill="1" applyBorder="1" applyAlignment="1">
      <alignment horizontal="center"/>
    </xf>
    <xf numFmtId="0" fontId="36" fillId="0" borderId="64" xfId="1" quotePrefix="1" applyFont="1" applyBorder="1" applyAlignment="1">
      <alignment horizontal="center" vertical="center"/>
    </xf>
    <xf numFmtId="0" fontId="11" fillId="2" borderId="8" xfId="1" applyFont="1" applyFill="1" applyBorder="1" applyAlignment="1">
      <alignment horizontal="center"/>
    </xf>
    <xf numFmtId="0" fontId="36" fillId="0" borderId="44" xfId="1" quotePrefix="1" applyFont="1" applyBorder="1" applyAlignment="1">
      <alignment horizontal="center" vertical="center"/>
    </xf>
    <xf numFmtId="49" fontId="11" fillId="0" borderId="38" xfId="0" applyNumberFormat="1" applyFont="1" applyBorder="1" applyAlignment="1">
      <alignment horizontal="center"/>
    </xf>
    <xf numFmtId="0" fontId="15" fillId="0" borderId="0" xfId="1" applyFont="1" applyAlignment="1">
      <alignment horizontal="right" indent="1"/>
    </xf>
    <xf numFmtId="0" fontId="36" fillId="9" borderId="119" xfId="1" applyFont="1" applyFill="1" applyBorder="1" applyAlignment="1">
      <alignment horizontal="center"/>
    </xf>
    <xf numFmtId="0" fontId="36" fillId="0" borderId="0" xfId="1" applyFont="1" applyAlignment="1">
      <alignment horizontal="left" indent="1"/>
    </xf>
    <xf numFmtId="0" fontId="12" fillId="0" borderId="1" xfId="1" applyFont="1" applyBorder="1"/>
    <xf numFmtId="0" fontId="12" fillId="9" borderId="0" xfId="1" applyFont="1" applyFill="1" applyAlignment="1">
      <alignment horizontal="center"/>
    </xf>
    <xf numFmtId="0" fontId="0" fillId="2" borderId="17" xfId="0" applyFill="1" applyBorder="1" applyProtection="1">
      <protection locked="0"/>
    </xf>
    <xf numFmtId="0" fontId="36" fillId="0" borderId="8" xfId="1" applyFont="1" applyBorder="1" applyAlignment="1">
      <alignment horizontal="left" indent="1"/>
    </xf>
    <xf numFmtId="0" fontId="34" fillId="9" borderId="2" xfId="0" applyFont="1" applyFill="1" applyBorder="1"/>
    <xf numFmtId="0" fontId="68" fillId="0" borderId="120" xfId="4" applyFont="1" applyBorder="1" applyAlignment="1" applyProtection="1">
      <alignment horizontal="center" vertical="center"/>
      <protection locked="0"/>
    </xf>
    <xf numFmtId="0" fontId="68" fillId="0" borderId="121" xfId="4" applyFont="1" applyBorder="1" applyAlignment="1" applyProtection="1">
      <alignment horizontal="center" vertical="center"/>
      <protection locked="0"/>
    </xf>
    <xf numFmtId="0" fontId="39" fillId="0" borderId="51" xfId="0" applyFont="1" applyBorder="1" applyAlignment="1">
      <alignment horizontal="center" wrapText="1"/>
    </xf>
    <xf numFmtId="49" fontId="25" fillId="0" borderId="4" xfId="1" applyNumberFormat="1" applyFont="1" applyBorder="1" applyAlignment="1">
      <alignment horizontal="center" vertical="center" wrapText="1"/>
    </xf>
    <xf numFmtId="165" fontId="11" fillId="0" borderId="4" xfId="1" applyNumberFormat="1" applyFont="1" applyBorder="1" applyAlignment="1">
      <alignment horizontal="center"/>
    </xf>
    <xf numFmtId="0" fontId="36" fillId="0" borderId="0" xfId="1" applyFont="1" applyAlignment="1">
      <alignment horizontal="center"/>
    </xf>
    <xf numFmtId="0" fontId="37" fillId="0" borderId="0" xfId="1" applyFont="1" applyAlignment="1">
      <alignment horizontal="center"/>
    </xf>
    <xf numFmtId="0" fontId="11" fillId="0" borderId="0" xfId="1" applyFont="1" applyProtection="1">
      <protection locked="0"/>
    </xf>
    <xf numFmtId="0" fontId="13" fillId="0" borderId="8" xfId="1" applyFont="1" applyBorder="1" applyAlignment="1">
      <alignment horizontal="center" vertical="center"/>
    </xf>
    <xf numFmtId="0" fontId="5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11" fillId="0" borderId="0" xfId="0" applyFont="1" applyProtection="1">
      <protection locked="0"/>
    </xf>
    <xf numFmtId="0" fontId="71" fillId="0" borderId="0" xfId="0" applyFont="1" applyProtection="1">
      <protection locked="0"/>
    </xf>
    <xf numFmtId="0" fontId="8" fillId="0" borderId="0" xfId="0" applyFont="1" applyProtection="1">
      <protection locked="0"/>
    </xf>
    <xf numFmtId="14" fontId="8" fillId="0" borderId="0" xfId="0" applyNumberFormat="1" applyFont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12" fillId="0" borderId="0" xfId="0" applyFont="1" applyProtection="1">
      <protection locked="0"/>
    </xf>
    <xf numFmtId="0" fontId="8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right"/>
      <protection locked="0"/>
    </xf>
    <xf numFmtId="0" fontId="1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1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24" fillId="0" borderId="0" xfId="0" applyFont="1" applyAlignment="1" applyProtection="1">
      <alignment vertical="center"/>
      <protection locked="0"/>
    </xf>
    <xf numFmtId="0" fontId="11" fillId="0" borderId="20" xfId="0" applyFont="1" applyBorder="1" applyAlignment="1" applyProtection="1">
      <alignment horizontal="left" vertical="center"/>
      <protection locked="0"/>
    </xf>
    <xf numFmtId="0" fontId="13" fillId="0" borderId="0" xfId="0" applyFont="1"/>
    <xf numFmtId="49" fontId="11" fillId="0" borderId="0" xfId="0" applyNumberFormat="1" applyFont="1"/>
    <xf numFmtId="14" fontId="11" fillId="0" borderId="0" xfId="0" applyNumberFormat="1" applyFont="1"/>
    <xf numFmtId="0" fontId="11" fillId="0" borderId="0" xfId="0" quotePrefix="1" applyFont="1"/>
    <xf numFmtId="49" fontId="11" fillId="0" borderId="2" xfId="0" applyNumberFormat="1" applyFont="1" applyBorder="1"/>
    <xf numFmtId="14" fontId="11" fillId="0" borderId="0" xfId="1" applyNumberFormat="1" applyFont="1"/>
    <xf numFmtId="0" fontId="78" fillId="0" borderId="2" xfId="1" applyFont="1" applyBorder="1"/>
    <xf numFmtId="2" fontId="77" fillId="0" borderId="0" xfId="0" applyNumberFormat="1" applyFont="1"/>
    <xf numFmtId="0" fontId="77" fillId="0" borderId="0" xfId="0" applyFont="1"/>
    <xf numFmtId="16" fontId="37" fillId="0" borderId="0" xfId="1" applyNumberFormat="1" applyFont="1"/>
    <xf numFmtId="0" fontId="36" fillId="0" borderId="0" xfId="1" applyFont="1"/>
    <xf numFmtId="0" fontId="37" fillId="0" borderId="0" xfId="1" applyFont="1" applyAlignment="1">
      <alignment horizontal="left"/>
    </xf>
    <xf numFmtId="165" fontId="36" fillId="0" borderId="111" xfId="1" applyNumberFormat="1" applyFont="1" applyBorder="1" applyAlignment="1">
      <alignment horizontal="center"/>
    </xf>
    <xf numFmtId="165" fontId="36" fillId="0" borderId="111" xfId="1" applyNumberFormat="1" applyFont="1" applyBorder="1" applyAlignment="1">
      <alignment horizontal="center" vertical="center"/>
    </xf>
    <xf numFmtId="0" fontId="36" fillId="0" borderId="0" xfId="1" applyFont="1" applyAlignment="1">
      <alignment horizontal="left" vertical="center"/>
    </xf>
    <xf numFmtId="0" fontId="36" fillId="0" borderId="119" xfId="1" applyFont="1" applyBorder="1" applyAlignment="1">
      <alignment horizontal="left"/>
    </xf>
    <xf numFmtId="0" fontId="36" fillId="0" borderId="106" xfId="1" applyFont="1" applyBorder="1" applyAlignment="1">
      <alignment horizontal="center"/>
    </xf>
    <xf numFmtId="2" fontId="36" fillId="0" borderId="0" xfId="1" applyNumberFormat="1" applyFont="1"/>
    <xf numFmtId="0" fontId="11" fillId="0" borderId="0" xfId="1" applyFont="1" applyAlignment="1">
      <alignment horizontal="left" vertical="center"/>
    </xf>
    <xf numFmtId="49" fontId="11" fillId="11" borderId="5" xfId="1" applyNumberFormat="1" applyFont="1" applyFill="1" applyBorder="1" applyProtection="1">
      <protection locked="0"/>
    </xf>
    <xf numFmtId="49" fontId="11" fillId="11" borderId="1" xfId="1" applyNumberFormat="1" applyFont="1" applyFill="1" applyBorder="1" applyAlignment="1" applyProtection="1">
      <alignment horizontal="center"/>
      <protection locked="0"/>
    </xf>
    <xf numFmtId="49" fontId="11" fillId="3" borderId="1" xfId="1" applyNumberFormat="1" applyFont="1" applyFill="1" applyBorder="1" applyAlignment="1" applyProtection="1">
      <alignment horizontal="center"/>
      <protection locked="0"/>
    </xf>
    <xf numFmtId="49" fontId="11" fillId="3" borderId="5" xfId="1" applyNumberFormat="1" applyFont="1" applyFill="1" applyBorder="1" applyAlignment="1" applyProtection="1">
      <alignment horizontal="left"/>
      <protection locked="0"/>
    </xf>
    <xf numFmtId="0" fontId="11" fillId="3" borderId="5" xfId="1" applyFont="1" applyFill="1" applyBorder="1" applyAlignment="1" applyProtection="1">
      <alignment horizontal="left"/>
      <protection locked="0"/>
    </xf>
    <xf numFmtId="0" fontId="13" fillId="11" borderId="11" xfId="1" applyFont="1" applyFill="1" applyBorder="1" applyAlignment="1" applyProtection="1">
      <alignment horizontal="center" vertical="center"/>
      <protection locked="0"/>
    </xf>
    <xf numFmtId="49" fontId="11" fillId="3" borderId="5" xfId="1" applyNumberFormat="1" applyFont="1" applyFill="1" applyBorder="1" applyAlignment="1">
      <alignment horizontal="left"/>
    </xf>
    <xf numFmtId="49" fontId="11" fillId="11" borderId="5" xfId="1" applyNumberFormat="1" applyFont="1" applyFill="1" applyBorder="1"/>
    <xf numFmtId="0" fontId="34" fillId="2" borderId="1" xfId="1" applyFont="1" applyFill="1" applyBorder="1"/>
    <xf numFmtId="49" fontId="11" fillId="3" borderId="1" xfId="1" applyNumberFormat="1" applyFont="1" applyFill="1" applyBorder="1" applyAlignment="1">
      <alignment horizontal="center"/>
    </xf>
    <xf numFmtId="0" fontId="13" fillId="11" borderId="11" xfId="1" applyFont="1" applyFill="1" applyBorder="1" applyAlignment="1">
      <alignment horizontal="center" vertical="center"/>
    </xf>
    <xf numFmtId="49" fontId="11" fillId="3" borderId="34" xfId="1" applyNumberFormat="1" applyFont="1" applyFill="1" applyBorder="1" applyAlignment="1" applyProtection="1">
      <alignment horizontal="center"/>
      <protection locked="0"/>
    </xf>
    <xf numFmtId="49" fontId="11" fillId="3" borderId="5" xfId="1" applyNumberFormat="1" applyFont="1" applyFill="1" applyBorder="1" applyAlignment="1" applyProtection="1">
      <alignment horizontal="center"/>
      <protection locked="0"/>
    </xf>
    <xf numFmtId="49" fontId="11" fillId="11" borderId="5" xfId="1" applyNumberFormat="1" applyFont="1" applyFill="1" applyBorder="1" applyAlignment="1" applyProtection="1">
      <alignment horizontal="center"/>
      <protection locked="0"/>
    </xf>
    <xf numFmtId="49" fontId="11" fillId="0" borderId="5" xfId="1" applyNumberFormat="1" applyFont="1" applyBorder="1" applyAlignment="1" applyProtection="1">
      <alignment horizontal="center"/>
      <protection locked="0"/>
    </xf>
    <xf numFmtId="49" fontId="11" fillId="0" borderId="4" xfId="1" applyNumberFormat="1" applyFont="1" applyBorder="1" applyProtection="1">
      <protection locked="0"/>
    </xf>
    <xf numFmtId="49" fontId="11" fillId="3" borderId="36" xfId="1" applyNumberFormat="1" applyFont="1" applyFill="1" applyBorder="1" applyAlignment="1" applyProtection="1">
      <alignment horizontal="center"/>
      <protection locked="0"/>
    </xf>
    <xf numFmtId="0" fontId="11" fillId="2" borderId="25" xfId="1" applyFont="1" applyFill="1" applyBorder="1"/>
    <xf numFmtId="49" fontId="11" fillId="11" borderId="2" xfId="0" applyNumberFormat="1" applyFont="1" applyFill="1" applyBorder="1" applyAlignment="1" applyProtection="1">
      <alignment horizontal="right"/>
      <protection locked="0"/>
    </xf>
    <xf numFmtId="2" fontId="11" fillId="11" borderId="2" xfId="1" applyNumberFormat="1" applyFont="1" applyFill="1" applyBorder="1" applyProtection="1">
      <protection locked="0"/>
    </xf>
    <xf numFmtId="2" fontId="11" fillId="3" borderId="2" xfId="1" applyNumberFormat="1" applyFont="1" applyFill="1" applyBorder="1" applyProtection="1">
      <protection locked="0"/>
    </xf>
    <xf numFmtId="2" fontId="11" fillId="3" borderId="0" xfId="1" applyNumberFormat="1" applyFont="1" applyFill="1" applyProtection="1">
      <protection locked="0"/>
    </xf>
    <xf numFmtId="165" fontId="11" fillId="3" borderId="2" xfId="1" applyNumberFormat="1" applyFont="1" applyFill="1" applyBorder="1" applyProtection="1">
      <protection locked="0"/>
    </xf>
    <xf numFmtId="165" fontId="11" fillId="3" borderId="0" xfId="1" applyNumberFormat="1" applyFont="1" applyFill="1" applyProtection="1">
      <protection locked="0"/>
    </xf>
    <xf numFmtId="0" fontId="11" fillId="3" borderId="2" xfId="1" applyFont="1" applyFill="1" applyBorder="1" applyProtection="1">
      <protection locked="0"/>
    </xf>
    <xf numFmtId="0" fontId="11" fillId="3" borderId="3" xfId="1" applyFont="1" applyFill="1" applyBorder="1" applyProtection="1">
      <protection locked="0"/>
    </xf>
    <xf numFmtId="2" fontId="11" fillId="3" borderId="0" xfId="0" applyNumberFormat="1" applyFont="1" applyFill="1" applyProtection="1">
      <protection locked="0"/>
    </xf>
    <xf numFmtId="165" fontId="11" fillId="3" borderId="3" xfId="1" applyNumberFormat="1" applyFont="1" applyFill="1" applyBorder="1" applyProtection="1">
      <protection locked="0"/>
    </xf>
    <xf numFmtId="0" fontId="11" fillId="11" borderId="2" xfId="1" applyFont="1" applyFill="1" applyBorder="1" applyProtection="1">
      <protection locked="0"/>
    </xf>
    <xf numFmtId="165" fontId="11" fillId="3" borderId="2" xfId="0" applyNumberFormat="1" applyFont="1" applyFill="1" applyBorder="1" applyProtection="1">
      <protection locked="0"/>
    </xf>
    <xf numFmtId="165" fontId="11" fillId="3" borderId="0" xfId="0" applyNumberFormat="1" applyFont="1" applyFill="1" applyProtection="1">
      <protection locked="0"/>
    </xf>
    <xf numFmtId="2" fontId="11" fillId="3" borderId="2" xfId="0" applyNumberFormat="1" applyFont="1" applyFill="1" applyBorder="1" applyProtection="1">
      <protection locked="0"/>
    </xf>
    <xf numFmtId="0" fontId="11" fillId="3" borderId="2" xfId="0" applyFont="1" applyFill="1" applyBorder="1" applyProtection="1">
      <protection locked="0"/>
    </xf>
    <xf numFmtId="0" fontId="11" fillId="3" borderId="2" xfId="0" applyFont="1" applyFill="1" applyBorder="1" applyAlignment="1" applyProtection="1">
      <alignment horizontal="right"/>
      <protection locked="0"/>
    </xf>
    <xf numFmtId="2" fontId="11" fillId="11" borderId="0" xfId="0" applyNumberFormat="1" applyFont="1" applyFill="1" applyProtection="1">
      <protection locked="0"/>
    </xf>
    <xf numFmtId="2" fontId="11" fillId="0" borderId="0" xfId="0" applyNumberFormat="1" applyFont="1" applyProtection="1">
      <protection locked="0"/>
    </xf>
    <xf numFmtId="0" fontId="11" fillId="0" borderId="6" xfId="0" applyFont="1" applyBorder="1" applyProtection="1">
      <protection locked="0"/>
    </xf>
    <xf numFmtId="0" fontId="11" fillId="0" borderId="7" xfId="0" applyFont="1" applyBorder="1" applyProtection="1">
      <protection locked="0"/>
    </xf>
    <xf numFmtId="0" fontId="11" fillId="0" borderId="7" xfId="0" applyFont="1" applyBorder="1" applyAlignment="1" applyProtection="1">
      <alignment horizontal="center"/>
      <protection locked="0"/>
    </xf>
    <xf numFmtId="2" fontId="11" fillId="3" borderId="3" xfId="0" applyNumberFormat="1" applyFont="1" applyFill="1" applyBorder="1" applyProtection="1">
      <protection locked="0"/>
    </xf>
    <xf numFmtId="2" fontId="11" fillId="0" borderId="12" xfId="0" applyNumberFormat="1" applyFont="1" applyBorder="1" applyProtection="1">
      <protection locked="0"/>
    </xf>
    <xf numFmtId="2" fontId="11" fillId="3" borderId="12" xfId="0" applyNumberFormat="1" applyFont="1" applyFill="1" applyBorder="1" applyProtection="1">
      <protection locked="0"/>
    </xf>
    <xf numFmtId="2" fontId="11" fillId="3" borderId="6" xfId="0" applyNumberFormat="1" applyFont="1" applyFill="1" applyBorder="1" applyProtection="1">
      <protection locked="0"/>
    </xf>
    <xf numFmtId="2" fontId="11" fillId="0" borderId="7" xfId="0" applyNumberFormat="1" applyFont="1" applyBorder="1" applyProtection="1">
      <protection locked="0"/>
    </xf>
    <xf numFmtId="2" fontId="11" fillId="3" borderId="7" xfId="0" applyNumberFormat="1" applyFont="1" applyFill="1" applyBorder="1" applyProtection="1">
      <protection locked="0"/>
    </xf>
    <xf numFmtId="2" fontId="11" fillId="0" borderId="6" xfId="0" applyNumberFormat="1" applyFont="1" applyBorder="1" applyProtection="1">
      <protection locked="0"/>
    </xf>
    <xf numFmtId="2" fontId="11" fillId="0" borderId="2" xfId="0" applyNumberFormat="1" applyFont="1" applyBorder="1" applyProtection="1">
      <protection locked="0"/>
    </xf>
    <xf numFmtId="2" fontId="11" fillId="3" borderId="2" xfId="0" applyNumberFormat="1" applyFont="1" applyFill="1" applyBorder="1" applyAlignment="1" applyProtection="1">
      <alignment horizontal="right"/>
      <protection locked="0"/>
    </xf>
    <xf numFmtId="2" fontId="11" fillId="0" borderId="0" xfId="0" applyNumberFormat="1" applyFont="1" applyAlignment="1" applyProtection="1">
      <alignment horizontal="right"/>
      <protection locked="0"/>
    </xf>
    <xf numFmtId="2" fontId="11" fillId="3" borderId="0" xfId="0" applyNumberFormat="1" applyFont="1" applyFill="1" applyAlignment="1" applyProtection="1">
      <alignment horizontal="right"/>
      <protection locked="0"/>
    </xf>
    <xf numFmtId="0" fontId="11" fillId="0" borderId="6" xfId="0" applyFont="1" applyBorder="1" applyAlignment="1" applyProtection="1">
      <alignment horizontal="right"/>
      <protection locked="0"/>
    </xf>
    <xf numFmtId="0" fontId="11" fillId="0" borderId="7" xfId="0" applyFont="1" applyBorder="1" applyAlignment="1" applyProtection="1">
      <alignment horizontal="right"/>
      <protection locked="0"/>
    </xf>
    <xf numFmtId="0" fontId="11" fillId="0" borderId="2" xfId="0" applyFont="1" applyBorder="1" applyAlignment="1" applyProtection="1">
      <alignment horizontal="right"/>
      <protection locked="0"/>
    </xf>
    <xf numFmtId="0" fontId="11" fillId="0" borderId="0" xfId="0" applyFont="1" applyAlignment="1" applyProtection="1">
      <alignment horizontal="right"/>
      <protection locked="0"/>
    </xf>
    <xf numFmtId="2" fontId="11" fillId="3" borderId="3" xfId="0" applyNumberFormat="1" applyFont="1" applyFill="1" applyBorder="1" applyAlignment="1" applyProtection="1">
      <alignment horizontal="right"/>
      <protection locked="0"/>
    </xf>
    <xf numFmtId="2" fontId="11" fillId="0" borderId="12" xfId="0" applyNumberFormat="1" applyFont="1" applyBorder="1" applyAlignment="1" applyProtection="1">
      <alignment horizontal="right"/>
      <protection locked="0"/>
    </xf>
    <xf numFmtId="2" fontId="11" fillId="3" borderId="12" xfId="0" applyNumberFormat="1" applyFont="1" applyFill="1" applyBorder="1" applyAlignment="1" applyProtection="1">
      <alignment horizontal="right"/>
      <protection locked="0"/>
    </xf>
    <xf numFmtId="2" fontId="11" fillId="10" borderId="0" xfId="0" applyNumberFormat="1" applyFont="1" applyFill="1" applyAlignment="1" applyProtection="1">
      <alignment horizontal="center"/>
      <protection locked="0"/>
    </xf>
    <xf numFmtId="2" fontId="11" fillId="10" borderId="12" xfId="0" applyNumberFormat="1" applyFont="1" applyFill="1" applyBorder="1" applyAlignment="1" applyProtection="1">
      <alignment horizontal="center"/>
      <protection locked="0"/>
    </xf>
    <xf numFmtId="49" fontId="11" fillId="3" borderId="2" xfId="0" applyNumberFormat="1" applyFont="1" applyFill="1" applyBorder="1" applyProtection="1">
      <protection locked="0"/>
    </xf>
    <xf numFmtId="0" fontId="11" fillId="0" borderId="2" xfId="0" applyFont="1" applyBorder="1" applyProtection="1">
      <protection locked="0"/>
    </xf>
    <xf numFmtId="49" fontId="11" fillId="3" borderId="2" xfId="0" applyNumberFormat="1" applyFont="1" applyFill="1" applyBorder="1" applyAlignment="1" applyProtection="1">
      <alignment horizontal="right"/>
      <protection locked="0"/>
    </xf>
    <xf numFmtId="2" fontId="11" fillId="3" borderId="14" xfId="1" applyNumberFormat="1" applyFont="1" applyFill="1" applyBorder="1" applyProtection="1">
      <protection locked="0"/>
    </xf>
    <xf numFmtId="49" fontId="11" fillId="11" borderId="5" xfId="0" applyNumberFormat="1" applyFont="1" applyFill="1" applyBorder="1" applyAlignment="1" applyProtection="1">
      <alignment horizontal="right"/>
      <protection locked="0"/>
    </xf>
    <xf numFmtId="2" fontId="11" fillId="3" borderId="3" xfId="1" applyNumberFormat="1" applyFont="1" applyFill="1" applyBorder="1" applyProtection="1">
      <protection locked="0"/>
    </xf>
    <xf numFmtId="2" fontId="11" fillId="3" borderId="12" xfId="1" applyNumberFormat="1" applyFont="1" applyFill="1" applyBorder="1" applyProtection="1">
      <protection locked="0"/>
    </xf>
    <xf numFmtId="2" fontId="11" fillId="3" borderId="17" xfId="1" applyNumberFormat="1" applyFont="1" applyFill="1" applyBorder="1" applyProtection="1">
      <protection locked="0"/>
    </xf>
    <xf numFmtId="2" fontId="11" fillId="11" borderId="1" xfId="0" applyNumberFormat="1" applyFont="1" applyFill="1" applyBorder="1" applyProtection="1">
      <protection locked="0"/>
    </xf>
    <xf numFmtId="2" fontId="11" fillId="0" borderId="18" xfId="0" applyNumberFormat="1" applyFont="1" applyBorder="1" applyProtection="1">
      <protection locked="0"/>
    </xf>
    <xf numFmtId="2" fontId="11" fillId="11" borderId="13" xfId="0" applyNumberFormat="1" applyFont="1" applyFill="1" applyBorder="1" applyProtection="1">
      <protection locked="0"/>
    </xf>
    <xf numFmtId="0" fontId="64" fillId="0" borderId="0" xfId="0" applyFont="1" applyProtection="1">
      <protection locked="0"/>
    </xf>
    <xf numFmtId="0" fontId="26" fillId="2" borderId="11" xfId="0" applyFont="1" applyFill="1" applyBorder="1" applyProtection="1">
      <protection locked="0"/>
    </xf>
    <xf numFmtId="49" fontId="11" fillId="3" borderId="2" xfId="1" applyNumberFormat="1" applyFont="1" applyFill="1" applyBorder="1" applyAlignment="1" applyProtection="1">
      <alignment horizontal="center"/>
      <protection locked="0"/>
    </xf>
    <xf numFmtId="49" fontId="11" fillId="3" borderId="3" xfId="1" applyNumberFormat="1" applyFont="1" applyFill="1" applyBorder="1" applyAlignment="1" applyProtection="1">
      <alignment horizontal="center"/>
      <protection locked="0"/>
    </xf>
    <xf numFmtId="49" fontId="11" fillId="11" borderId="2" xfId="1" applyNumberFormat="1" applyFont="1" applyFill="1" applyBorder="1" applyAlignment="1" applyProtection="1">
      <alignment horizontal="right"/>
      <protection locked="0"/>
    </xf>
    <xf numFmtId="49" fontId="11" fillId="3" borderId="0" xfId="0" applyNumberFormat="1" applyFont="1" applyFill="1" applyAlignment="1" applyProtection="1">
      <alignment horizontal="right"/>
      <protection locked="0"/>
    </xf>
    <xf numFmtId="49" fontId="11" fillId="3" borderId="14" xfId="1" applyNumberFormat="1" applyFont="1" applyFill="1" applyBorder="1" applyAlignment="1" applyProtection="1">
      <alignment horizontal="right"/>
      <protection locked="0"/>
    </xf>
    <xf numFmtId="49" fontId="11" fillId="3" borderId="2" xfId="1" applyNumberFormat="1" applyFont="1" applyFill="1" applyBorder="1" applyAlignment="1" applyProtection="1">
      <alignment horizontal="right"/>
      <protection locked="0"/>
    </xf>
    <xf numFmtId="49" fontId="11" fillId="3" borderId="0" xfId="1" applyNumberFormat="1" applyFont="1" applyFill="1" applyAlignment="1" applyProtection="1">
      <alignment horizontal="right"/>
      <protection locked="0"/>
    </xf>
    <xf numFmtId="0" fontId="11" fillId="3" borderId="0" xfId="0" applyFont="1" applyFill="1" applyProtection="1">
      <protection locked="0"/>
    </xf>
    <xf numFmtId="49" fontId="11" fillId="11" borderId="0" xfId="0" applyNumberFormat="1" applyFont="1" applyFill="1" applyAlignment="1" applyProtection="1">
      <alignment horizontal="right"/>
      <protection locked="0"/>
    </xf>
    <xf numFmtId="1" fontId="11" fillId="11" borderId="2" xfId="1" applyNumberFormat="1" applyFont="1" applyFill="1" applyBorder="1" applyProtection="1">
      <protection locked="0"/>
    </xf>
    <xf numFmtId="49" fontId="11" fillId="15" borderId="3" xfId="1" applyNumberFormat="1" applyFont="1" applyFill="1" applyBorder="1" applyProtection="1">
      <protection locked="0"/>
    </xf>
    <xf numFmtId="1" fontId="11" fillId="11" borderId="2" xfId="1" applyNumberFormat="1" applyFont="1" applyFill="1" applyBorder="1" applyAlignment="1" applyProtection="1">
      <alignment horizontal="center"/>
      <protection locked="0"/>
    </xf>
    <xf numFmtId="49" fontId="11" fillId="11" borderId="2" xfId="1" applyNumberFormat="1" applyFont="1" applyFill="1" applyBorder="1" applyAlignment="1" applyProtection="1">
      <alignment horizontal="center"/>
      <protection locked="0"/>
    </xf>
    <xf numFmtId="2" fontId="11" fillId="0" borderId="2" xfId="1" applyNumberFormat="1" applyFont="1" applyBorder="1" applyProtection="1">
      <protection locked="0"/>
    </xf>
    <xf numFmtId="2" fontId="11" fillId="0" borderId="3" xfId="1" applyNumberFormat="1" applyFont="1" applyBorder="1" applyProtection="1">
      <protection locked="0"/>
    </xf>
    <xf numFmtId="2" fontId="11" fillId="0" borderId="6" xfId="1" applyNumberFormat="1" applyFont="1" applyBorder="1" applyProtection="1">
      <protection locked="0"/>
    </xf>
    <xf numFmtId="2" fontId="11" fillId="0" borderId="0" xfId="1" applyNumberFormat="1" applyFont="1" applyProtection="1">
      <protection locked="0"/>
    </xf>
    <xf numFmtId="2" fontId="11" fillId="2" borderId="0" xfId="1" applyNumberFormat="1" applyFont="1" applyFill="1" applyProtection="1">
      <protection locked="0"/>
    </xf>
    <xf numFmtId="2" fontId="11" fillId="11" borderId="3" xfId="1" applyNumberFormat="1" applyFont="1" applyFill="1" applyBorder="1" applyProtection="1">
      <protection locked="0"/>
    </xf>
    <xf numFmtId="2" fontId="11" fillId="0" borderId="5" xfId="1" applyNumberFormat="1" applyFont="1" applyBorder="1" applyProtection="1">
      <protection locked="0"/>
    </xf>
    <xf numFmtId="2" fontId="11" fillId="0" borderId="4" xfId="1" applyNumberFormat="1" applyFont="1" applyBorder="1" applyProtection="1">
      <protection locked="0"/>
    </xf>
    <xf numFmtId="49" fontId="11" fillId="11" borderId="2" xfId="0" applyNumberFormat="1" applyFont="1" applyFill="1" applyBorder="1" applyAlignment="1" applyProtection="1">
      <alignment horizontal="center"/>
      <protection locked="0"/>
    </xf>
    <xf numFmtId="49" fontId="11" fillId="11" borderId="1" xfId="0" applyNumberFormat="1" applyFont="1" applyFill="1" applyBorder="1" applyAlignment="1" applyProtection="1">
      <alignment horizontal="center"/>
      <protection locked="0"/>
    </xf>
    <xf numFmtId="49" fontId="11" fillId="11" borderId="5" xfId="0" applyNumberFormat="1" applyFont="1" applyFill="1" applyBorder="1" applyAlignment="1" applyProtection="1">
      <alignment horizontal="center"/>
      <protection locked="0"/>
    </xf>
    <xf numFmtId="49" fontId="11" fillId="11" borderId="45" xfId="0" applyNumberFormat="1" applyFont="1" applyFill="1" applyBorder="1" applyAlignment="1" applyProtection="1">
      <alignment horizontal="center"/>
      <protection locked="0"/>
    </xf>
    <xf numFmtId="49" fontId="11" fillId="11" borderId="34" xfId="0" applyNumberFormat="1" applyFont="1" applyFill="1" applyBorder="1" applyAlignment="1" applyProtection="1">
      <alignment horizontal="center"/>
      <protection locked="0"/>
    </xf>
    <xf numFmtId="49" fontId="11" fillId="11" borderId="44" xfId="0" applyNumberFormat="1" applyFont="1" applyFill="1" applyBorder="1" applyAlignment="1" applyProtection="1">
      <alignment horizontal="center"/>
      <protection locked="0"/>
    </xf>
    <xf numFmtId="49" fontId="11" fillId="11" borderId="13" xfId="0" applyNumberFormat="1" applyFont="1" applyFill="1" applyBorder="1" applyAlignment="1" applyProtection="1">
      <alignment horizontal="center"/>
      <protection locked="0"/>
    </xf>
    <xf numFmtId="49" fontId="11" fillId="11" borderId="36" xfId="0" applyNumberFormat="1" applyFont="1" applyFill="1" applyBorder="1" applyAlignment="1" applyProtection="1">
      <alignment horizontal="center"/>
      <protection locked="0"/>
    </xf>
    <xf numFmtId="1" fontId="11" fillId="3" borderId="2" xfId="1" applyNumberFormat="1" applyFont="1" applyFill="1" applyBorder="1" applyProtection="1">
      <protection locked="0"/>
    </xf>
    <xf numFmtId="1" fontId="11" fillId="3" borderId="0" xfId="1" applyNumberFormat="1" applyFont="1" applyFill="1" applyProtection="1">
      <protection locked="0"/>
    </xf>
    <xf numFmtId="2" fontId="11" fillId="11" borderId="45" xfId="1" applyNumberFormat="1" applyFont="1" applyFill="1" applyBorder="1" applyProtection="1">
      <protection locked="0"/>
    </xf>
    <xf numFmtId="2" fontId="11" fillId="11" borderId="5" xfId="1" applyNumberFormat="1" applyFont="1" applyFill="1" applyBorder="1" applyProtection="1">
      <protection locked="0"/>
    </xf>
    <xf numFmtId="2" fontId="11" fillId="0" borderId="64" xfId="1" applyNumberFormat="1" applyFont="1" applyBorder="1" applyProtection="1">
      <protection locked="0"/>
    </xf>
    <xf numFmtId="2" fontId="11" fillId="0" borderId="8" xfId="1" applyNumberFormat="1" applyFont="1" applyBorder="1" applyProtection="1">
      <protection locked="0"/>
    </xf>
    <xf numFmtId="2" fontId="11" fillId="11" borderId="4" xfId="1" applyNumberFormat="1" applyFont="1" applyFill="1" applyBorder="1" applyProtection="1">
      <protection locked="0"/>
    </xf>
    <xf numFmtId="2" fontId="11" fillId="11" borderId="1" xfId="1" applyNumberFormat="1" applyFont="1" applyFill="1" applyBorder="1" applyProtection="1">
      <protection locked="0"/>
    </xf>
    <xf numFmtId="2" fontId="11" fillId="11" borderId="45" xfId="1" applyNumberFormat="1" applyFont="1" applyFill="1" applyBorder="1" applyAlignment="1" applyProtection="1">
      <alignment horizontal="right"/>
      <protection locked="0"/>
    </xf>
    <xf numFmtId="2" fontId="11" fillId="11" borderId="44" xfId="1" applyNumberFormat="1" applyFont="1" applyFill="1" applyBorder="1" applyAlignment="1" applyProtection="1">
      <alignment horizontal="right"/>
      <protection locked="0"/>
    </xf>
    <xf numFmtId="2" fontId="11" fillId="11" borderId="13" xfId="1" applyNumberFormat="1" applyFont="1" applyFill="1" applyBorder="1" applyProtection="1">
      <protection locked="0"/>
    </xf>
    <xf numFmtId="2" fontId="11" fillId="0" borderId="45" xfId="1" applyNumberFormat="1" applyFont="1" applyBorder="1" applyProtection="1">
      <protection locked="0"/>
    </xf>
    <xf numFmtId="2" fontId="11" fillId="0" borderId="44" xfId="1" applyNumberFormat="1" applyFont="1" applyBorder="1" applyProtection="1">
      <protection locked="0"/>
    </xf>
    <xf numFmtId="49" fontId="11" fillId="3" borderId="45" xfId="1" applyNumberFormat="1" applyFont="1" applyFill="1" applyBorder="1" applyAlignment="1" applyProtection="1">
      <alignment horizontal="center"/>
      <protection locked="0"/>
    </xf>
    <xf numFmtId="49" fontId="11" fillId="3" borderId="14" xfId="1" applyNumberFormat="1" applyFont="1" applyFill="1" applyBorder="1" applyAlignment="1" applyProtection="1">
      <alignment horizontal="center"/>
      <protection locked="0"/>
    </xf>
    <xf numFmtId="49" fontId="11" fillId="3" borderId="53" xfId="1" applyNumberFormat="1" applyFont="1" applyFill="1" applyBorder="1" applyAlignment="1" applyProtection="1">
      <alignment horizontal="center"/>
      <protection locked="0"/>
    </xf>
    <xf numFmtId="49" fontId="11" fillId="3" borderId="17" xfId="1" applyNumberFormat="1" applyFont="1" applyFill="1" applyBorder="1" applyAlignment="1" applyProtection="1">
      <alignment horizontal="center"/>
      <protection locked="0"/>
    </xf>
    <xf numFmtId="49" fontId="11" fillId="11" borderId="14" xfId="1" applyNumberFormat="1" applyFont="1" applyFill="1" applyBorder="1" applyAlignment="1" applyProtection="1">
      <alignment horizontal="center"/>
      <protection locked="0"/>
    </xf>
    <xf numFmtId="49" fontId="11" fillId="11" borderId="34" xfId="1" applyNumberFormat="1" applyFont="1" applyFill="1" applyBorder="1" applyAlignment="1" applyProtection="1">
      <alignment horizontal="center"/>
      <protection locked="0"/>
    </xf>
    <xf numFmtId="49" fontId="15" fillId="3" borderId="6" xfId="1" applyNumberFormat="1" applyFont="1" applyFill="1" applyBorder="1" applyAlignment="1" applyProtection="1">
      <alignment horizontal="center" vertical="center"/>
      <protection locked="0"/>
    </xf>
    <xf numFmtId="49" fontId="15" fillId="3" borderId="7" xfId="1" applyNumberFormat="1" applyFont="1" applyFill="1" applyBorder="1" applyAlignment="1" applyProtection="1">
      <alignment horizontal="center" vertical="center"/>
      <protection locked="0"/>
    </xf>
    <xf numFmtId="49" fontId="15" fillId="3" borderId="18" xfId="1" applyNumberFormat="1" applyFont="1" applyFill="1" applyBorder="1" applyAlignment="1" applyProtection="1">
      <alignment horizontal="center" vertical="center"/>
      <protection locked="0"/>
    </xf>
    <xf numFmtId="49" fontId="15" fillId="3" borderId="16" xfId="1" applyNumberFormat="1" applyFont="1" applyFill="1" applyBorder="1" applyAlignment="1" applyProtection="1">
      <alignment horizontal="center" vertical="center"/>
      <protection locked="0"/>
    </xf>
    <xf numFmtId="49" fontId="15" fillId="3" borderId="8" xfId="1" applyNumberFormat="1" applyFont="1" applyFill="1" applyBorder="1" applyAlignment="1" applyProtection="1">
      <alignment horizontal="center" vertical="center"/>
      <protection locked="0"/>
    </xf>
    <xf numFmtId="49" fontId="15" fillId="3" borderId="2" xfId="1" applyNumberFormat="1" applyFont="1" applyFill="1" applyBorder="1" applyAlignment="1" applyProtection="1">
      <alignment horizontal="center" vertical="center"/>
      <protection locked="0"/>
    </xf>
    <xf numFmtId="49" fontId="15" fillId="3" borderId="0" xfId="1" applyNumberFormat="1" applyFont="1" applyFill="1" applyAlignment="1" applyProtection="1">
      <alignment horizontal="center" vertical="center"/>
      <protection locked="0"/>
    </xf>
    <xf numFmtId="49" fontId="15" fillId="3" borderId="1" xfId="1" applyNumberFormat="1" applyFont="1" applyFill="1" applyBorder="1" applyAlignment="1" applyProtection="1">
      <alignment horizontal="center" vertical="center"/>
      <protection locked="0"/>
    </xf>
    <xf numFmtId="49" fontId="15" fillId="3" borderId="14" xfId="1" applyNumberFormat="1" applyFont="1" applyFill="1" applyBorder="1" applyAlignment="1" applyProtection="1">
      <alignment horizontal="center" vertical="center"/>
      <protection locked="0"/>
    </xf>
    <xf numFmtId="49" fontId="15" fillId="3" borderId="5" xfId="1" applyNumberFormat="1" applyFont="1" applyFill="1" applyBorder="1" applyAlignment="1" applyProtection="1">
      <alignment horizontal="center" vertical="center"/>
      <protection locked="0"/>
    </xf>
    <xf numFmtId="49" fontId="15" fillId="3" borderId="3" xfId="1" applyNumberFormat="1" applyFont="1" applyFill="1" applyBorder="1" applyAlignment="1" applyProtection="1">
      <alignment horizontal="center" vertical="center"/>
      <protection locked="0"/>
    </xf>
    <xf numFmtId="49" fontId="15" fillId="3" borderId="12" xfId="1" applyNumberFormat="1" applyFont="1" applyFill="1" applyBorder="1" applyAlignment="1" applyProtection="1">
      <alignment horizontal="center" vertical="center"/>
      <protection locked="0"/>
    </xf>
    <xf numFmtId="49" fontId="15" fillId="3" borderId="17" xfId="1" applyNumberFormat="1" applyFont="1" applyFill="1" applyBorder="1" applyAlignment="1" applyProtection="1">
      <alignment horizontal="center" vertical="center"/>
      <protection locked="0"/>
    </xf>
    <xf numFmtId="49" fontId="15" fillId="3" borderId="34" xfId="1" applyNumberFormat="1" applyFont="1" applyFill="1" applyBorder="1" applyAlignment="1" applyProtection="1">
      <alignment horizontal="center" vertical="center"/>
      <protection locked="0"/>
    </xf>
    <xf numFmtId="49" fontId="15" fillId="3" borderId="36" xfId="1" applyNumberFormat="1" applyFont="1" applyFill="1" applyBorder="1" applyAlignment="1" applyProtection="1">
      <alignment horizontal="center" vertical="center"/>
      <protection locked="0"/>
    </xf>
    <xf numFmtId="0" fontId="11" fillId="11" borderId="34" xfId="1" applyFont="1" applyFill="1" applyBorder="1" applyAlignment="1" applyProtection="1">
      <alignment horizontal="center"/>
      <protection locked="0"/>
    </xf>
    <xf numFmtId="0" fontId="11" fillId="11" borderId="0" xfId="0" applyFont="1" applyFill="1" applyAlignment="1" applyProtection="1">
      <alignment horizontal="center" vertical="center"/>
      <protection locked="0"/>
    </xf>
    <xf numFmtId="2" fontId="36" fillId="11" borderId="0" xfId="1" applyNumberFormat="1" applyFont="1" applyFill="1" applyAlignment="1" applyProtection="1">
      <alignment horizontal="center"/>
      <protection locked="0"/>
    </xf>
    <xf numFmtId="2" fontId="36" fillId="11" borderId="0" xfId="1" applyNumberFormat="1" applyFont="1" applyFill="1" applyProtection="1">
      <protection locked="0"/>
    </xf>
    <xf numFmtId="2" fontId="36" fillId="11" borderId="113" xfId="1" applyNumberFormat="1" applyFont="1" applyFill="1" applyBorder="1" applyAlignment="1" applyProtection="1">
      <alignment horizontal="center"/>
      <protection locked="0"/>
    </xf>
    <xf numFmtId="49" fontId="11" fillId="3" borderId="5" xfId="0" applyNumberFormat="1" applyFont="1" applyFill="1" applyBorder="1" applyAlignment="1" applyProtection="1">
      <alignment horizontal="center"/>
      <protection locked="0"/>
    </xf>
    <xf numFmtId="2" fontId="11" fillId="11" borderId="2" xfId="0" applyNumberFormat="1" applyFont="1" applyFill="1" applyBorder="1" applyAlignment="1" applyProtection="1">
      <alignment horizontal="center"/>
      <protection locked="0"/>
    </xf>
    <xf numFmtId="2" fontId="11" fillId="11" borderId="37" xfId="1" applyNumberFormat="1" applyFont="1" applyFill="1" applyBorder="1" applyAlignment="1" applyProtection="1">
      <alignment horizontal="center"/>
      <protection locked="0"/>
    </xf>
    <xf numFmtId="2" fontId="11" fillId="11" borderId="34" xfId="1" applyNumberFormat="1" applyFont="1" applyFill="1" applyBorder="1" applyAlignment="1" applyProtection="1">
      <alignment horizontal="center"/>
      <protection locked="0"/>
    </xf>
    <xf numFmtId="49" fontId="11" fillId="0" borderId="34" xfId="0" applyNumberFormat="1" applyFont="1" applyBorder="1" applyAlignment="1" applyProtection="1">
      <alignment horizontal="center"/>
      <protection locked="0"/>
    </xf>
    <xf numFmtId="2" fontId="11" fillId="11" borderId="34" xfId="0" applyNumberFormat="1" applyFont="1" applyFill="1" applyBorder="1" applyAlignment="1" applyProtection="1">
      <alignment horizontal="center"/>
      <protection locked="0"/>
    </xf>
    <xf numFmtId="49" fontId="11" fillId="0" borderId="36" xfId="0" applyNumberFormat="1" applyFont="1" applyBorder="1" applyAlignment="1" applyProtection="1">
      <alignment horizontal="center"/>
      <protection locked="0"/>
    </xf>
    <xf numFmtId="2" fontId="11" fillId="11" borderId="36" xfId="0" applyNumberFormat="1" applyFont="1" applyFill="1" applyBorder="1" applyAlignment="1" applyProtection="1">
      <alignment horizontal="center"/>
      <protection locked="0"/>
    </xf>
    <xf numFmtId="49" fontId="11" fillId="0" borderId="64" xfId="0" applyNumberFormat="1" applyFont="1" applyBorder="1" applyProtection="1">
      <protection locked="0"/>
    </xf>
    <xf numFmtId="49" fontId="11" fillId="11" borderId="18" xfId="0" applyNumberFormat="1" applyFont="1" applyFill="1" applyBorder="1" applyProtection="1">
      <protection locked="0"/>
    </xf>
    <xf numFmtId="0" fontId="11" fillId="11" borderId="37" xfId="1" applyFont="1" applyFill="1" applyBorder="1" applyAlignment="1" applyProtection="1">
      <alignment horizontal="center"/>
      <protection locked="0"/>
    </xf>
    <xf numFmtId="49" fontId="11" fillId="0" borderId="45" xfId="0" applyNumberFormat="1" applyFont="1" applyBorder="1" applyProtection="1">
      <protection locked="0"/>
    </xf>
    <xf numFmtId="49" fontId="11" fillId="11" borderId="1" xfId="0" applyNumberFormat="1" applyFont="1" applyFill="1" applyBorder="1" applyProtection="1">
      <protection locked="0"/>
    </xf>
    <xf numFmtId="49" fontId="11" fillId="0" borderId="44" xfId="0" applyNumberFormat="1" applyFont="1" applyBorder="1" applyProtection="1">
      <protection locked="0"/>
    </xf>
    <xf numFmtId="49" fontId="11" fillId="11" borderId="13" xfId="0" applyNumberFormat="1" applyFont="1" applyFill="1" applyBorder="1" applyProtection="1">
      <protection locked="0"/>
    </xf>
    <xf numFmtId="2" fontId="11" fillId="11" borderId="36" xfId="1" applyNumberFormat="1" applyFont="1" applyFill="1" applyBorder="1" applyAlignment="1" applyProtection="1">
      <alignment horizontal="center"/>
      <protection locked="0"/>
    </xf>
    <xf numFmtId="0" fontId="11" fillId="0" borderId="0" xfId="0" applyFont="1" applyAlignment="1">
      <alignment vertical="center"/>
    </xf>
    <xf numFmtId="0" fontId="11" fillId="2" borderId="0" xfId="0" applyFont="1" applyFill="1" applyAlignment="1">
      <alignment vertical="center"/>
    </xf>
    <xf numFmtId="2" fontId="34" fillId="9" borderId="0" xfId="0" applyNumberFormat="1" applyFont="1" applyFill="1"/>
    <xf numFmtId="165" fontId="12" fillId="2" borderId="118" xfId="0" applyNumberFormat="1" applyFont="1" applyFill="1" applyBorder="1" applyAlignment="1" applyProtection="1">
      <alignment horizontal="right" vertical="center" indent="1"/>
      <protection locked="0"/>
    </xf>
    <xf numFmtId="2" fontId="11" fillId="3" borderId="2" xfId="1" applyNumberFormat="1" applyFont="1" applyFill="1" applyBorder="1"/>
    <xf numFmtId="2" fontId="11" fillId="3" borderId="0" xfId="1" applyNumberFormat="1" applyFont="1" applyFill="1"/>
    <xf numFmtId="0" fontId="11" fillId="11" borderId="6" xfId="1" applyFont="1" applyFill="1" applyBorder="1"/>
    <xf numFmtId="0" fontId="11" fillId="11" borderId="2" xfId="1" applyFont="1" applyFill="1" applyBorder="1"/>
    <xf numFmtId="49" fontId="79" fillId="0" borderId="34" xfId="0" quotePrefix="1" applyNumberFormat="1" applyFont="1" applyBorder="1" applyAlignment="1">
      <alignment horizontal="center"/>
    </xf>
    <xf numFmtId="49" fontId="79" fillId="0" borderId="36" xfId="0" quotePrefix="1" applyNumberFormat="1" applyFont="1" applyBorder="1" applyAlignment="1">
      <alignment horizontal="center"/>
    </xf>
    <xf numFmtId="49" fontId="11" fillId="11" borderId="1" xfId="0" applyNumberFormat="1" applyFont="1" applyFill="1" applyBorder="1" applyAlignment="1" applyProtection="1">
      <alignment horizontal="center" vertical="center"/>
      <protection locked="0"/>
    </xf>
    <xf numFmtId="49" fontId="11" fillId="11" borderId="5" xfId="0" applyNumberFormat="1" applyFont="1" applyFill="1" applyBorder="1" applyAlignment="1" applyProtection="1">
      <alignment horizontal="center" vertical="center"/>
      <protection locked="0"/>
    </xf>
    <xf numFmtId="49" fontId="11" fillId="11" borderId="13" xfId="0" applyNumberFormat="1" applyFont="1" applyFill="1" applyBorder="1" applyAlignment="1" applyProtection="1">
      <alignment horizontal="center" vertical="center"/>
      <protection locked="0"/>
    </xf>
    <xf numFmtId="49" fontId="34" fillId="0" borderId="1" xfId="0" quotePrefix="1" applyNumberFormat="1" applyFont="1" applyBorder="1" applyAlignment="1">
      <alignment horizontal="center" vertical="center"/>
    </xf>
    <xf numFmtId="49" fontId="34" fillId="0" borderId="5" xfId="0" quotePrefix="1" applyNumberFormat="1" applyFont="1" applyBorder="1" applyAlignment="1">
      <alignment horizontal="center" vertical="center"/>
    </xf>
    <xf numFmtId="49" fontId="34" fillId="0" borderId="36" xfId="0" quotePrefix="1" applyNumberFormat="1" applyFont="1" applyBorder="1" applyAlignment="1">
      <alignment horizontal="center"/>
    </xf>
    <xf numFmtId="49" fontId="34" fillId="0" borderId="4" xfId="0" quotePrefix="1" applyNumberFormat="1" applyFont="1" applyBorder="1" applyAlignment="1">
      <alignment horizontal="center" vertical="center"/>
    </xf>
    <xf numFmtId="49" fontId="11" fillId="2" borderId="0" xfId="0" applyNumberFormat="1" applyFont="1" applyFill="1" applyAlignment="1">
      <alignment horizontal="center"/>
    </xf>
    <xf numFmtId="49" fontId="0" fillId="0" borderId="0" xfId="0" applyNumberFormat="1"/>
    <xf numFmtId="49" fontId="0" fillId="16" borderId="75" xfId="0" applyNumberFormat="1" applyFill="1" applyBorder="1"/>
    <xf numFmtId="49" fontId="34" fillId="0" borderId="36" xfId="1" applyNumberFormat="1" applyFont="1" applyBorder="1" applyAlignment="1">
      <alignment horizontal="center"/>
    </xf>
    <xf numFmtId="49" fontId="34" fillId="0" borderId="4" xfId="1" applyNumberFormat="1" applyFont="1" applyBorder="1" applyProtection="1">
      <protection locked="0"/>
    </xf>
    <xf numFmtId="49" fontId="15" fillId="11" borderId="0" xfId="1" applyNumberFormat="1" applyFont="1" applyFill="1" applyAlignment="1" applyProtection="1">
      <alignment horizontal="center" vertical="center"/>
      <protection locked="0"/>
    </xf>
    <xf numFmtId="49" fontId="15" fillId="11" borderId="14" xfId="1" applyNumberFormat="1" applyFont="1" applyFill="1" applyBorder="1" applyAlignment="1" applyProtection="1">
      <alignment horizontal="center" vertical="center"/>
      <protection locked="0"/>
    </xf>
    <xf numFmtId="49" fontId="15" fillId="11" borderId="5" xfId="1" applyNumberFormat="1" applyFont="1" applyFill="1" applyBorder="1" applyAlignment="1" applyProtection="1">
      <alignment horizontal="center" vertical="center"/>
      <protection locked="0"/>
    </xf>
    <xf numFmtId="49" fontId="11" fillId="0" borderId="37" xfId="0" applyNumberFormat="1" applyFont="1" applyBorder="1" applyAlignment="1" applyProtection="1">
      <alignment horizontal="center"/>
      <protection locked="0"/>
    </xf>
    <xf numFmtId="1" fontId="12" fillId="0" borderId="103" xfId="0" applyNumberFormat="1" applyFont="1" applyBorder="1" applyAlignment="1">
      <alignment horizontal="center"/>
    </xf>
    <xf numFmtId="49" fontId="5" fillId="0" borderId="75" xfId="0" applyNumberFormat="1" applyFont="1" applyBorder="1"/>
    <xf numFmtId="0" fontId="0" fillId="19" borderId="75" xfId="0" applyFill="1" applyBorder="1"/>
    <xf numFmtId="49" fontId="11" fillId="0" borderId="34" xfId="1" applyNumberFormat="1" applyFont="1" applyBorder="1" applyAlignment="1" applyProtection="1">
      <alignment horizontal="center"/>
      <protection locked="0"/>
    </xf>
    <xf numFmtId="0" fontId="11" fillId="0" borderId="2" xfId="1" applyFont="1" applyBorder="1" applyAlignment="1">
      <alignment horizontal="left" vertical="center"/>
    </xf>
    <xf numFmtId="49" fontId="11" fillId="11" borderId="36" xfId="1" applyNumberFormat="1" applyFont="1" applyFill="1" applyBorder="1" applyAlignment="1" applyProtection="1">
      <alignment horizontal="center"/>
      <protection locked="0"/>
    </xf>
    <xf numFmtId="165" fontId="11" fillId="11" borderId="2" xfId="1" applyNumberFormat="1" applyFont="1" applyFill="1" applyBorder="1" applyProtection="1">
      <protection locked="0"/>
    </xf>
    <xf numFmtId="165" fontId="11" fillId="11" borderId="0" xfId="1" applyNumberFormat="1" applyFont="1" applyFill="1" applyProtection="1">
      <protection locked="0"/>
    </xf>
    <xf numFmtId="165" fontId="11" fillId="11" borderId="14" xfId="0" applyNumberFormat="1" applyFont="1" applyFill="1" applyBorder="1" applyProtection="1">
      <protection locked="0"/>
    </xf>
    <xf numFmtId="165" fontId="11" fillId="11" borderId="2" xfId="0" applyNumberFormat="1" applyFont="1" applyFill="1" applyBorder="1" applyProtection="1">
      <protection locked="0"/>
    </xf>
    <xf numFmtId="165" fontId="11" fillId="11" borderId="1" xfId="1" applyNumberFormat="1" applyFont="1" applyFill="1" applyBorder="1"/>
    <xf numFmtId="2" fontId="11" fillId="11" borderId="0" xfId="1" applyNumberFormat="1" applyFont="1" applyFill="1" applyProtection="1">
      <protection locked="0"/>
    </xf>
    <xf numFmtId="49" fontId="11" fillId="11" borderId="0" xfId="0" applyNumberFormat="1" applyFont="1" applyFill="1" applyAlignment="1" applyProtection="1">
      <alignment horizontal="center"/>
      <protection locked="0"/>
    </xf>
    <xf numFmtId="49" fontId="11" fillId="11" borderId="3" xfId="0" applyNumberFormat="1" applyFont="1" applyFill="1" applyBorder="1" applyAlignment="1" applyProtection="1">
      <alignment horizontal="center"/>
      <protection locked="0"/>
    </xf>
    <xf numFmtId="49" fontId="11" fillId="11" borderId="12" xfId="0" applyNumberFormat="1" applyFont="1" applyFill="1" applyBorder="1" applyAlignment="1" applyProtection="1">
      <alignment horizontal="center"/>
      <protection locked="0"/>
    </xf>
    <xf numFmtId="165" fontId="11" fillId="0" borderId="0" xfId="0" applyNumberFormat="1" applyFont="1"/>
    <xf numFmtId="165" fontId="11" fillId="0" borderId="2" xfId="0" applyNumberFormat="1" applyFont="1" applyBorder="1"/>
    <xf numFmtId="2" fontId="11" fillId="11" borderId="2" xfId="0" applyNumberFormat="1" applyFont="1" applyFill="1" applyBorder="1" applyProtection="1">
      <protection locked="0"/>
    </xf>
    <xf numFmtId="49" fontId="11" fillId="11" borderId="2" xfId="0" applyNumberFormat="1" applyFont="1" applyFill="1" applyBorder="1" applyProtection="1">
      <protection locked="0"/>
    </xf>
    <xf numFmtId="49" fontId="78" fillId="0" borderId="2" xfId="1" applyNumberFormat="1" applyFont="1" applyBorder="1"/>
    <xf numFmtId="49" fontId="11" fillId="0" borderId="0" xfId="1" applyNumberFormat="1" applyFont="1"/>
    <xf numFmtId="49" fontId="10" fillId="0" borderId="7" xfId="1" applyNumberFormat="1" applyFont="1" applyBorder="1" applyAlignment="1">
      <alignment vertical="center"/>
    </xf>
    <xf numFmtId="49" fontId="10" fillId="0" borderId="0" xfId="1" applyNumberFormat="1" applyFont="1" applyAlignment="1">
      <alignment vertical="center"/>
    </xf>
    <xf numFmtId="49" fontId="10" fillId="0" borderId="0" xfId="1" applyNumberFormat="1" applyFont="1" applyAlignment="1">
      <alignment horizontal="left" vertical="center"/>
    </xf>
    <xf numFmtId="49" fontId="10" fillId="0" borderId="12" xfId="1" applyNumberFormat="1" applyFont="1" applyBorder="1" applyAlignment="1">
      <alignment horizontal="left" vertical="center"/>
    </xf>
    <xf numFmtId="49" fontId="10" fillId="11" borderId="7" xfId="1" applyNumberFormat="1" applyFont="1" applyFill="1" applyBorder="1" applyAlignment="1" applyProtection="1">
      <alignment horizontal="center" vertical="center"/>
      <protection locked="0"/>
    </xf>
    <xf numFmtId="49" fontId="10" fillId="11" borderId="18" xfId="1" applyNumberFormat="1" applyFont="1" applyFill="1" applyBorder="1" applyAlignment="1" applyProtection="1">
      <alignment horizontal="center" vertical="center"/>
      <protection locked="0"/>
    </xf>
    <xf numFmtId="49" fontId="10" fillId="11" borderId="16" xfId="1" applyNumberFormat="1" applyFont="1" applyFill="1" applyBorder="1" applyAlignment="1" applyProtection="1">
      <alignment horizontal="center" vertical="center"/>
      <protection locked="0"/>
    </xf>
    <xf numFmtId="49" fontId="10" fillId="11" borderId="8" xfId="1" applyNumberFormat="1" applyFont="1" applyFill="1" applyBorder="1" applyAlignment="1" applyProtection="1">
      <alignment horizontal="center" vertical="center"/>
      <protection locked="0"/>
    </xf>
    <xf numFmtId="0" fontId="5" fillId="0" borderId="90" xfId="0" applyFont="1" applyBorder="1" applyAlignment="1">
      <alignment horizontal="right"/>
    </xf>
    <xf numFmtId="0" fontId="8" fillId="0" borderId="75" xfId="0" applyFont="1" applyBorder="1"/>
    <xf numFmtId="0" fontId="8" fillId="9" borderId="90" xfId="0" applyFont="1" applyFill="1" applyBorder="1"/>
    <xf numFmtId="0" fontId="0" fillId="9" borderId="75" xfId="0" applyFill="1" applyBorder="1"/>
    <xf numFmtId="0" fontId="5" fillId="9" borderId="75" xfId="0" applyFont="1" applyFill="1" applyBorder="1"/>
    <xf numFmtId="0" fontId="0" fillId="10" borderId="0" xfId="0" applyFill="1"/>
    <xf numFmtId="0" fontId="0" fillId="10" borderId="75" xfId="0" applyFill="1" applyBorder="1"/>
    <xf numFmtId="0" fontId="5" fillId="10" borderId="75" xfId="0" applyFont="1" applyFill="1" applyBorder="1"/>
    <xf numFmtId="49" fontId="36" fillId="0" borderId="1" xfId="1" applyNumberFormat="1" applyFont="1" applyBorder="1" applyAlignment="1">
      <alignment horizontal="center"/>
    </xf>
    <xf numFmtId="49" fontId="37" fillId="11" borderId="0" xfId="1" applyNumberFormat="1" applyFont="1" applyFill="1" applyAlignment="1" applyProtection="1">
      <alignment horizontal="center" vertical="center"/>
      <protection locked="0"/>
    </xf>
    <xf numFmtId="49" fontId="0" fillId="10" borderId="75" xfId="0" applyNumberFormat="1" applyFill="1" applyBorder="1"/>
    <xf numFmtId="49" fontId="5" fillId="0" borderId="0" xfId="0" applyNumberFormat="1" applyFont="1"/>
    <xf numFmtId="49" fontId="5" fillId="16" borderId="75" xfId="0" applyNumberFormat="1" applyFont="1" applyFill="1" applyBorder="1"/>
    <xf numFmtId="49" fontId="11" fillId="3" borderId="0" xfId="0" applyNumberFormat="1" applyFont="1" applyFill="1" applyAlignment="1" applyProtection="1">
      <alignment horizontal="center" vertical="center"/>
      <protection locked="0"/>
    </xf>
    <xf numFmtId="49" fontId="11" fillId="3" borderId="12" xfId="0" applyNumberFormat="1" applyFont="1" applyFill="1" applyBorder="1" applyAlignment="1" applyProtection="1">
      <alignment horizontal="center" vertical="center"/>
      <protection locked="0"/>
    </xf>
    <xf numFmtId="0" fontId="11" fillId="2" borderId="66" xfId="0" applyFont="1" applyFill="1" applyBorder="1" applyAlignment="1">
      <alignment horizontal="center"/>
    </xf>
    <xf numFmtId="0" fontId="11" fillId="2" borderId="32" xfId="0" applyFont="1" applyFill="1" applyBorder="1" applyAlignment="1">
      <alignment horizontal="center"/>
    </xf>
    <xf numFmtId="0" fontId="11" fillId="2" borderId="31" xfId="0" applyFont="1" applyFill="1" applyBorder="1" applyAlignment="1">
      <alignment horizontal="center"/>
    </xf>
    <xf numFmtId="0" fontId="11" fillId="2" borderId="57" xfId="0" applyFont="1" applyFill="1" applyBorder="1" applyAlignment="1">
      <alignment horizontal="center"/>
    </xf>
    <xf numFmtId="0" fontId="11" fillId="2" borderId="51" xfId="0" applyFont="1" applyFill="1" applyBorder="1" applyAlignment="1">
      <alignment horizontal="center"/>
    </xf>
    <xf numFmtId="0" fontId="11" fillId="2" borderId="52" xfId="0" applyFont="1" applyFill="1" applyBorder="1" applyAlignment="1">
      <alignment horizontal="center"/>
    </xf>
    <xf numFmtId="2" fontId="11" fillId="0" borderId="37" xfId="1" applyNumberFormat="1" applyFont="1" applyBorder="1" applyAlignment="1" applyProtection="1">
      <alignment horizontal="center"/>
      <protection locked="0"/>
    </xf>
    <xf numFmtId="2" fontId="11" fillId="0" borderId="34" xfId="1" applyNumberFormat="1" applyFont="1" applyBorder="1" applyAlignment="1" applyProtection="1">
      <alignment horizontal="center"/>
      <protection locked="0"/>
    </xf>
    <xf numFmtId="2" fontId="11" fillId="0" borderId="36" xfId="1" applyNumberFormat="1" applyFont="1" applyBorder="1" applyAlignment="1" applyProtection="1">
      <alignment horizontal="center"/>
      <protection locked="0"/>
    </xf>
    <xf numFmtId="49" fontId="11" fillId="11" borderId="5" xfId="1" applyNumberFormat="1" applyFont="1" applyFill="1" applyBorder="1" applyAlignment="1">
      <alignment horizontal="left"/>
    </xf>
    <xf numFmtId="165" fontId="11" fillId="11" borderId="13" xfId="1" applyNumberFormat="1" applyFont="1" applyFill="1" applyBorder="1"/>
    <xf numFmtId="165" fontId="11" fillId="11" borderId="5" xfId="1" applyNumberFormat="1" applyFont="1" applyFill="1" applyBorder="1"/>
    <xf numFmtId="165" fontId="11" fillId="11" borderId="4" xfId="1" applyNumberFormat="1" applyFont="1" applyFill="1" applyBorder="1"/>
    <xf numFmtId="49" fontId="36" fillId="0" borderId="0" xfId="1" applyNumberFormat="1" applyFont="1" applyAlignment="1">
      <alignment horizontal="center"/>
    </xf>
    <xf numFmtId="49" fontId="36" fillId="0" borderId="5" xfId="1" applyNumberFormat="1" applyFont="1" applyBorder="1" applyAlignment="1">
      <alignment horizontal="center"/>
    </xf>
    <xf numFmtId="0" fontId="37" fillId="0" borderId="5" xfId="1" applyFont="1" applyBorder="1" applyAlignment="1">
      <alignment horizontal="center"/>
    </xf>
    <xf numFmtId="0" fontId="63" fillId="2" borderId="0" xfId="0" applyFont="1" applyFill="1" applyAlignment="1" applyProtection="1">
      <alignment horizontal="center"/>
      <protection locked="0"/>
    </xf>
    <xf numFmtId="0" fontId="11" fillId="0" borderId="0" xfId="0" applyFont="1" applyAlignment="1">
      <alignment horizontal="right"/>
    </xf>
    <xf numFmtId="1" fontId="11" fillId="11" borderId="0" xfId="1" applyNumberFormat="1" applyFont="1" applyFill="1" applyProtection="1">
      <protection locked="0"/>
    </xf>
    <xf numFmtId="1" fontId="11" fillId="11" borderId="0" xfId="1" applyNumberFormat="1" applyFont="1" applyFill="1" applyAlignment="1" applyProtection="1">
      <alignment horizontal="center"/>
      <protection locked="0"/>
    </xf>
    <xf numFmtId="49" fontId="11" fillId="11" borderId="0" xfId="0" applyNumberFormat="1" applyFont="1" applyFill="1" applyProtection="1">
      <protection locked="0"/>
    </xf>
    <xf numFmtId="0" fontId="12" fillId="2" borderId="6" xfId="1" applyFont="1" applyFill="1" applyBorder="1"/>
    <xf numFmtId="0" fontId="0" fillId="9" borderId="8" xfId="0" applyFill="1" applyBorder="1"/>
    <xf numFmtId="0" fontId="5" fillId="0" borderId="5" xfId="0" applyFont="1" applyBorder="1"/>
    <xf numFmtId="0" fontId="5" fillId="9" borderId="5" xfId="0" applyFont="1" applyFill="1" applyBorder="1"/>
    <xf numFmtId="0" fontId="5" fillId="9" borderId="4" xfId="0" applyFont="1" applyFill="1" applyBorder="1"/>
    <xf numFmtId="0" fontId="16" fillId="2" borderId="8" xfId="1" applyFont="1" applyFill="1" applyBorder="1" applyAlignment="1">
      <alignment textRotation="90" wrapText="1"/>
    </xf>
    <xf numFmtId="0" fontId="16" fillId="2" borderId="5" xfId="1" applyFont="1" applyFill="1" applyBorder="1" applyAlignment="1">
      <alignment textRotation="90" wrapText="1"/>
    </xf>
    <xf numFmtId="0" fontId="16" fillId="2" borderId="4" xfId="1" applyFont="1" applyFill="1" applyBorder="1" applyAlignment="1">
      <alignment textRotation="90" wrapText="1"/>
    </xf>
    <xf numFmtId="0" fontId="12" fillId="2" borderId="3" xfId="1" applyFont="1" applyFill="1" applyBorder="1"/>
    <xf numFmtId="0" fontId="0" fillId="9" borderId="4" xfId="0" applyFill="1" applyBorder="1"/>
    <xf numFmtId="0" fontId="12" fillId="0" borderId="40" xfId="0" applyFont="1" applyBorder="1"/>
    <xf numFmtId="0" fontId="12" fillId="0" borderId="104" xfId="0" applyFont="1" applyBorder="1" applyAlignment="1">
      <alignment horizontal="left" indent="1"/>
    </xf>
    <xf numFmtId="0" fontId="36" fillId="0" borderId="0" xfId="1" applyFont="1" applyAlignment="1">
      <alignment horizontal="right" wrapText="1"/>
    </xf>
    <xf numFmtId="0" fontId="37" fillId="0" borderId="104" xfId="1" applyFont="1" applyBorder="1" applyAlignment="1">
      <alignment horizontal="left" wrapText="1"/>
    </xf>
    <xf numFmtId="0" fontId="11" fillId="11" borderId="45" xfId="0" applyFont="1" applyFill="1" applyBorder="1" applyAlignment="1" applyProtection="1">
      <alignment horizontal="center"/>
      <protection locked="0"/>
    </xf>
    <xf numFmtId="0" fontId="11" fillId="11" borderId="1" xfId="0" applyFont="1" applyFill="1" applyBorder="1" applyAlignment="1" applyProtection="1">
      <alignment horizontal="center" vertical="center"/>
      <protection locked="0"/>
    </xf>
    <xf numFmtId="0" fontId="11" fillId="11" borderId="34" xfId="0" applyFont="1" applyFill="1" applyBorder="1" applyAlignment="1" applyProtection="1">
      <alignment horizontal="center"/>
      <protection locked="0"/>
    </xf>
    <xf numFmtId="0" fontId="11" fillId="11" borderId="44" xfId="0" applyFont="1" applyFill="1" applyBorder="1" applyAlignment="1" applyProtection="1">
      <alignment horizontal="center"/>
      <protection locked="0"/>
    </xf>
    <xf numFmtId="0" fontId="11" fillId="11" borderId="13" xfId="0" applyFont="1" applyFill="1" applyBorder="1" applyAlignment="1" applyProtection="1">
      <alignment horizontal="center" vertical="center"/>
      <protection locked="0"/>
    </xf>
    <xf numFmtId="0" fontId="11" fillId="11" borderId="36" xfId="0" applyFont="1" applyFill="1" applyBorder="1" applyAlignment="1" applyProtection="1">
      <alignment horizontal="center"/>
      <protection locked="0"/>
    </xf>
    <xf numFmtId="49" fontId="11" fillId="20" borderId="0" xfId="1" applyNumberFormat="1" applyFont="1" applyFill="1"/>
    <xf numFmtId="49" fontId="11" fillId="21" borderId="0" xfId="1" applyNumberFormat="1" applyFont="1" applyFill="1"/>
    <xf numFmtId="49" fontId="11" fillId="22" borderId="0" xfId="1" applyNumberFormat="1" applyFont="1" applyFill="1"/>
    <xf numFmtId="0" fontId="5" fillId="9" borderId="0" xfId="0" applyFont="1" applyFill="1" applyAlignment="1">
      <alignment horizontal="right"/>
    </xf>
    <xf numFmtId="49" fontId="5" fillId="9" borderId="0" xfId="0" applyNumberFormat="1" applyFont="1" applyFill="1"/>
    <xf numFmtId="49" fontId="0" fillId="9" borderId="0" xfId="0" applyNumberFormat="1" applyFill="1"/>
    <xf numFmtId="0" fontId="5" fillId="9" borderId="0" xfId="1" applyFill="1"/>
    <xf numFmtId="0" fontId="26" fillId="25" borderId="9" xfId="1" applyFont="1" applyFill="1" applyBorder="1" applyAlignment="1" applyProtection="1">
      <alignment horizontal="left" vertical="center"/>
      <protection locked="0"/>
    </xf>
    <xf numFmtId="0" fontId="26" fillId="25" borderId="11" xfId="1" applyFont="1" applyFill="1" applyBorder="1" applyAlignment="1" applyProtection="1">
      <alignment vertical="center"/>
      <protection locked="0"/>
    </xf>
    <xf numFmtId="0" fontId="26" fillId="25" borderId="65" xfId="1" applyFont="1" applyFill="1" applyBorder="1" applyAlignment="1" applyProtection="1">
      <alignment horizontal="center" vertical="center"/>
      <protection locked="0"/>
    </xf>
    <xf numFmtId="0" fontId="26" fillId="25" borderId="35" xfId="1" applyFont="1" applyFill="1" applyBorder="1" applyAlignment="1" applyProtection="1">
      <alignment horizontal="center" vertical="center"/>
      <protection locked="0"/>
    </xf>
    <xf numFmtId="0" fontId="26" fillId="25" borderId="30" xfId="1" applyFont="1" applyFill="1" applyBorder="1" applyAlignment="1" applyProtection="1">
      <alignment horizontal="center" vertical="center"/>
      <protection locked="0"/>
    </xf>
    <xf numFmtId="0" fontId="26" fillId="25" borderId="65" xfId="1" applyFont="1" applyFill="1" applyBorder="1" applyAlignment="1" applyProtection="1">
      <alignment horizontal="center" vertical="center" wrapText="1"/>
      <protection locked="0"/>
    </xf>
    <xf numFmtId="0" fontId="26" fillId="25" borderId="35" xfId="1" applyFont="1" applyFill="1" applyBorder="1" applyAlignment="1" applyProtection="1">
      <alignment horizontal="center" vertical="center" wrapText="1"/>
      <protection locked="0"/>
    </xf>
    <xf numFmtId="0" fontId="26" fillId="25" borderId="61" xfId="1" applyFont="1" applyFill="1" applyBorder="1" applyAlignment="1" applyProtection="1">
      <alignment horizontal="center" vertical="center" wrapText="1"/>
      <protection locked="0"/>
    </xf>
    <xf numFmtId="0" fontId="26" fillId="25" borderId="10" xfId="1" applyFont="1" applyFill="1" applyBorder="1" applyAlignment="1" applyProtection="1">
      <alignment horizontal="center" vertical="center" wrapText="1"/>
      <protection locked="0"/>
    </xf>
    <xf numFmtId="0" fontId="12" fillId="25" borderId="6" xfId="1" applyFont="1" applyFill="1" applyBorder="1" applyAlignment="1">
      <alignment vertical="center"/>
    </xf>
    <xf numFmtId="0" fontId="5" fillId="25" borderId="7" xfId="1" applyFill="1" applyBorder="1" applyAlignment="1">
      <alignment vertical="center"/>
    </xf>
    <xf numFmtId="0" fontId="5" fillId="25" borderId="64" xfId="1" applyFill="1" applyBorder="1" applyAlignment="1">
      <alignment vertical="center"/>
    </xf>
    <xf numFmtId="0" fontId="5" fillId="25" borderId="37" xfId="1" applyFill="1" applyBorder="1" applyAlignment="1">
      <alignment vertical="center" wrapText="1"/>
    </xf>
    <xf numFmtId="0" fontId="5" fillId="25" borderId="18" xfId="1" applyFill="1" applyBorder="1" applyAlignment="1">
      <alignment vertical="center" wrapText="1"/>
    </xf>
    <xf numFmtId="0" fontId="11" fillId="25" borderId="2" xfId="1" applyFont="1" applyFill="1" applyBorder="1" applyAlignment="1">
      <alignment vertical="center"/>
    </xf>
    <xf numFmtId="0" fontId="11" fillId="25" borderId="0" xfId="1" applyFont="1" applyFill="1" applyAlignment="1">
      <alignment vertical="center"/>
    </xf>
    <xf numFmtId="49" fontId="11" fillId="25" borderId="45" xfId="1" applyNumberFormat="1" applyFont="1" applyFill="1" applyBorder="1" applyAlignment="1">
      <alignment horizontal="center" vertical="center"/>
    </xf>
    <xf numFmtId="49" fontId="11" fillId="0" borderId="34" xfId="1" applyNumberFormat="1" applyFont="1" applyBorder="1" applyAlignment="1">
      <alignment horizontal="center" vertical="center" wrapText="1"/>
    </xf>
    <xf numFmtId="49" fontId="11" fillId="0" borderId="1" xfId="1" applyNumberFormat="1" applyFont="1" applyBorder="1" applyAlignment="1">
      <alignment horizontal="center" vertical="center" wrapText="1"/>
    </xf>
    <xf numFmtId="49" fontId="11" fillId="0" borderId="45" xfId="1" applyNumberFormat="1" applyFont="1" applyBorder="1" applyAlignment="1">
      <alignment horizontal="center" vertical="center" wrapText="1"/>
    </xf>
    <xf numFmtId="49" fontId="11" fillId="0" borderId="38" xfId="1" applyNumberFormat="1" applyFont="1" applyBorder="1" applyAlignment="1">
      <alignment horizontal="center" vertical="center" wrapText="1"/>
    </xf>
    <xf numFmtId="49" fontId="11" fillId="0" borderId="38" xfId="1" quotePrefix="1" applyNumberFormat="1" applyFont="1" applyBorder="1" applyAlignment="1">
      <alignment horizontal="center" vertical="center" wrapText="1"/>
    </xf>
    <xf numFmtId="49" fontId="11" fillId="0" borderId="38" xfId="1" quotePrefix="1" applyNumberFormat="1" applyFont="1" applyBorder="1" applyAlignment="1">
      <alignment horizontal="center" vertical="center"/>
    </xf>
    <xf numFmtId="49" fontId="11" fillId="25" borderId="2" xfId="1" applyNumberFormat="1" applyFont="1" applyFill="1" applyBorder="1" applyAlignment="1">
      <alignment horizontal="center" vertical="center"/>
    </xf>
    <xf numFmtId="49" fontId="11" fillId="0" borderId="5" xfId="1" quotePrefix="1" applyNumberFormat="1" applyFont="1" applyBorder="1" applyAlignment="1">
      <alignment horizontal="center" vertical="center"/>
    </xf>
    <xf numFmtId="0" fontId="11" fillId="0" borderId="34" xfId="1" applyFont="1" applyBorder="1" applyAlignment="1">
      <alignment horizontal="center" vertical="center" wrapText="1"/>
    </xf>
    <xf numFmtId="0" fontId="11" fillId="0" borderId="1" xfId="1" applyFont="1" applyBorder="1" applyAlignment="1">
      <alignment horizontal="center" vertical="center" wrapText="1"/>
    </xf>
    <xf numFmtId="0" fontId="11" fillId="0" borderId="45" xfId="1" applyFont="1" applyBorder="1" applyAlignment="1">
      <alignment horizontal="center" vertical="center" wrapText="1"/>
    </xf>
    <xf numFmtId="0" fontId="11" fillId="0" borderId="38" xfId="1" applyFont="1" applyBorder="1" applyAlignment="1">
      <alignment horizontal="center" vertical="center" wrapText="1"/>
    </xf>
    <xf numFmtId="0" fontId="11" fillId="25" borderId="0" xfId="1" applyFont="1" applyFill="1" applyAlignment="1">
      <alignment horizontal="right" vertical="center"/>
    </xf>
    <xf numFmtId="0" fontId="11" fillId="0" borderId="38" xfId="1" quotePrefix="1" applyFont="1" applyBorder="1" applyAlignment="1">
      <alignment horizontal="center" vertical="center" wrapText="1"/>
    </xf>
    <xf numFmtId="0" fontId="11" fillId="25" borderId="3" xfId="1" applyFont="1" applyFill="1" applyBorder="1" applyAlignment="1">
      <alignment vertical="center"/>
    </xf>
    <xf numFmtId="0" fontId="11" fillId="25" borderId="12" xfId="1" applyFont="1" applyFill="1" applyBorder="1" applyAlignment="1">
      <alignment vertical="center"/>
    </xf>
    <xf numFmtId="49" fontId="11" fillId="25" borderId="44" xfId="1" applyNumberFormat="1" applyFont="1" applyFill="1" applyBorder="1" applyAlignment="1">
      <alignment horizontal="center" vertical="center"/>
    </xf>
    <xf numFmtId="0" fontId="11" fillId="0" borderId="36" xfId="1" applyFont="1" applyBorder="1" applyAlignment="1">
      <alignment horizontal="center" vertical="center" wrapText="1"/>
    </xf>
    <xf numFmtId="0" fontId="11" fillId="0" borderId="13" xfId="1" applyFont="1" applyBorder="1" applyAlignment="1">
      <alignment horizontal="center" vertical="center" wrapText="1"/>
    </xf>
    <xf numFmtId="0" fontId="11" fillId="0" borderId="44" xfId="1" applyFont="1" applyBorder="1" applyAlignment="1">
      <alignment horizontal="center" vertical="center" wrapText="1"/>
    </xf>
    <xf numFmtId="0" fontId="11" fillId="0" borderId="124" xfId="1" applyFont="1" applyBorder="1" applyAlignment="1">
      <alignment horizontal="center" vertical="center" wrapText="1"/>
    </xf>
    <xf numFmtId="0" fontId="11" fillId="0" borderId="124" xfId="1" quotePrefix="1" applyFont="1" applyBorder="1" applyAlignment="1">
      <alignment horizontal="center" vertical="center" wrapText="1"/>
    </xf>
    <xf numFmtId="49" fontId="11" fillId="0" borderId="124" xfId="1" quotePrefix="1" applyNumberFormat="1" applyFont="1" applyBorder="1" applyAlignment="1">
      <alignment horizontal="center" vertical="center"/>
    </xf>
    <xf numFmtId="0" fontId="0" fillId="9" borderId="104" xfId="0" applyFill="1" applyBorder="1"/>
    <xf numFmtId="49" fontId="11" fillId="9" borderId="104" xfId="1" applyNumberFormat="1" applyFont="1" applyFill="1" applyBorder="1"/>
    <xf numFmtId="0" fontId="11" fillId="9" borderId="104" xfId="1" applyFont="1" applyFill="1" applyBorder="1"/>
    <xf numFmtId="0" fontId="5" fillId="9" borderId="104" xfId="0" applyFont="1" applyFill="1" applyBorder="1"/>
    <xf numFmtId="0" fontId="12" fillId="9" borderId="104" xfId="1" applyFont="1" applyFill="1" applyBorder="1"/>
    <xf numFmtId="0" fontId="83" fillId="9" borderId="0" xfId="0" applyFont="1" applyFill="1"/>
    <xf numFmtId="0" fontId="84" fillId="9" borderId="0" xfId="0" applyFont="1" applyFill="1"/>
    <xf numFmtId="49" fontId="85" fillId="9" borderId="0" xfId="1" applyNumberFormat="1" applyFont="1" applyFill="1"/>
    <xf numFmtId="0" fontId="85" fillId="9" borderId="0" xfId="1" applyFont="1" applyFill="1"/>
    <xf numFmtId="0" fontId="84" fillId="9" borderId="0" xfId="0" applyFont="1" applyFill="1" applyAlignment="1">
      <alignment horizontal="center"/>
    </xf>
    <xf numFmtId="49" fontId="0" fillId="9" borderId="104" xfId="0" applyNumberFormat="1" applyFill="1" applyBorder="1"/>
    <xf numFmtId="49" fontId="11" fillId="0" borderId="0" xfId="0" applyNumberFormat="1" applyFont="1" applyAlignment="1">
      <alignment horizontal="right"/>
    </xf>
    <xf numFmtId="49" fontId="11" fillId="11" borderId="2" xfId="1" applyNumberFormat="1" applyFont="1" applyFill="1" applyBorder="1" applyProtection="1">
      <protection locked="0"/>
    </xf>
    <xf numFmtId="0" fontId="5" fillId="0" borderId="75" xfId="0" quotePrefix="1" applyFont="1" applyBorder="1"/>
    <xf numFmtId="0" fontId="5" fillId="16" borderId="75" xfId="0" applyFont="1" applyFill="1" applyBorder="1"/>
    <xf numFmtId="0" fontId="5" fillId="19" borderId="75" xfId="0" applyFont="1" applyFill="1" applyBorder="1"/>
    <xf numFmtId="49" fontId="5" fillId="9" borderId="75" xfId="0" applyNumberFormat="1" applyFont="1" applyFill="1" applyBorder="1"/>
    <xf numFmtId="2" fontId="36" fillId="11" borderId="110" xfId="1" applyNumberFormat="1" applyFont="1" applyFill="1" applyBorder="1" applyAlignment="1" applyProtection="1">
      <alignment horizontal="center"/>
      <protection locked="0"/>
    </xf>
    <xf numFmtId="0" fontId="90" fillId="9" borderId="0" xfId="1" applyFont="1" applyFill="1" applyAlignment="1">
      <alignment horizontal="left"/>
    </xf>
    <xf numFmtId="170" fontId="15" fillId="0" borderId="23" xfId="1" applyNumberFormat="1" applyFont="1" applyBorder="1" applyAlignment="1">
      <alignment horizontal="right" indent="1"/>
    </xf>
    <xf numFmtId="170" fontId="15" fillId="0" borderId="24" xfId="1" applyNumberFormat="1" applyFont="1" applyBorder="1" applyAlignment="1">
      <alignment horizontal="right" indent="1"/>
    </xf>
    <xf numFmtId="49" fontId="46" fillId="11" borderId="120" xfId="1" applyNumberFormat="1" applyFont="1" applyFill="1" applyBorder="1" applyAlignment="1" applyProtection="1">
      <alignment horizontal="center" vertical="center"/>
      <protection locked="0"/>
    </xf>
    <xf numFmtId="49" fontId="46" fillId="11" borderId="121" xfId="1" applyNumberFormat="1" applyFont="1" applyFill="1" applyBorder="1" applyAlignment="1" applyProtection="1">
      <alignment horizontal="center" vertical="center"/>
      <protection locked="0"/>
    </xf>
    <xf numFmtId="0" fontId="78" fillId="2" borderId="0" xfId="1" applyFont="1" applyFill="1"/>
    <xf numFmtId="170" fontId="15" fillId="0" borderId="25" xfId="1" applyNumberFormat="1" applyFont="1" applyBorder="1" applyAlignment="1">
      <alignment horizontal="right" indent="1"/>
    </xf>
    <xf numFmtId="49" fontId="11" fillId="3" borderId="1" xfId="1" applyNumberFormat="1" applyFont="1" applyFill="1" applyBorder="1" applyAlignment="1" applyProtection="1">
      <alignment horizontal="left"/>
      <protection locked="0"/>
    </xf>
    <xf numFmtId="0" fontId="78" fillId="0" borderId="0" xfId="1" applyFont="1"/>
    <xf numFmtId="49" fontId="0" fillId="16" borderId="0" xfId="0" applyNumberFormat="1" applyFill="1"/>
    <xf numFmtId="49" fontId="5" fillId="16" borderId="0" xfId="0" applyNumberFormat="1" applyFont="1" applyFill="1"/>
    <xf numFmtId="49" fontId="11" fillId="3" borderId="5" xfId="1" quotePrefix="1" applyNumberFormat="1" applyFont="1" applyFill="1" applyBorder="1" applyAlignment="1" applyProtection="1">
      <alignment horizontal="center"/>
      <protection locked="0"/>
    </xf>
    <xf numFmtId="0" fontId="1" fillId="0" borderId="0" xfId="6" applyAlignment="1">
      <alignment vertical="center"/>
    </xf>
    <xf numFmtId="0" fontId="70" fillId="0" borderId="0" xfId="6" applyFont="1" applyAlignment="1">
      <alignment vertical="center"/>
    </xf>
    <xf numFmtId="0" fontId="1" fillId="9" borderId="39" xfId="6" applyFill="1" applyBorder="1" applyAlignment="1">
      <alignment vertical="center"/>
    </xf>
    <xf numFmtId="0" fontId="1" fillId="9" borderId="62" xfId="6" applyFill="1" applyBorder="1" applyAlignment="1">
      <alignment horizontal="right" vertical="center"/>
    </xf>
    <xf numFmtId="0" fontId="82" fillId="0" borderId="0" xfId="6" applyFont="1" applyAlignment="1">
      <alignment horizontal="left" vertical="center"/>
    </xf>
    <xf numFmtId="0" fontId="1" fillId="9" borderId="40" xfId="6" applyFill="1" applyBorder="1" applyAlignment="1">
      <alignment vertical="center"/>
    </xf>
    <xf numFmtId="0" fontId="1" fillId="9" borderId="104" xfId="6" applyFill="1" applyBorder="1" applyAlignment="1">
      <alignment horizontal="right" vertical="center"/>
    </xf>
    <xf numFmtId="0" fontId="1" fillId="9" borderId="41" xfId="6" applyFill="1" applyBorder="1" applyAlignment="1">
      <alignment vertical="center"/>
    </xf>
    <xf numFmtId="0" fontId="1" fillId="9" borderId="125" xfId="6" applyFill="1" applyBorder="1" applyAlignment="1">
      <alignment horizontal="right" vertical="center"/>
    </xf>
    <xf numFmtId="0" fontId="70" fillId="0" borderId="9" xfId="6" applyFont="1" applyBorder="1" applyAlignment="1">
      <alignment vertical="center"/>
    </xf>
    <xf numFmtId="0" fontId="70" fillId="0" borderId="11" xfId="6" applyFont="1" applyBorder="1" applyAlignment="1">
      <alignment horizontal="center" vertical="center"/>
    </xf>
    <xf numFmtId="0" fontId="70" fillId="0" borderId="10" xfId="6" applyFont="1" applyBorder="1" applyAlignment="1">
      <alignment vertical="center"/>
    </xf>
    <xf numFmtId="0" fontId="1" fillId="25" borderId="64" xfId="6" applyFill="1" applyBorder="1" applyAlignment="1">
      <alignment vertical="center" wrapText="1"/>
    </xf>
    <xf numFmtId="0" fontId="1" fillId="25" borderId="37" xfId="6" applyFill="1" applyBorder="1" applyAlignment="1">
      <alignment vertical="center" wrapText="1"/>
    </xf>
    <xf numFmtId="0" fontId="1" fillId="25" borderId="126" xfId="6" applyFill="1" applyBorder="1" applyAlignment="1">
      <alignment vertical="center" wrapText="1"/>
    </xf>
    <xf numFmtId="0" fontId="1" fillId="25" borderId="126" xfId="6" applyFill="1" applyBorder="1" applyAlignment="1">
      <alignment vertical="center"/>
    </xf>
    <xf numFmtId="49" fontId="11" fillId="25" borderId="34" xfId="1" applyNumberFormat="1" applyFont="1" applyFill="1" applyBorder="1" applyAlignment="1">
      <alignment horizontal="center" vertical="center" wrapText="1"/>
    </xf>
    <xf numFmtId="49" fontId="11" fillId="25" borderId="1" xfId="1" applyNumberFormat="1" applyFont="1" applyFill="1" applyBorder="1" applyAlignment="1">
      <alignment horizontal="center" vertical="center" wrapText="1"/>
    </xf>
    <xf numFmtId="49" fontId="11" fillId="25" borderId="45" xfId="1" applyNumberFormat="1" applyFont="1" applyFill="1" applyBorder="1" applyAlignment="1">
      <alignment horizontal="center" vertical="center" wrapText="1"/>
    </xf>
    <xf numFmtId="49" fontId="11" fillId="25" borderId="38" xfId="1" applyNumberFormat="1" applyFont="1" applyFill="1" applyBorder="1" applyAlignment="1">
      <alignment horizontal="center" vertical="center" wrapText="1"/>
    </xf>
    <xf numFmtId="49" fontId="11" fillId="25" borderId="38" xfId="1" quotePrefix="1" applyNumberFormat="1" applyFont="1" applyFill="1" applyBorder="1" applyAlignment="1">
      <alignment horizontal="center" vertical="center" wrapText="1"/>
    </xf>
    <xf numFmtId="0" fontId="81" fillId="0" borderId="0" xfId="6" applyFont="1" applyAlignment="1">
      <alignment horizontal="right" vertical="center"/>
    </xf>
    <xf numFmtId="0" fontId="11" fillId="3" borderId="5" xfId="1" applyFont="1" applyFill="1" applyBorder="1" applyAlignment="1">
      <alignment horizontal="left"/>
    </xf>
    <xf numFmtId="0" fontId="5" fillId="11" borderId="0" xfId="0" applyFont="1" applyFill="1" applyProtection="1">
      <protection locked="0"/>
    </xf>
    <xf numFmtId="0" fontId="5" fillId="11" borderId="3" xfId="0" applyFont="1" applyFill="1" applyBorder="1" applyProtection="1">
      <protection locked="0"/>
    </xf>
    <xf numFmtId="0" fontId="34" fillId="0" borderId="0" xfId="0" applyFont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4" xfId="0" applyFont="1" applyBorder="1" applyAlignment="1">
      <alignment horizontal="center"/>
    </xf>
    <xf numFmtId="0" fontId="13" fillId="2" borderId="9" xfId="1" applyFont="1" applyFill="1" applyBorder="1" applyAlignment="1">
      <alignment horizontal="left" vertical="center"/>
    </xf>
    <xf numFmtId="0" fontId="13" fillId="2" borderId="11" xfId="1" applyFont="1" applyFill="1" applyBorder="1" applyAlignment="1">
      <alignment horizontal="left" vertical="center"/>
    </xf>
    <xf numFmtId="0" fontId="13" fillId="2" borderId="30" xfId="1" applyFont="1" applyFill="1" applyBorder="1" applyAlignment="1">
      <alignment horizontal="left" vertical="center"/>
    </xf>
    <xf numFmtId="0" fontId="11" fillId="9" borderId="2" xfId="1" applyFont="1" applyFill="1" applyBorder="1" applyAlignment="1">
      <alignment horizontal="left"/>
    </xf>
    <xf numFmtId="0" fontId="11" fillId="9" borderId="0" xfId="1" applyFont="1" applyFill="1" applyAlignment="1">
      <alignment horizontal="left"/>
    </xf>
    <xf numFmtId="0" fontId="11" fillId="9" borderId="0" xfId="1" applyFont="1" applyFill="1" applyAlignment="1">
      <alignment horizontal="right"/>
    </xf>
    <xf numFmtId="169" fontId="11" fillId="3" borderId="0" xfId="1" applyNumberFormat="1" applyFont="1" applyFill="1" applyAlignment="1" applyProtection="1">
      <alignment horizontal="center"/>
      <protection locked="0"/>
    </xf>
    <xf numFmtId="0" fontId="11" fillId="9" borderId="12" xfId="1" applyFont="1" applyFill="1" applyBorder="1" applyAlignment="1">
      <alignment horizontal="left"/>
    </xf>
    <xf numFmtId="0" fontId="12" fillId="9" borderId="6" xfId="1" applyFont="1" applyFill="1" applyBorder="1" applyAlignment="1">
      <alignment horizontal="left"/>
    </xf>
    <xf numFmtId="0" fontId="12" fillId="9" borderId="7" xfId="1" applyFont="1" applyFill="1" applyBorder="1" applyAlignment="1">
      <alignment horizontal="left"/>
    </xf>
    <xf numFmtId="0" fontId="11" fillId="9" borderId="7" xfId="1" applyFont="1" applyFill="1" applyBorder="1" applyAlignment="1">
      <alignment horizontal="left"/>
    </xf>
    <xf numFmtId="0" fontId="11" fillId="9" borderId="3" xfId="1" applyFont="1" applyFill="1" applyBorder="1" applyAlignment="1">
      <alignment horizontal="left"/>
    </xf>
    <xf numFmtId="0" fontId="5" fillId="9" borderId="0" xfId="1" applyFill="1"/>
    <xf numFmtId="171" fontId="11" fillId="3" borderId="0" xfId="1" applyNumberFormat="1" applyFont="1" applyFill="1" applyAlignment="1" applyProtection="1">
      <alignment horizontal="left"/>
      <protection locked="0"/>
    </xf>
    <xf numFmtId="171" fontId="11" fillId="3" borderId="1" xfId="1" applyNumberFormat="1" applyFont="1" applyFill="1" applyBorder="1" applyAlignment="1" applyProtection="1">
      <alignment horizontal="left"/>
      <protection locked="0"/>
    </xf>
    <xf numFmtId="0" fontId="11" fillId="9" borderId="2" xfId="1" applyFont="1" applyFill="1" applyBorder="1" applyAlignment="1">
      <alignment horizontal="right" wrapText="1"/>
    </xf>
    <xf numFmtId="0" fontId="11" fillId="9" borderId="0" xfId="1" applyFont="1" applyFill="1" applyAlignment="1">
      <alignment horizontal="right" wrapText="1"/>
    </xf>
    <xf numFmtId="0" fontId="11" fillId="9" borderId="3" xfId="1" applyFont="1" applyFill="1" applyBorder="1" applyAlignment="1">
      <alignment horizontal="right" wrapText="1"/>
    </xf>
    <xf numFmtId="0" fontId="11" fillId="9" borderId="12" xfId="1" applyFont="1" applyFill="1" applyBorder="1" applyAlignment="1">
      <alignment horizontal="right" wrapText="1"/>
    </xf>
    <xf numFmtId="0" fontId="13" fillId="9" borderId="6" xfId="1" applyFont="1" applyFill="1" applyBorder="1" applyAlignment="1">
      <alignment horizontal="left" vertical="center"/>
    </xf>
    <xf numFmtId="0" fontId="11" fillId="9" borderId="7" xfId="1" applyFont="1" applyFill="1" applyBorder="1" applyAlignment="1">
      <alignment vertical="center"/>
    </xf>
    <xf numFmtId="0" fontId="11" fillId="9" borderId="3" xfId="1" applyFont="1" applyFill="1" applyBorder="1" applyAlignment="1">
      <alignment vertical="center"/>
    </xf>
    <xf numFmtId="0" fontId="11" fillId="9" borderId="12" xfId="1" applyFont="1" applyFill="1" applyBorder="1" applyAlignment="1">
      <alignment vertical="center"/>
    </xf>
    <xf numFmtId="0" fontId="11" fillId="9" borderId="7" xfId="1" applyFont="1" applyFill="1" applyBorder="1" applyAlignment="1">
      <alignment horizontal="center"/>
    </xf>
    <xf numFmtId="0" fontId="11" fillId="9" borderId="8" xfId="1" applyFont="1" applyFill="1" applyBorder="1" applyAlignment="1">
      <alignment horizontal="center"/>
    </xf>
    <xf numFmtId="0" fontId="12" fillId="9" borderId="12" xfId="1" applyFont="1" applyFill="1" applyBorder="1" applyAlignment="1">
      <alignment horizontal="left"/>
    </xf>
    <xf numFmtId="49" fontId="11" fillId="3" borderId="0" xfId="1" applyNumberFormat="1" applyFont="1" applyFill="1" applyAlignment="1" applyProtection="1">
      <alignment horizontal="left"/>
      <protection locked="0"/>
    </xf>
    <xf numFmtId="49" fontId="11" fillId="3" borderId="1" xfId="1" applyNumberFormat="1" applyFont="1" applyFill="1" applyBorder="1" applyAlignment="1" applyProtection="1">
      <alignment horizontal="left"/>
      <protection locked="0"/>
    </xf>
    <xf numFmtId="49" fontId="11" fillId="3" borderId="12" xfId="1" applyNumberFormat="1" applyFont="1" applyFill="1" applyBorder="1" applyAlignment="1" applyProtection="1">
      <alignment horizontal="left"/>
      <protection locked="0"/>
    </xf>
    <xf numFmtId="49" fontId="11" fillId="3" borderId="13" xfId="1" applyNumberFormat="1" applyFont="1" applyFill="1" applyBorder="1" applyAlignment="1" applyProtection="1">
      <alignment horizontal="left"/>
      <protection locked="0"/>
    </xf>
    <xf numFmtId="0" fontId="18" fillId="7" borderId="9" xfId="1" applyFont="1" applyFill="1" applyBorder="1" applyAlignment="1" applyProtection="1">
      <alignment horizontal="left" vertical="center" indent="3"/>
      <protection locked="0"/>
    </xf>
    <xf numFmtId="0" fontId="18" fillId="7" borderId="11" xfId="1" applyFont="1" applyFill="1" applyBorder="1" applyAlignment="1" applyProtection="1">
      <alignment horizontal="left" vertical="center" indent="3"/>
      <protection locked="0"/>
    </xf>
    <xf numFmtId="0" fontId="18" fillId="7" borderId="10" xfId="1" applyFont="1" applyFill="1" applyBorder="1" applyAlignment="1" applyProtection="1">
      <alignment horizontal="left" vertical="center" indent="3"/>
      <protection locked="0"/>
    </xf>
    <xf numFmtId="0" fontId="11" fillId="2" borderId="0" xfId="1" applyFont="1" applyFill="1" applyAlignment="1">
      <alignment horizontal="center"/>
    </xf>
    <xf numFmtId="0" fontId="11" fillId="0" borderId="6" xfId="1" applyFont="1" applyBorder="1"/>
    <xf numFmtId="0" fontId="11" fillId="0" borderId="7" xfId="1" applyFont="1" applyBorder="1"/>
    <xf numFmtId="0" fontId="11" fillId="0" borderId="18" xfId="1" applyFont="1" applyBorder="1"/>
    <xf numFmtId="0" fontId="11" fillId="0" borderId="2" xfId="1" applyFont="1" applyBorder="1" applyAlignment="1">
      <alignment horizontal="right" indent="1"/>
    </xf>
    <xf numFmtId="0" fontId="11" fillId="0" borderId="0" xfId="1" applyFont="1" applyAlignment="1">
      <alignment horizontal="right" indent="1"/>
    </xf>
    <xf numFmtId="0" fontId="11" fillId="0" borderId="1" xfId="1" applyFont="1" applyBorder="1" applyAlignment="1">
      <alignment horizontal="right" indent="1"/>
    </xf>
    <xf numFmtId="0" fontId="11" fillId="0" borderId="3" xfId="1" applyFont="1" applyBorder="1" applyAlignment="1">
      <alignment horizontal="right" indent="1"/>
    </xf>
    <xf numFmtId="0" fontId="11" fillId="0" borderId="12" xfId="1" applyFont="1" applyBorder="1" applyAlignment="1">
      <alignment horizontal="right" indent="1"/>
    </xf>
    <xf numFmtId="0" fontId="11" fillId="0" borderId="13" xfId="1" applyFont="1" applyBorder="1" applyAlignment="1">
      <alignment horizontal="right" indent="1"/>
    </xf>
    <xf numFmtId="49" fontId="11" fillId="3" borderId="7" xfId="1" applyNumberFormat="1" applyFont="1" applyFill="1" applyBorder="1" applyAlignment="1" applyProtection="1">
      <alignment horizontal="left"/>
      <protection locked="0"/>
    </xf>
    <xf numFmtId="49" fontId="11" fillId="3" borderId="18" xfId="1" applyNumberFormat="1" applyFont="1" applyFill="1" applyBorder="1" applyAlignment="1" applyProtection="1">
      <alignment horizontal="left"/>
      <protection locked="0"/>
    </xf>
    <xf numFmtId="0" fontId="11" fillId="3" borderId="0" xfId="1" applyFont="1" applyFill="1" applyAlignment="1" applyProtection="1">
      <alignment horizontal="left"/>
      <protection locked="0"/>
    </xf>
    <xf numFmtId="0" fontId="11" fillId="3" borderId="1" xfId="1" applyFont="1" applyFill="1" applyBorder="1" applyAlignment="1" applyProtection="1">
      <alignment horizontal="left"/>
      <protection locked="0"/>
    </xf>
    <xf numFmtId="0" fontId="11" fillId="0" borderId="3" xfId="1" applyFont="1" applyBorder="1" applyAlignment="1">
      <alignment horizontal="right"/>
    </xf>
    <xf numFmtId="0" fontId="11" fillId="0" borderId="12" xfId="1" applyFont="1" applyBorder="1" applyAlignment="1">
      <alignment horizontal="right"/>
    </xf>
    <xf numFmtId="0" fontId="11" fillId="0" borderId="13" xfId="1" applyFont="1" applyBorder="1" applyAlignment="1">
      <alignment horizontal="right"/>
    </xf>
    <xf numFmtId="0" fontId="11" fillId="0" borderId="2" xfId="1" applyFont="1" applyBorder="1" applyAlignment="1">
      <alignment horizontal="left"/>
    </xf>
    <xf numFmtId="0" fontId="11" fillId="0" borderId="0" xfId="1" applyFont="1" applyAlignment="1">
      <alignment horizontal="left"/>
    </xf>
    <xf numFmtId="0" fontId="11" fillId="0" borderId="1" xfId="1" applyFont="1" applyBorder="1" applyAlignment="1">
      <alignment horizontal="left"/>
    </xf>
    <xf numFmtId="49" fontId="11" fillId="3" borderId="0" xfId="1" applyNumberFormat="1" applyFont="1" applyFill="1" applyAlignment="1">
      <alignment horizontal="left"/>
    </xf>
    <xf numFmtId="49" fontId="11" fillId="3" borderId="1" xfId="1" applyNumberFormat="1" applyFont="1" applyFill="1" applyBorder="1" applyAlignment="1">
      <alignment horizontal="left"/>
    </xf>
    <xf numFmtId="0" fontId="11" fillId="3" borderId="0" xfId="1" applyFont="1" applyFill="1" applyAlignment="1">
      <alignment horizontal="left"/>
    </xf>
    <xf numFmtId="0" fontId="11" fillId="3" borderId="1" xfId="1" applyFont="1" applyFill="1" applyBorder="1" applyAlignment="1">
      <alignment horizontal="left"/>
    </xf>
    <xf numFmtId="49" fontId="11" fillId="0" borderId="0" xfId="1" applyNumberFormat="1" applyFont="1" applyAlignment="1">
      <alignment horizontal="left"/>
    </xf>
    <xf numFmtId="49" fontId="11" fillId="0" borderId="1" xfId="1" applyNumberFormat="1" applyFont="1" applyBorder="1" applyAlignment="1">
      <alignment horizontal="left"/>
    </xf>
    <xf numFmtId="169" fontId="11" fillId="3" borderId="0" xfId="1" applyNumberFormat="1" applyFont="1" applyFill="1" applyAlignment="1">
      <alignment horizontal="center"/>
    </xf>
    <xf numFmtId="49" fontId="11" fillId="3" borderId="12" xfId="1" applyNumberFormat="1" applyFont="1" applyFill="1" applyBorder="1" applyAlignment="1">
      <alignment horizontal="left"/>
    </xf>
    <xf numFmtId="0" fontId="11" fillId="3" borderId="12" xfId="1" applyFont="1" applyFill="1" applyBorder="1" applyAlignment="1">
      <alignment horizontal="left"/>
    </xf>
    <xf numFmtId="0" fontId="11" fillId="3" borderId="13" xfId="1" applyFont="1" applyFill="1" applyBorder="1" applyAlignment="1">
      <alignment horizontal="left"/>
    </xf>
    <xf numFmtId="0" fontId="54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 applyProtection="1">
      <alignment horizontal="center"/>
      <protection locked="0"/>
    </xf>
    <xf numFmtId="0" fontId="39" fillId="2" borderId="16" xfId="0" applyFont="1" applyFill="1" applyBorder="1" applyAlignment="1">
      <alignment horizontal="center" wrapText="1"/>
    </xf>
    <xf numFmtId="0" fontId="39" fillId="2" borderId="7" xfId="0" applyFont="1" applyFill="1" applyBorder="1" applyAlignment="1">
      <alignment horizontal="center" wrapText="1"/>
    </xf>
    <xf numFmtId="0" fontId="39" fillId="2" borderId="14" xfId="0" applyFont="1" applyFill="1" applyBorder="1" applyAlignment="1">
      <alignment horizontal="center" wrapText="1"/>
    </xf>
    <xf numFmtId="0" fontId="39" fillId="2" borderId="0" xfId="0" applyFont="1" applyFill="1" applyAlignment="1">
      <alignment horizontal="center" wrapText="1"/>
    </xf>
    <xf numFmtId="0" fontId="39" fillId="2" borderId="0" xfId="0" applyFont="1" applyFill="1" applyAlignment="1" applyProtection="1">
      <alignment horizontal="center" wrapText="1"/>
      <protection locked="0"/>
    </xf>
    <xf numFmtId="1" fontId="26" fillId="2" borderId="23" xfId="0" applyNumberFormat="1" applyFont="1" applyFill="1" applyBorder="1" applyAlignment="1" applyProtection="1">
      <alignment horizontal="center" vertical="center"/>
      <protection locked="0"/>
    </xf>
    <xf numFmtId="1" fontId="26" fillId="2" borderId="25" xfId="0" applyNumberFormat="1" applyFont="1" applyFill="1" applyBorder="1" applyAlignment="1" applyProtection="1">
      <alignment horizontal="center" vertical="center"/>
      <protection locked="0"/>
    </xf>
    <xf numFmtId="0" fontId="5" fillId="2" borderId="49" xfId="0" applyFont="1" applyFill="1" applyBorder="1" applyAlignment="1" applyProtection="1">
      <alignment horizontal="center" wrapText="1"/>
      <protection locked="0"/>
    </xf>
    <xf numFmtId="0" fontId="0" fillId="2" borderId="50" xfId="0" applyFill="1" applyBorder="1" applyAlignment="1" applyProtection="1">
      <alignment horizontal="center"/>
      <protection locked="0"/>
    </xf>
    <xf numFmtId="0" fontId="61" fillId="13" borderId="7" xfId="0" applyFont="1" applyFill="1" applyBorder="1" applyAlignment="1" applyProtection="1">
      <alignment horizontal="center" vertical="center"/>
      <protection locked="0"/>
    </xf>
    <xf numFmtId="0" fontId="61" fillId="13" borderId="8" xfId="0" applyFont="1" applyFill="1" applyBorder="1" applyAlignment="1" applyProtection="1">
      <alignment horizontal="center" vertical="center"/>
      <protection locked="0"/>
    </xf>
    <xf numFmtId="0" fontId="61" fillId="13" borderId="0" xfId="0" applyFont="1" applyFill="1" applyAlignment="1" applyProtection="1">
      <alignment horizontal="center" vertical="center"/>
      <protection locked="0"/>
    </xf>
    <xf numFmtId="0" fontId="61" fillId="13" borderId="5" xfId="0" applyFont="1" applyFill="1" applyBorder="1" applyAlignment="1" applyProtection="1">
      <alignment horizontal="center" vertical="center"/>
      <protection locked="0"/>
    </xf>
    <xf numFmtId="0" fontId="61" fillId="13" borderId="12" xfId="0" applyFont="1" applyFill="1" applyBorder="1" applyAlignment="1" applyProtection="1">
      <alignment horizontal="center" vertical="center"/>
      <protection locked="0"/>
    </xf>
    <xf numFmtId="0" fontId="61" fillId="13" borderId="4" xfId="0" applyFont="1" applyFill="1" applyBorder="1" applyAlignment="1" applyProtection="1">
      <alignment horizontal="center" vertical="center"/>
      <protection locked="0"/>
    </xf>
    <xf numFmtId="164" fontId="45" fillId="2" borderId="46" xfId="0" applyNumberFormat="1" applyFont="1" applyFill="1" applyBorder="1" applyAlignment="1" applyProtection="1">
      <alignment horizontal="center"/>
      <protection locked="0"/>
    </xf>
    <xf numFmtId="164" fontId="18" fillId="0" borderId="20" xfId="2" applyNumberFormat="1" applyFont="1" applyBorder="1" applyAlignment="1" applyProtection="1">
      <alignment horizontal="center" vertical="center"/>
      <protection locked="0"/>
    </xf>
    <xf numFmtId="164" fontId="18" fillId="0" borderId="42" xfId="2" applyNumberFormat="1" applyFont="1" applyBorder="1" applyAlignment="1" applyProtection="1">
      <alignment horizontal="center" vertical="center"/>
      <protection locked="0"/>
    </xf>
    <xf numFmtId="165" fontId="53" fillId="13" borderId="17" xfId="0" applyNumberFormat="1" applyFont="1" applyFill="1" applyBorder="1" applyAlignment="1" applyProtection="1">
      <alignment horizontal="center" vertical="center"/>
      <protection locked="0"/>
    </xf>
    <xf numFmtId="165" fontId="53" fillId="13" borderId="13" xfId="0" applyNumberFormat="1" applyFont="1" applyFill="1" applyBorder="1" applyAlignment="1" applyProtection="1">
      <alignment horizontal="center" vertical="center"/>
      <protection locked="0"/>
    </xf>
    <xf numFmtId="1" fontId="26" fillId="0" borderId="32" xfId="2" applyNumberFormat="1" applyFont="1" applyBorder="1" applyAlignment="1" applyProtection="1">
      <alignment horizontal="center" vertical="center"/>
      <protection locked="0"/>
    </xf>
    <xf numFmtId="1" fontId="26" fillId="0" borderId="31" xfId="2" applyNumberFormat="1" applyFont="1" applyBorder="1" applyAlignment="1" applyProtection="1">
      <alignment horizontal="center" vertical="center"/>
      <protection locked="0"/>
    </xf>
    <xf numFmtId="165" fontId="53" fillId="13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53" xfId="0" applyFont="1" applyBorder="1" applyAlignment="1" applyProtection="1">
      <alignment horizontal="center" vertical="center"/>
      <protection locked="0"/>
    </xf>
    <xf numFmtId="0" fontId="18" fillId="0" borderId="54" xfId="0" applyFont="1" applyBorder="1" applyAlignment="1" applyProtection="1">
      <alignment horizontal="center" vertical="center"/>
      <protection locked="0"/>
    </xf>
    <xf numFmtId="0" fontId="5" fillId="2" borderId="55" xfId="0" applyFont="1" applyFill="1" applyBorder="1" applyAlignment="1" applyProtection="1">
      <alignment horizontal="center" wrapText="1"/>
      <protection locked="0"/>
    </xf>
    <xf numFmtId="0" fontId="0" fillId="2" borderId="56" xfId="0" applyFill="1" applyBorder="1" applyAlignment="1" applyProtection="1">
      <alignment horizontal="center"/>
      <protection locked="0"/>
    </xf>
    <xf numFmtId="0" fontId="18" fillId="0" borderId="57" xfId="0" applyFont="1" applyBorder="1" applyAlignment="1" applyProtection="1">
      <alignment horizontal="center" vertical="center"/>
      <protection locked="0"/>
    </xf>
    <xf numFmtId="0" fontId="18" fillId="0" borderId="52" xfId="0" applyFont="1" applyBorder="1" applyAlignment="1" applyProtection="1">
      <alignment horizontal="center" vertical="center"/>
      <protection locked="0"/>
    </xf>
    <xf numFmtId="0" fontId="5" fillId="2" borderId="47" xfId="0" applyFont="1" applyFill="1" applyBorder="1" applyAlignment="1" applyProtection="1">
      <alignment horizontal="center" wrapText="1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18" fillId="0" borderId="51" xfId="0" applyFont="1" applyBorder="1" applyAlignment="1" applyProtection="1">
      <alignment horizontal="center" vertical="center"/>
      <protection locked="0"/>
    </xf>
    <xf numFmtId="165" fontId="53" fillId="13" borderId="12" xfId="0" applyNumberFormat="1" applyFont="1" applyFill="1" applyBorder="1" applyAlignment="1" applyProtection="1">
      <alignment horizontal="center" vertical="center"/>
      <protection locked="0"/>
    </xf>
    <xf numFmtId="0" fontId="39" fillId="2" borderId="1" xfId="0" applyFont="1" applyFill="1" applyBorder="1" applyAlignment="1">
      <alignment horizontal="center" wrapText="1"/>
    </xf>
    <xf numFmtId="0" fontId="39" fillId="2" borderId="18" xfId="0" applyFont="1" applyFill="1" applyBorder="1" applyAlignment="1">
      <alignment horizontal="center" wrapText="1"/>
    </xf>
    <xf numFmtId="0" fontId="39" fillId="2" borderId="66" xfId="0" applyFont="1" applyFill="1" applyBorder="1" applyAlignment="1">
      <alignment horizontal="center" wrapText="1"/>
    </xf>
    <xf numFmtId="0" fontId="39" fillId="2" borderId="31" xfId="0" applyFont="1" applyFill="1" applyBorder="1" applyAlignment="1">
      <alignment horizontal="center" wrapText="1"/>
    </xf>
    <xf numFmtId="0" fontId="51" fillId="13" borderId="9" xfId="0" applyFont="1" applyFill="1" applyBorder="1" applyAlignment="1" applyProtection="1">
      <alignment horizontal="left" vertical="center" indent="4"/>
      <protection locked="0"/>
    </xf>
    <xf numFmtId="0" fontId="51" fillId="13" borderId="11" xfId="0" applyFont="1" applyFill="1" applyBorder="1" applyAlignment="1" applyProtection="1">
      <alignment horizontal="left" vertical="center" indent="4"/>
      <protection locked="0"/>
    </xf>
    <xf numFmtId="0" fontId="51" fillId="13" borderId="10" xfId="0" applyFont="1" applyFill="1" applyBorder="1" applyAlignment="1" applyProtection="1">
      <alignment horizontal="left" vertical="center" indent="4"/>
      <protection locked="0"/>
    </xf>
    <xf numFmtId="164" fontId="18" fillId="0" borderId="41" xfId="2" applyNumberFormat="1" applyFont="1" applyBorder="1" applyAlignment="1" applyProtection="1">
      <alignment horizontal="center" vertical="center"/>
      <protection locked="0"/>
    </xf>
    <xf numFmtId="164" fontId="18" fillId="0" borderId="21" xfId="2" applyNumberFormat="1" applyFont="1" applyBorder="1" applyAlignment="1" applyProtection="1">
      <alignment horizontal="center" vertical="center"/>
      <protection locked="0"/>
    </xf>
    <xf numFmtId="0" fontId="80" fillId="2" borderId="0" xfId="0" applyFont="1" applyFill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7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0" fontId="11" fillId="0" borderId="2" xfId="0" applyFont="1" applyBorder="1" applyAlignment="1">
      <alignment horizontal="right" indent="1"/>
    </xf>
    <xf numFmtId="0" fontId="11" fillId="0" borderId="0" xfId="0" applyFont="1" applyAlignment="1">
      <alignment horizontal="right" indent="1"/>
    </xf>
    <xf numFmtId="0" fontId="11" fillId="0" borderId="5" xfId="0" applyFont="1" applyBorder="1" applyAlignment="1">
      <alignment horizontal="right" indent="1"/>
    </xf>
    <xf numFmtId="2" fontId="12" fillId="0" borderId="7" xfId="0" applyNumberFormat="1" applyFont="1" applyBorder="1" applyAlignment="1">
      <alignment horizontal="center"/>
    </xf>
    <xf numFmtId="2" fontId="12" fillId="0" borderId="8" xfId="0" applyNumberFormat="1" applyFont="1" applyBorder="1" applyAlignment="1">
      <alignment horizontal="center"/>
    </xf>
    <xf numFmtId="2" fontId="11" fillId="0" borderId="2" xfId="0" applyNumberFormat="1" applyFont="1" applyBorder="1" applyAlignment="1">
      <alignment horizontal="center"/>
    </xf>
    <xf numFmtId="2" fontId="11" fillId="0" borderId="5" xfId="0" applyNumberFormat="1" applyFont="1" applyBorder="1" applyAlignment="1">
      <alignment horizontal="center"/>
    </xf>
    <xf numFmtId="2" fontId="11" fillId="0" borderId="2" xfId="0" applyNumberFormat="1" applyFont="1" applyBorder="1"/>
    <xf numFmtId="2" fontId="11" fillId="0" borderId="5" xfId="0" applyNumberFormat="1" applyFont="1" applyBorder="1"/>
    <xf numFmtId="2" fontId="11" fillId="10" borderId="2" xfId="0" applyNumberFormat="1" applyFont="1" applyFill="1" applyBorder="1" applyAlignment="1" applyProtection="1">
      <alignment horizontal="center"/>
      <protection locked="0"/>
    </xf>
    <xf numFmtId="2" fontId="11" fillId="10" borderId="5" xfId="0" applyNumberFormat="1" applyFont="1" applyFill="1" applyBorder="1" applyAlignment="1" applyProtection="1">
      <alignment horizontal="center"/>
      <protection locked="0"/>
    </xf>
    <xf numFmtId="0" fontId="11" fillId="0" borderId="2" xfId="0" applyFont="1" applyBorder="1" applyAlignment="1">
      <alignment horizontal="right"/>
    </xf>
    <xf numFmtId="0" fontId="11" fillId="0" borderId="0" xfId="0" applyFont="1" applyAlignment="1">
      <alignment horizontal="right"/>
    </xf>
    <xf numFmtId="0" fontId="11" fillId="0" borderId="5" xfId="0" applyFont="1" applyBorder="1" applyAlignment="1">
      <alignment horizontal="right"/>
    </xf>
    <xf numFmtId="0" fontId="12" fillId="0" borderId="2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5" xfId="0" applyFont="1" applyBorder="1" applyAlignment="1">
      <alignment horizontal="left"/>
    </xf>
    <xf numFmtId="0" fontId="26" fillId="2" borderId="9" xfId="0" applyFont="1" applyFill="1" applyBorder="1" applyAlignment="1">
      <alignment horizontal="left"/>
    </xf>
    <xf numFmtId="0" fontId="26" fillId="2" borderId="11" xfId="0" applyFont="1" applyFill="1" applyBorder="1" applyAlignment="1">
      <alignment horizontal="left"/>
    </xf>
    <xf numFmtId="0" fontId="26" fillId="2" borderId="10" xfId="0" applyFont="1" applyFill="1" applyBorder="1" applyAlignment="1">
      <alignment horizontal="left"/>
    </xf>
    <xf numFmtId="0" fontId="12" fillId="0" borderId="6" xfId="0" applyFont="1" applyBorder="1"/>
    <xf numFmtId="0" fontId="12" fillId="0" borderId="7" xfId="0" applyFont="1" applyBorder="1"/>
    <xf numFmtId="0" fontId="12" fillId="0" borderId="8" xfId="0" applyFont="1" applyBorder="1"/>
    <xf numFmtId="2" fontId="12" fillId="0" borderId="6" xfId="0" applyNumberFormat="1" applyFont="1" applyBorder="1" applyAlignment="1">
      <alignment horizontal="center"/>
    </xf>
    <xf numFmtId="2" fontId="11" fillId="0" borderId="2" xfId="0" applyNumberFormat="1" applyFont="1" applyBorder="1" applyAlignment="1">
      <alignment horizontal="right" indent="1"/>
    </xf>
    <xf numFmtId="2" fontId="11" fillId="0" borderId="0" xfId="0" applyNumberFormat="1" applyFont="1" applyAlignment="1">
      <alignment horizontal="right" indent="1"/>
    </xf>
    <xf numFmtId="2" fontId="11" fillId="0" borderId="5" xfId="0" applyNumberFormat="1" applyFont="1" applyBorder="1" applyAlignment="1">
      <alignment horizontal="right" indent="1"/>
    </xf>
    <xf numFmtId="0" fontId="20" fillId="8" borderId="9" xfId="1" applyFont="1" applyFill="1" applyBorder="1" applyAlignment="1">
      <alignment horizontal="left"/>
    </xf>
    <xf numFmtId="0" fontId="20" fillId="8" borderId="11" xfId="1" applyFont="1" applyFill="1" applyBorder="1" applyAlignment="1">
      <alignment horizontal="left"/>
    </xf>
    <xf numFmtId="165" fontId="20" fillId="5" borderId="15" xfId="1" applyNumberFormat="1" applyFont="1" applyFill="1" applyBorder="1" applyAlignment="1">
      <alignment horizontal="center"/>
    </xf>
    <xf numFmtId="165" fontId="20" fillId="5" borderId="30" xfId="1" applyNumberFormat="1" applyFont="1" applyFill="1" applyBorder="1" applyAlignment="1">
      <alignment horizontal="center"/>
    </xf>
    <xf numFmtId="165" fontId="20" fillId="5" borderId="11" xfId="0" applyNumberFormat="1" applyFont="1" applyFill="1" applyBorder="1" applyAlignment="1">
      <alignment horizontal="center"/>
    </xf>
    <xf numFmtId="165" fontId="20" fillId="5" borderId="30" xfId="0" applyNumberFormat="1" applyFont="1" applyFill="1" applyBorder="1" applyAlignment="1">
      <alignment horizontal="center"/>
    </xf>
    <xf numFmtId="0" fontId="27" fillId="0" borderId="6" xfId="1" applyFont="1" applyBorder="1" applyAlignment="1">
      <alignment horizontal="center" vertical="center"/>
    </xf>
    <xf numFmtId="0" fontId="27" fillId="0" borderId="8" xfId="1" applyFont="1" applyBorder="1" applyAlignment="1">
      <alignment horizontal="center" vertical="center"/>
    </xf>
    <xf numFmtId="0" fontId="27" fillId="0" borderId="2" xfId="1" applyFont="1" applyBorder="1" applyAlignment="1">
      <alignment horizontal="center" vertical="center"/>
    </xf>
    <xf numFmtId="0" fontId="27" fillId="0" borderId="5" xfId="1" applyFont="1" applyBorder="1" applyAlignment="1">
      <alignment horizontal="center" vertical="center"/>
    </xf>
    <xf numFmtId="0" fontId="13" fillId="0" borderId="6" xfId="1" applyFont="1" applyBorder="1" applyAlignment="1">
      <alignment horizontal="center"/>
    </xf>
    <xf numFmtId="0" fontId="13" fillId="0" borderId="18" xfId="1" applyFont="1" applyBorder="1" applyAlignment="1">
      <alignment horizontal="center"/>
    </xf>
    <xf numFmtId="0" fontId="13" fillId="0" borderId="2" xfId="1" applyFont="1" applyBorder="1" applyAlignment="1">
      <alignment horizontal="center"/>
    </xf>
    <xf numFmtId="0" fontId="13" fillId="0" borderId="1" xfId="1" applyFont="1" applyBorder="1" applyAlignment="1">
      <alignment horizontal="center"/>
    </xf>
    <xf numFmtId="2" fontId="13" fillId="0" borderId="7" xfId="1" applyNumberFormat="1" applyFont="1" applyBorder="1" applyAlignment="1">
      <alignment horizontal="center"/>
    </xf>
    <xf numFmtId="2" fontId="13" fillId="0" borderId="8" xfId="1" applyNumberFormat="1" applyFont="1" applyBorder="1" applyAlignment="1">
      <alignment horizontal="center"/>
    </xf>
    <xf numFmtId="2" fontId="13" fillId="0" borderId="0" xfId="1" applyNumberFormat="1" applyFont="1" applyAlignment="1">
      <alignment horizontal="center"/>
    </xf>
    <xf numFmtId="2" fontId="13" fillId="0" borderId="5" xfId="1" applyNumberFormat="1" applyFont="1" applyBorder="1" applyAlignment="1">
      <alignment horizontal="center"/>
    </xf>
    <xf numFmtId="0" fontId="18" fillId="3" borderId="3" xfId="1" applyFont="1" applyFill="1" applyBorder="1" applyAlignment="1" applyProtection="1">
      <alignment horizontal="center" vertical="center"/>
      <protection locked="0"/>
    </xf>
    <xf numFmtId="0" fontId="18" fillId="3" borderId="4" xfId="1" applyFont="1" applyFill="1" applyBorder="1" applyAlignment="1" applyProtection="1">
      <alignment horizontal="center" vertical="center"/>
      <protection locked="0"/>
    </xf>
    <xf numFmtId="1" fontId="12" fillId="0" borderId="3" xfId="1" applyNumberFormat="1" applyFont="1" applyBorder="1" applyAlignment="1">
      <alignment horizontal="left"/>
    </xf>
    <xf numFmtId="1" fontId="12" fillId="0" borderId="12" xfId="1" applyNumberFormat="1" applyFont="1" applyBorder="1" applyAlignment="1">
      <alignment horizontal="left"/>
    </xf>
    <xf numFmtId="165" fontId="20" fillId="6" borderId="15" xfId="0" applyNumberFormat="1" applyFont="1" applyFill="1" applyBorder="1" applyAlignment="1">
      <alignment horizontal="center"/>
    </xf>
    <xf numFmtId="165" fontId="20" fillId="6" borderId="10" xfId="0" applyNumberFormat="1" applyFont="1" applyFill="1" applyBorder="1" applyAlignment="1">
      <alignment horizontal="center"/>
    </xf>
    <xf numFmtId="0" fontId="20" fillId="0" borderId="3" xfId="1" applyFont="1" applyBorder="1" applyAlignment="1">
      <alignment horizontal="left"/>
    </xf>
    <xf numFmtId="0" fontId="20" fillId="0" borderId="12" xfId="1" applyFont="1" applyBorder="1" applyAlignment="1">
      <alignment horizontal="left"/>
    </xf>
    <xf numFmtId="165" fontId="20" fillId="6" borderId="9" xfId="0" applyNumberFormat="1" applyFont="1" applyFill="1" applyBorder="1" applyAlignment="1">
      <alignment horizontal="center"/>
    </xf>
    <xf numFmtId="165" fontId="20" fillId="6" borderId="30" xfId="0" applyNumberFormat="1" applyFont="1" applyFill="1" applyBorder="1" applyAlignment="1">
      <alignment horizontal="center"/>
    </xf>
    <xf numFmtId="165" fontId="20" fillId="6" borderId="11" xfId="0" applyNumberFormat="1" applyFont="1" applyFill="1" applyBorder="1" applyAlignment="1">
      <alignment horizontal="center"/>
    </xf>
    <xf numFmtId="0" fontId="20" fillId="7" borderId="9" xfId="1" applyFont="1" applyFill="1" applyBorder="1" applyAlignment="1">
      <alignment horizontal="left"/>
    </xf>
    <xf numFmtId="0" fontId="20" fillId="7" borderId="10" xfId="1" applyFont="1" applyFill="1" applyBorder="1" applyAlignment="1">
      <alignment horizontal="left"/>
    </xf>
    <xf numFmtId="165" fontId="20" fillId="4" borderId="9" xfId="1" applyNumberFormat="1" applyFont="1" applyFill="1" applyBorder="1" applyAlignment="1">
      <alignment horizontal="center"/>
    </xf>
    <xf numFmtId="165" fontId="20" fillId="4" borderId="30" xfId="1" applyNumberFormat="1" applyFont="1" applyFill="1" applyBorder="1" applyAlignment="1">
      <alignment horizontal="center"/>
    </xf>
    <xf numFmtId="165" fontId="20" fillId="4" borderId="11" xfId="0" applyNumberFormat="1" applyFont="1" applyFill="1" applyBorder="1" applyAlignment="1">
      <alignment horizontal="center"/>
    </xf>
    <xf numFmtId="165" fontId="20" fillId="4" borderId="10" xfId="0" applyNumberFormat="1" applyFont="1" applyFill="1" applyBorder="1" applyAlignment="1">
      <alignment horizontal="center"/>
    </xf>
    <xf numFmtId="0" fontId="12" fillId="0" borderId="9" xfId="0" applyFont="1" applyBorder="1" applyAlignment="1">
      <alignment horizontal="left"/>
    </xf>
    <xf numFmtId="0" fontId="12" fillId="0" borderId="11" xfId="0" applyFont="1" applyBorder="1" applyAlignment="1">
      <alignment horizontal="left"/>
    </xf>
    <xf numFmtId="0" fontId="20" fillId="7" borderId="9" xfId="0" applyFont="1" applyFill="1" applyBorder="1" applyAlignment="1">
      <alignment horizontal="left"/>
    </xf>
    <xf numFmtId="0" fontId="20" fillId="7" borderId="11" xfId="0" applyFont="1" applyFill="1" applyBorder="1" applyAlignment="1">
      <alignment horizontal="left"/>
    </xf>
    <xf numFmtId="165" fontId="20" fillId="5" borderId="9" xfId="0" applyNumberFormat="1" applyFont="1" applyFill="1" applyBorder="1" applyAlignment="1">
      <alignment horizontal="center"/>
    </xf>
    <xf numFmtId="49" fontId="34" fillId="0" borderId="15" xfId="1" applyNumberFormat="1" applyFont="1" applyBorder="1" applyAlignment="1">
      <alignment horizontal="center"/>
    </xf>
    <xf numFmtId="49" fontId="34" fillId="0" borderId="10" xfId="1" applyNumberFormat="1" applyFont="1" applyBorder="1" applyAlignment="1">
      <alignment horizontal="center"/>
    </xf>
    <xf numFmtId="165" fontId="20" fillId="3" borderId="9" xfId="0" applyNumberFormat="1" applyFont="1" applyFill="1" applyBorder="1" applyAlignment="1" applyProtection="1">
      <alignment horizontal="center"/>
      <protection locked="0"/>
    </xf>
    <xf numFmtId="165" fontId="20" fillId="3" borderId="11" xfId="0" applyNumberFormat="1" applyFont="1" applyFill="1" applyBorder="1" applyAlignment="1" applyProtection="1">
      <alignment horizontal="center"/>
      <protection locked="0"/>
    </xf>
    <xf numFmtId="165" fontId="20" fillId="3" borderId="10" xfId="0" applyNumberFormat="1" applyFont="1" applyFill="1" applyBorder="1" applyAlignment="1" applyProtection="1">
      <alignment horizontal="center"/>
      <protection locked="0"/>
    </xf>
    <xf numFmtId="0" fontId="20" fillId="7" borderId="10" xfId="0" applyFont="1" applyFill="1" applyBorder="1" applyAlignment="1">
      <alignment horizontal="left"/>
    </xf>
    <xf numFmtId="165" fontId="12" fillId="5" borderId="6" xfId="0" applyNumberFormat="1" applyFont="1" applyFill="1" applyBorder="1" applyAlignment="1">
      <alignment horizontal="center"/>
    </xf>
    <xf numFmtId="165" fontId="12" fillId="5" borderId="18" xfId="0" applyNumberFormat="1" applyFont="1" applyFill="1" applyBorder="1" applyAlignment="1">
      <alignment horizontal="center"/>
    </xf>
    <xf numFmtId="165" fontId="12" fillId="5" borderId="7" xfId="0" applyNumberFormat="1" applyFont="1" applyFill="1" applyBorder="1" applyAlignment="1">
      <alignment horizontal="center"/>
    </xf>
    <xf numFmtId="165" fontId="12" fillId="6" borderId="2" xfId="0" applyNumberFormat="1" applyFont="1" applyFill="1" applyBorder="1" applyAlignment="1">
      <alignment horizontal="center"/>
    </xf>
    <xf numFmtId="165" fontId="12" fillId="6" borderId="1" xfId="0" applyNumberFormat="1" applyFont="1" applyFill="1" applyBorder="1" applyAlignment="1">
      <alignment horizontal="center"/>
    </xf>
    <xf numFmtId="165" fontId="12" fillId="6" borderId="0" xfId="0" applyNumberFormat="1" applyFont="1" applyFill="1" applyAlignment="1">
      <alignment horizontal="center"/>
    </xf>
    <xf numFmtId="165" fontId="12" fillId="4" borderId="2" xfId="0" applyNumberFormat="1" applyFont="1" applyFill="1" applyBorder="1" applyAlignment="1">
      <alignment horizontal="center"/>
    </xf>
    <xf numFmtId="165" fontId="12" fillId="4" borderId="1" xfId="0" applyNumberFormat="1" applyFont="1" applyFill="1" applyBorder="1" applyAlignment="1">
      <alignment horizontal="center"/>
    </xf>
    <xf numFmtId="165" fontId="12" fillId="4" borderId="0" xfId="0" applyNumberFormat="1" applyFont="1" applyFill="1" applyAlignment="1">
      <alignment horizontal="center"/>
    </xf>
    <xf numFmtId="165" fontId="12" fillId="5" borderId="3" xfId="0" applyNumberFormat="1" applyFont="1" applyFill="1" applyBorder="1" applyAlignment="1">
      <alignment horizontal="center"/>
    </xf>
    <xf numFmtId="165" fontId="12" fillId="5" borderId="13" xfId="0" applyNumberFormat="1" applyFont="1" applyFill="1" applyBorder="1" applyAlignment="1">
      <alignment horizontal="center"/>
    </xf>
    <xf numFmtId="165" fontId="12" fillId="5" borderId="12" xfId="0" applyNumberFormat="1" applyFont="1" applyFill="1" applyBorder="1" applyAlignment="1">
      <alignment horizontal="center"/>
    </xf>
    <xf numFmtId="165" fontId="20" fillId="0" borderId="9" xfId="0" applyNumberFormat="1" applyFont="1" applyBorder="1" applyAlignment="1">
      <alignment horizontal="center"/>
    </xf>
    <xf numFmtId="165" fontId="20" fillId="0" borderId="11" xfId="0" applyNumberFormat="1" applyFont="1" applyBorder="1" applyAlignment="1">
      <alignment horizontal="center"/>
    </xf>
    <xf numFmtId="165" fontId="20" fillId="0" borderId="15" xfId="0" applyNumberFormat="1" applyFont="1" applyBorder="1" applyAlignment="1">
      <alignment horizontal="center"/>
    </xf>
    <xf numFmtId="165" fontId="20" fillId="0" borderId="10" xfId="0" applyNumberFormat="1" applyFont="1" applyBorder="1" applyAlignment="1">
      <alignment horizontal="center"/>
    </xf>
    <xf numFmtId="0" fontId="28" fillId="0" borderId="9" xfId="0" applyFont="1" applyBorder="1" applyAlignment="1">
      <alignment horizontal="left"/>
    </xf>
    <xf numFmtId="0" fontId="28" fillId="0" borderId="10" xfId="0" applyFont="1" applyBorder="1" applyAlignment="1">
      <alignment horizontal="left"/>
    </xf>
    <xf numFmtId="165" fontId="28" fillId="0" borderId="9" xfId="0" applyNumberFormat="1" applyFont="1" applyBorder="1" applyAlignment="1">
      <alignment horizontal="center"/>
    </xf>
    <xf numFmtId="165" fontId="28" fillId="0" borderId="11" xfId="0" applyNumberFormat="1" applyFont="1" applyBorder="1" applyAlignment="1">
      <alignment horizontal="center"/>
    </xf>
    <xf numFmtId="165" fontId="28" fillId="0" borderId="10" xfId="0" applyNumberFormat="1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2" fontId="11" fillId="0" borderId="0" xfId="0" applyNumberFormat="1" applyFont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165" fontId="8" fillId="11" borderId="9" xfId="0" applyNumberFormat="1" applyFont="1" applyFill="1" applyBorder="1" applyAlignment="1">
      <alignment horizontal="center"/>
    </xf>
    <xf numFmtId="165" fontId="8" fillId="11" borderId="11" xfId="0" applyNumberFormat="1" applyFont="1" applyFill="1" applyBorder="1" applyAlignment="1">
      <alignment horizontal="center"/>
    </xf>
    <xf numFmtId="165" fontId="8" fillId="11" borderId="10" xfId="0" applyNumberFormat="1" applyFont="1" applyFill="1" applyBorder="1" applyAlignment="1">
      <alignment horizontal="center"/>
    </xf>
    <xf numFmtId="49" fontId="34" fillId="2" borderId="11" xfId="0" applyNumberFormat="1" applyFont="1" applyFill="1" applyBorder="1" applyAlignment="1">
      <alignment horizontal="center"/>
    </xf>
    <xf numFmtId="49" fontId="34" fillId="9" borderId="11" xfId="0" applyNumberFormat="1" applyFont="1" applyFill="1" applyBorder="1" applyAlignment="1">
      <alignment horizontal="center"/>
    </xf>
    <xf numFmtId="165" fontId="12" fillId="6" borderId="2" xfId="1" applyNumberFormat="1" applyFont="1" applyFill="1" applyBorder="1" applyAlignment="1">
      <alignment horizontal="center"/>
    </xf>
    <xf numFmtId="165" fontId="12" fillId="6" borderId="1" xfId="1" applyNumberFormat="1" applyFont="1" applyFill="1" applyBorder="1" applyAlignment="1">
      <alignment horizontal="center"/>
    </xf>
    <xf numFmtId="165" fontId="12" fillId="5" borderId="14" xfId="1" applyNumberFormat="1" applyFont="1" applyFill="1" applyBorder="1" applyAlignment="1">
      <alignment horizontal="center"/>
    </xf>
    <xf numFmtId="165" fontId="12" fillId="5" borderId="5" xfId="1" applyNumberFormat="1" applyFont="1" applyFill="1" applyBorder="1" applyAlignment="1">
      <alignment horizontal="center"/>
    </xf>
    <xf numFmtId="165" fontId="12" fillId="5" borderId="6" xfId="1" applyNumberFormat="1" applyFont="1" applyFill="1" applyBorder="1" applyAlignment="1">
      <alignment horizontal="center"/>
    </xf>
    <xf numFmtId="165" fontId="12" fillId="5" borderId="18" xfId="1" applyNumberFormat="1" applyFont="1" applyFill="1" applyBorder="1" applyAlignment="1">
      <alignment horizontal="center"/>
    </xf>
    <xf numFmtId="165" fontId="12" fillId="5" borderId="16" xfId="1" applyNumberFormat="1" applyFont="1" applyFill="1" applyBorder="1" applyAlignment="1">
      <alignment horizontal="center"/>
    </xf>
    <xf numFmtId="165" fontId="12" fillId="5" borderId="8" xfId="1" applyNumberFormat="1" applyFont="1" applyFill="1" applyBorder="1" applyAlignment="1">
      <alignment horizontal="center"/>
    </xf>
    <xf numFmtId="165" fontId="12" fillId="5" borderId="7" xfId="1" applyNumberFormat="1" applyFont="1" applyFill="1" applyBorder="1" applyAlignment="1">
      <alignment horizontal="center"/>
    </xf>
    <xf numFmtId="165" fontId="20" fillId="5" borderId="10" xfId="1" applyNumberFormat="1" applyFont="1" applyFill="1" applyBorder="1" applyAlignment="1">
      <alignment horizontal="center"/>
    </xf>
    <xf numFmtId="165" fontId="20" fillId="5" borderId="9" xfId="1" applyNumberFormat="1" applyFont="1" applyFill="1" applyBorder="1" applyAlignment="1">
      <alignment horizontal="center"/>
    </xf>
    <xf numFmtId="165" fontId="20" fillId="5" borderId="11" xfId="1" applyNumberFormat="1" applyFont="1" applyFill="1" applyBorder="1" applyAlignment="1">
      <alignment horizontal="center"/>
    </xf>
    <xf numFmtId="165" fontId="20" fillId="4" borderId="11" xfId="1" applyNumberFormat="1" applyFont="1" applyFill="1" applyBorder="1" applyAlignment="1">
      <alignment horizontal="center"/>
    </xf>
    <xf numFmtId="0" fontId="27" fillId="0" borderId="6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2" fontId="13" fillId="0" borderId="7" xfId="0" applyNumberFormat="1" applyFont="1" applyBorder="1" applyAlignment="1">
      <alignment horizontal="center"/>
    </xf>
    <xf numFmtId="2" fontId="13" fillId="0" borderId="8" xfId="0" applyNumberFormat="1" applyFont="1" applyBorder="1" applyAlignment="1">
      <alignment horizontal="center"/>
    </xf>
    <xf numFmtId="2" fontId="13" fillId="0" borderId="0" xfId="0" applyNumberFormat="1" applyFont="1" applyAlignment="1">
      <alignment horizontal="center"/>
    </xf>
    <xf numFmtId="2" fontId="13" fillId="0" borderId="5" xfId="0" applyNumberFormat="1" applyFont="1" applyBorder="1" applyAlignment="1">
      <alignment horizontal="center"/>
    </xf>
    <xf numFmtId="0" fontId="18" fillId="3" borderId="3" xfId="0" applyFont="1" applyFill="1" applyBorder="1" applyAlignment="1" applyProtection="1">
      <alignment horizontal="center" vertical="center"/>
      <protection locked="0"/>
    </xf>
    <xf numFmtId="0" fontId="18" fillId="3" borderId="4" xfId="0" applyFont="1" applyFill="1" applyBorder="1" applyAlignment="1" applyProtection="1">
      <alignment horizontal="center" vertical="center"/>
      <protection locked="0"/>
    </xf>
    <xf numFmtId="0" fontId="13" fillId="0" borderId="7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2" fillId="0" borderId="9" xfId="1" applyFont="1" applyBorder="1" applyAlignment="1">
      <alignment horizontal="left"/>
    </xf>
    <xf numFmtId="0" fontId="12" fillId="0" borderId="10" xfId="1" applyFont="1" applyBorder="1" applyAlignment="1">
      <alignment horizontal="left"/>
    </xf>
    <xf numFmtId="165" fontId="12" fillId="0" borderId="17" xfId="1" applyNumberFormat="1" applyFont="1" applyBorder="1" applyAlignment="1">
      <alignment horizontal="center"/>
    </xf>
    <xf numFmtId="165" fontId="12" fillId="0" borderId="4" xfId="1" applyNumberFormat="1" applyFont="1" applyBorder="1" applyAlignment="1">
      <alignment horizontal="center"/>
    </xf>
    <xf numFmtId="0" fontId="20" fillId="8" borderId="10" xfId="1" applyFont="1" applyFill="1" applyBorder="1" applyAlignment="1">
      <alignment horizontal="left"/>
    </xf>
    <xf numFmtId="165" fontId="12" fillId="6" borderId="0" xfId="1" applyNumberFormat="1" applyFont="1" applyFill="1" applyAlignment="1">
      <alignment horizontal="center"/>
    </xf>
    <xf numFmtId="165" fontId="20" fillId="4" borderId="15" xfId="1" applyNumberFormat="1" applyFont="1" applyFill="1" applyBorder="1" applyAlignment="1">
      <alignment horizontal="center"/>
    </xf>
    <xf numFmtId="165" fontId="20" fillId="4" borderId="10" xfId="1" applyNumberFormat="1" applyFont="1" applyFill="1" applyBorder="1" applyAlignment="1">
      <alignment horizontal="center"/>
    </xf>
    <xf numFmtId="0" fontId="20" fillId="7" borderId="3" xfId="1" applyFont="1" applyFill="1" applyBorder="1" applyAlignment="1">
      <alignment horizontal="left"/>
    </xf>
    <xf numFmtId="0" fontId="20" fillId="7" borderId="12" xfId="1" applyFont="1" applyFill="1" applyBorder="1" applyAlignment="1">
      <alignment horizontal="left"/>
    </xf>
    <xf numFmtId="165" fontId="12" fillId="5" borderId="2" xfId="1" applyNumberFormat="1" applyFont="1" applyFill="1" applyBorder="1" applyAlignment="1">
      <alignment horizontal="center"/>
    </xf>
    <xf numFmtId="165" fontId="12" fillId="5" borderId="1" xfId="1" applyNumberFormat="1" applyFont="1" applyFill="1" applyBorder="1" applyAlignment="1">
      <alignment horizontal="center"/>
    </xf>
    <xf numFmtId="165" fontId="20" fillId="0" borderId="30" xfId="0" applyNumberFormat="1" applyFont="1" applyBorder="1" applyAlignment="1">
      <alignment horizontal="center"/>
    </xf>
    <xf numFmtId="165" fontId="12" fillId="5" borderId="0" xfId="1" applyNumberFormat="1" applyFont="1" applyFill="1" applyAlignment="1">
      <alignment horizontal="center"/>
    </xf>
    <xf numFmtId="165" fontId="12" fillId="4" borderId="12" xfId="1" applyNumberFormat="1" applyFont="1" applyFill="1" applyBorder="1" applyAlignment="1">
      <alignment horizontal="center"/>
    </xf>
    <xf numFmtId="165" fontId="12" fillId="4" borderId="13" xfId="1" applyNumberFormat="1" applyFont="1" applyFill="1" applyBorder="1" applyAlignment="1">
      <alignment horizontal="center"/>
    </xf>
    <xf numFmtId="165" fontId="12" fillId="4" borderId="3" xfId="1" applyNumberFormat="1" applyFont="1" applyFill="1" applyBorder="1" applyAlignment="1">
      <alignment horizontal="center"/>
    </xf>
    <xf numFmtId="0" fontId="12" fillId="0" borderId="10" xfId="0" applyFont="1" applyBorder="1" applyAlignment="1">
      <alignment horizontal="left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165" fontId="20" fillId="5" borderId="10" xfId="0" applyNumberFormat="1" applyFont="1" applyFill="1" applyBorder="1" applyAlignment="1">
      <alignment horizontal="center"/>
    </xf>
    <xf numFmtId="165" fontId="12" fillId="5" borderId="8" xfId="0" applyNumberFormat="1" applyFont="1" applyFill="1" applyBorder="1" applyAlignment="1">
      <alignment horizontal="center"/>
    </xf>
    <xf numFmtId="165" fontId="12" fillId="4" borderId="5" xfId="0" applyNumberFormat="1" applyFont="1" applyFill="1" applyBorder="1" applyAlignment="1">
      <alignment horizontal="center"/>
    </xf>
    <xf numFmtId="165" fontId="12" fillId="5" borderId="4" xfId="0" applyNumberFormat="1" applyFont="1" applyFill="1" applyBorder="1" applyAlignment="1">
      <alignment horizontal="center"/>
    </xf>
    <xf numFmtId="165" fontId="12" fillId="6" borderId="5" xfId="0" applyNumberFormat="1" applyFont="1" applyFill="1" applyBorder="1" applyAlignment="1">
      <alignment horizontal="center"/>
    </xf>
    <xf numFmtId="0" fontId="34" fillId="2" borderId="11" xfId="0" applyFont="1" applyFill="1" applyBorder="1" applyAlignment="1">
      <alignment horizontal="center"/>
    </xf>
    <xf numFmtId="0" fontId="20" fillId="0" borderId="9" xfId="0" applyFont="1" applyBorder="1" applyAlignment="1">
      <alignment horizontal="left"/>
    </xf>
    <xf numFmtId="0" fontId="20" fillId="0" borderId="10" xfId="0" applyFont="1" applyBorder="1" applyAlignment="1">
      <alignment horizontal="left"/>
    </xf>
    <xf numFmtId="0" fontId="12" fillId="0" borderId="16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49" fontId="18" fillId="3" borderId="3" xfId="0" applyNumberFormat="1" applyFont="1" applyFill="1" applyBorder="1" applyAlignment="1">
      <alignment horizontal="center" vertical="center"/>
    </xf>
    <xf numFmtId="0" fontId="12" fillId="0" borderId="6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49" fontId="11" fillId="11" borderId="0" xfId="1" applyNumberFormat="1" applyFont="1" applyFill="1" applyAlignment="1" applyProtection="1">
      <alignment horizontal="center"/>
      <protection locked="0"/>
    </xf>
    <xf numFmtId="49" fontId="11" fillId="11" borderId="5" xfId="1" applyNumberFormat="1" applyFont="1" applyFill="1" applyBorder="1" applyAlignment="1" applyProtection="1">
      <alignment horizontal="center"/>
      <protection locked="0"/>
    </xf>
    <xf numFmtId="49" fontId="11" fillId="11" borderId="12" xfId="1" applyNumberFormat="1" applyFont="1" applyFill="1" applyBorder="1" applyAlignment="1" applyProtection="1">
      <alignment horizontal="center"/>
      <protection locked="0"/>
    </xf>
    <xf numFmtId="49" fontId="11" fillId="11" borderId="4" xfId="1" applyNumberFormat="1" applyFont="1" applyFill="1" applyBorder="1" applyAlignment="1" applyProtection="1">
      <alignment horizontal="center"/>
      <protection locked="0"/>
    </xf>
    <xf numFmtId="49" fontId="60" fillId="0" borderId="9" xfId="0" applyNumberFormat="1" applyFont="1" applyBorder="1" applyAlignment="1">
      <alignment horizontal="center"/>
    </xf>
    <xf numFmtId="49" fontId="60" fillId="0" borderId="30" xfId="0" applyNumberFormat="1" applyFont="1" applyBorder="1" applyAlignment="1">
      <alignment horizontal="center"/>
    </xf>
    <xf numFmtId="0" fontId="11" fillId="9" borderId="7" xfId="0" applyFont="1" applyFill="1" applyBorder="1" applyAlignment="1">
      <alignment horizontal="center"/>
    </xf>
    <xf numFmtId="49" fontId="11" fillId="11" borderId="2" xfId="1" applyNumberFormat="1" applyFont="1" applyFill="1" applyBorder="1" applyAlignment="1" applyProtection="1">
      <alignment horizontal="center"/>
      <protection locked="0"/>
    </xf>
    <xf numFmtId="49" fontId="11" fillId="11" borderId="1" xfId="1" applyNumberFormat="1" applyFont="1" applyFill="1" applyBorder="1" applyAlignment="1" applyProtection="1">
      <alignment horizontal="center"/>
      <protection locked="0"/>
    </xf>
    <xf numFmtId="49" fontId="11" fillId="11" borderId="3" xfId="1" applyNumberFormat="1" applyFont="1" applyFill="1" applyBorder="1" applyAlignment="1" applyProtection="1">
      <alignment horizontal="center"/>
      <protection locked="0"/>
    </xf>
    <xf numFmtId="49" fontId="11" fillId="11" borderId="13" xfId="1" applyNumberFormat="1" applyFont="1" applyFill="1" applyBorder="1" applyAlignment="1" applyProtection="1">
      <alignment horizontal="center"/>
      <protection locked="0"/>
    </xf>
    <xf numFmtId="165" fontId="12" fillId="0" borderId="6" xfId="0" applyNumberFormat="1" applyFont="1" applyBorder="1" applyAlignment="1">
      <alignment horizontal="center"/>
    </xf>
    <xf numFmtId="165" fontId="12" fillId="0" borderId="18" xfId="0" applyNumberFormat="1" applyFont="1" applyBorder="1" applyAlignment="1">
      <alignment horizontal="center"/>
    </xf>
    <xf numFmtId="165" fontId="12" fillId="0" borderId="14" xfId="0" applyNumberFormat="1" applyFont="1" applyBorder="1" applyAlignment="1">
      <alignment horizontal="center"/>
    </xf>
    <xf numFmtId="165" fontId="12" fillId="0" borderId="5" xfId="0" applyNumberFormat="1" applyFont="1" applyBorder="1" applyAlignment="1">
      <alignment horizontal="center"/>
    </xf>
    <xf numFmtId="165" fontId="12" fillId="0" borderId="16" xfId="0" applyNumberFormat="1" applyFont="1" applyBorder="1" applyAlignment="1">
      <alignment horizontal="center"/>
    </xf>
    <xf numFmtId="165" fontId="12" fillId="0" borderId="8" xfId="0" applyNumberFormat="1" applyFont="1" applyBorder="1" applyAlignment="1">
      <alignment horizontal="center"/>
    </xf>
    <xf numFmtId="0" fontId="11" fillId="9" borderId="11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30" xfId="0" applyFont="1" applyBorder="1" applyAlignment="1">
      <alignment horizontal="center"/>
    </xf>
    <xf numFmtId="165" fontId="12" fillId="0" borderId="3" xfId="0" applyNumberFormat="1" applyFont="1" applyBorder="1" applyAlignment="1">
      <alignment horizontal="center"/>
    </xf>
    <xf numFmtId="165" fontId="12" fillId="0" borderId="13" xfId="0" applyNumberFormat="1" applyFont="1" applyBorder="1" applyAlignment="1">
      <alignment horizontal="center"/>
    </xf>
    <xf numFmtId="165" fontId="12" fillId="0" borderId="2" xfId="0" applyNumberFormat="1" applyFont="1" applyBorder="1" applyAlignment="1">
      <alignment horizontal="center"/>
    </xf>
    <xf numFmtId="165" fontId="12" fillId="0" borderId="1" xfId="0" applyNumberFormat="1" applyFont="1" applyBorder="1" applyAlignment="1">
      <alignment horizontal="center"/>
    </xf>
    <xf numFmtId="0" fontId="11" fillId="9" borderId="0" xfId="0" applyFont="1" applyFill="1" applyAlignment="1">
      <alignment horizontal="center"/>
    </xf>
    <xf numFmtId="49" fontId="34" fillId="9" borderId="0" xfId="0" applyNumberFormat="1" applyFont="1" applyFill="1" applyAlignment="1">
      <alignment horizontal="center"/>
    </xf>
    <xf numFmtId="49" fontId="60" fillId="0" borderId="15" xfId="0" applyNumberFormat="1" applyFont="1" applyBorder="1" applyAlignment="1">
      <alignment horizontal="center"/>
    </xf>
    <xf numFmtId="49" fontId="60" fillId="0" borderId="10" xfId="0" applyNumberFormat="1" applyFont="1" applyBorder="1" applyAlignment="1">
      <alignment horizontal="center"/>
    </xf>
    <xf numFmtId="49" fontId="34" fillId="9" borderId="7" xfId="0" applyNumberFormat="1" applyFont="1" applyFill="1" applyBorder="1" applyAlignment="1">
      <alignment horizontal="center"/>
    </xf>
    <xf numFmtId="165" fontId="12" fillId="0" borderId="17" xfId="0" applyNumberFormat="1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2" fillId="0" borderId="6" xfId="1" applyFont="1" applyBorder="1" applyAlignment="1">
      <alignment horizontal="left"/>
    </xf>
    <xf numFmtId="0" fontId="12" fillId="0" borderId="8" xfId="1" applyFont="1" applyBorder="1" applyAlignment="1">
      <alignment horizontal="left"/>
    </xf>
    <xf numFmtId="0" fontId="12" fillId="0" borderId="3" xfId="1" applyFont="1" applyBorder="1" applyAlignment="1">
      <alignment horizontal="left"/>
    </xf>
    <xf numFmtId="0" fontId="12" fillId="0" borderId="12" xfId="1" applyFont="1" applyBorder="1" applyAlignment="1">
      <alignment horizontal="left"/>
    </xf>
    <xf numFmtId="165" fontId="12" fillId="0" borderId="9" xfId="1" applyNumberFormat="1" applyFont="1" applyBorder="1" applyAlignment="1">
      <alignment horizontal="center"/>
    </xf>
    <xf numFmtId="165" fontId="12" fillId="0" borderId="11" xfId="1" applyNumberFormat="1" applyFont="1" applyBorder="1" applyAlignment="1">
      <alignment horizontal="center"/>
    </xf>
    <xf numFmtId="165" fontId="12" fillId="0" borderId="10" xfId="1" applyNumberFormat="1" applyFont="1" applyBorder="1" applyAlignment="1">
      <alignment horizontal="center"/>
    </xf>
    <xf numFmtId="165" fontId="20" fillId="0" borderId="9" xfId="1" applyNumberFormat="1" applyFont="1" applyBorder="1" applyAlignment="1">
      <alignment horizontal="center"/>
    </xf>
    <xf numFmtId="165" fontId="20" fillId="0" borderId="11" xfId="1" applyNumberFormat="1" applyFont="1" applyBorder="1" applyAlignment="1">
      <alignment horizontal="center"/>
    </xf>
    <xf numFmtId="165" fontId="20" fillId="0" borderId="10" xfId="1" applyNumberFormat="1" applyFont="1" applyBorder="1" applyAlignment="1">
      <alignment horizontal="center"/>
    </xf>
    <xf numFmtId="0" fontId="12" fillId="0" borderId="11" xfId="1" applyFont="1" applyBorder="1" applyAlignment="1">
      <alignment horizontal="left"/>
    </xf>
    <xf numFmtId="49" fontId="34" fillId="2" borderId="11" xfId="1" applyNumberFormat="1" applyFont="1" applyFill="1" applyBorder="1" applyAlignment="1">
      <alignment horizontal="center"/>
    </xf>
    <xf numFmtId="165" fontId="12" fillId="0" borderId="30" xfId="1" applyNumberFormat="1" applyFont="1" applyBorder="1" applyAlignment="1">
      <alignment horizontal="center"/>
    </xf>
    <xf numFmtId="49" fontId="12" fillId="11" borderId="3" xfId="0" applyNumberFormat="1" applyFont="1" applyFill="1" applyBorder="1" applyAlignment="1" applyProtection="1">
      <alignment horizontal="center"/>
      <protection locked="0"/>
    </xf>
    <xf numFmtId="49" fontId="12" fillId="11" borderId="12" xfId="0" applyNumberFormat="1" applyFont="1" applyFill="1" applyBorder="1" applyAlignment="1" applyProtection="1">
      <alignment horizontal="center"/>
      <protection locked="0"/>
    </xf>
    <xf numFmtId="49" fontId="12" fillId="11" borderId="4" xfId="0" applyNumberFormat="1" applyFont="1" applyFill="1" applyBorder="1" applyAlignment="1" applyProtection="1">
      <alignment horizontal="center"/>
      <protection locked="0"/>
    </xf>
    <xf numFmtId="0" fontId="28" fillId="0" borderId="9" xfId="1" applyFont="1" applyBorder="1" applyAlignment="1">
      <alignment horizontal="left"/>
    </xf>
    <xf numFmtId="0" fontId="28" fillId="0" borderId="10" xfId="1" applyFont="1" applyBorder="1" applyAlignment="1">
      <alignment horizontal="left"/>
    </xf>
    <xf numFmtId="0" fontId="26" fillId="2" borderId="9" xfId="1" applyFont="1" applyFill="1" applyBorder="1" applyAlignment="1">
      <alignment horizontal="left"/>
    </xf>
    <xf numFmtId="0" fontId="26" fillId="2" borderId="11" xfId="1" applyFont="1" applyFill="1" applyBorder="1" applyAlignment="1">
      <alignment horizontal="left"/>
    </xf>
    <xf numFmtId="0" fontId="20" fillId="7" borderId="3" xfId="0" applyFont="1" applyFill="1" applyBorder="1" applyAlignment="1">
      <alignment horizontal="left"/>
    </xf>
    <xf numFmtId="0" fontId="20" fillId="7" borderId="12" xfId="0" applyFont="1" applyFill="1" applyBorder="1" applyAlignment="1">
      <alignment horizontal="left"/>
    </xf>
    <xf numFmtId="0" fontId="20" fillId="7" borderId="6" xfId="1" applyFont="1" applyFill="1" applyBorder="1" applyAlignment="1">
      <alignment horizontal="left"/>
    </xf>
    <xf numFmtId="0" fontId="20" fillId="7" borderId="8" xfId="1" applyFont="1" applyFill="1" applyBorder="1" applyAlignment="1">
      <alignment horizontal="left"/>
    </xf>
    <xf numFmtId="0" fontId="20" fillId="7" borderId="4" xfId="1" applyFont="1" applyFill="1" applyBorder="1" applyAlignment="1">
      <alignment horizontal="left"/>
    </xf>
    <xf numFmtId="0" fontId="11" fillId="0" borderId="9" xfId="1" applyFont="1" applyBorder="1" applyAlignment="1">
      <alignment horizontal="center"/>
    </xf>
    <xf numFmtId="0" fontId="11" fillId="0" borderId="11" xfId="1" applyFont="1" applyBorder="1" applyAlignment="1">
      <alignment horizontal="center"/>
    </xf>
    <xf numFmtId="0" fontId="11" fillId="0" borderId="10" xfId="1" applyFont="1" applyBorder="1" applyAlignment="1">
      <alignment horizontal="center"/>
    </xf>
    <xf numFmtId="165" fontId="28" fillId="0" borderId="9" xfId="1" applyNumberFormat="1" applyFont="1" applyBorder="1" applyAlignment="1">
      <alignment horizontal="center"/>
    </xf>
    <xf numFmtId="165" fontId="28" fillId="0" borderId="11" xfId="1" applyNumberFormat="1" applyFont="1" applyBorder="1" applyAlignment="1">
      <alignment horizontal="center"/>
    </xf>
    <xf numFmtId="165" fontId="28" fillId="0" borderId="10" xfId="1" applyNumberFormat="1" applyFont="1" applyBorder="1" applyAlignment="1">
      <alignment horizontal="center"/>
    </xf>
    <xf numFmtId="165" fontId="11" fillId="0" borderId="1" xfId="0" applyNumberFormat="1" applyFont="1" applyBorder="1" applyAlignment="1">
      <alignment horizontal="center"/>
    </xf>
    <xf numFmtId="2" fontId="13" fillId="0" borderId="6" xfId="0" applyNumberFormat="1" applyFont="1" applyBorder="1" applyAlignment="1">
      <alignment horizontal="center"/>
    </xf>
    <xf numFmtId="2" fontId="13" fillId="0" borderId="18" xfId="0" applyNumberFormat="1" applyFont="1" applyBorder="1" applyAlignment="1">
      <alignment horizontal="center"/>
    </xf>
    <xf numFmtId="2" fontId="13" fillId="0" borderId="2" xfId="0" applyNumberFormat="1" applyFont="1" applyBorder="1" applyAlignment="1">
      <alignment horizontal="center"/>
    </xf>
    <xf numFmtId="2" fontId="13" fillId="0" borderId="1" xfId="0" applyNumberFormat="1" applyFont="1" applyBorder="1" applyAlignment="1">
      <alignment horizontal="center"/>
    </xf>
    <xf numFmtId="49" fontId="12" fillId="11" borderId="2" xfId="0" applyNumberFormat="1" applyFont="1" applyFill="1" applyBorder="1" applyAlignment="1" applyProtection="1">
      <alignment horizontal="center"/>
      <protection locked="0"/>
    </xf>
    <xf numFmtId="49" fontId="12" fillId="11" borderId="0" xfId="0" applyNumberFormat="1" applyFont="1" applyFill="1" applyAlignment="1" applyProtection="1">
      <alignment horizontal="center"/>
      <protection locked="0"/>
    </xf>
    <xf numFmtId="49" fontId="12" fillId="11" borderId="5" xfId="0" applyNumberFormat="1" applyFont="1" applyFill="1" applyBorder="1" applyAlignment="1" applyProtection="1">
      <alignment horizontal="center"/>
      <protection locked="0"/>
    </xf>
    <xf numFmtId="165" fontId="11" fillId="0" borderId="5" xfId="0" applyNumberFormat="1" applyFont="1" applyBorder="1" applyAlignment="1">
      <alignment horizontal="center"/>
    </xf>
    <xf numFmtId="165" fontId="12" fillId="0" borderId="6" xfId="1" applyNumberFormat="1" applyFont="1" applyBorder="1" applyAlignment="1">
      <alignment horizontal="center"/>
    </xf>
    <xf numFmtId="165" fontId="12" fillId="0" borderId="7" xfId="1" applyNumberFormat="1" applyFont="1" applyBorder="1" applyAlignment="1">
      <alignment horizontal="center"/>
    </xf>
    <xf numFmtId="165" fontId="12" fillId="0" borderId="8" xfId="1" applyNumberFormat="1" applyFont="1" applyBorder="1" applyAlignment="1">
      <alignment horizontal="center"/>
    </xf>
    <xf numFmtId="165" fontId="12" fillId="0" borderId="2" xfId="1" applyNumberFormat="1" applyFont="1" applyBorder="1" applyAlignment="1">
      <alignment horizontal="center"/>
    </xf>
    <xf numFmtId="165" fontId="12" fillId="0" borderId="0" xfId="1" applyNumberFormat="1" applyFont="1" applyAlignment="1">
      <alignment horizontal="center"/>
    </xf>
    <xf numFmtId="165" fontId="12" fillId="0" borderId="5" xfId="1" applyNumberFormat="1" applyFont="1" applyBorder="1" applyAlignment="1">
      <alignment horizontal="center"/>
    </xf>
    <xf numFmtId="165" fontId="12" fillId="3" borderId="3" xfId="1" applyNumberFormat="1" applyFont="1" applyFill="1" applyBorder="1" applyAlignment="1" applyProtection="1">
      <alignment horizontal="center"/>
      <protection locked="0"/>
    </xf>
    <xf numFmtId="165" fontId="12" fillId="3" borderId="12" xfId="1" applyNumberFormat="1" applyFont="1" applyFill="1" applyBorder="1" applyAlignment="1" applyProtection="1">
      <alignment horizontal="center"/>
      <protection locked="0"/>
    </xf>
    <xf numFmtId="165" fontId="12" fillId="3" borderId="4" xfId="1" applyNumberFormat="1" applyFont="1" applyFill="1" applyBorder="1" applyAlignment="1" applyProtection="1">
      <alignment horizontal="center"/>
      <protection locked="0"/>
    </xf>
    <xf numFmtId="165" fontId="20" fillId="0" borderId="6" xfId="1" applyNumberFormat="1" applyFont="1" applyBorder="1" applyAlignment="1">
      <alignment horizontal="center"/>
    </xf>
    <xf numFmtId="165" fontId="20" fillId="0" borderId="7" xfId="1" applyNumberFormat="1" applyFont="1" applyBorder="1" applyAlignment="1">
      <alignment horizontal="center"/>
    </xf>
    <xf numFmtId="165" fontId="20" fillId="0" borderId="8" xfId="1" applyNumberFormat="1" applyFont="1" applyBorder="1" applyAlignment="1">
      <alignment horizontal="center"/>
    </xf>
    <xf numFmtId="0" fontId="11" fillId="0" borderId="6" xfId="1" applyFont="1" applyBorder="1" applyAlignment="1">
      <alignment horizontal="center"/>
    </xf>
    <xf numFmtId="0" fontId="11" fillId="0" borderId="18" xfId="1" applyFont="1" applyBorder="1" applyAlignment="1">
      <alignment horizontal="center"/>
    </xf>
    <xf numFmtId="49" fontId="11" fillId="0" borderId="0" xfId="1" applyNumberFormat="1" applyFont="1" applyAlignment="1">
      <alignment horizontal="center"/>
    </xf>
    <xf numFmtId="49" fontId="11" fillId="0" borderId="5" xfId="1" applyNumberFormat="1" applyFont="1" applyBorder="1" applyAlignment="1">
      <alignment horizontal="center"/>
    </xf>
    <xf numFmtId="2" fontId="11" fillId="0" borderId="12" xfId="1" applyNumberFormat="1" applyFont="1" applyBorder="1"/>
    <xf numFmtId="2" fontId="11" fillId="0" borderId="4" xfId="1" applyNumberFormat="1" applyFont="1" applyBorder="1"/>
    <xf numFmtId="0" fontId="11" fillId="0" borderId="8" xfId="1" applyFont="1" applyBorder="1"/>
    <xf numFmtId="2" fontId="34" fillId="0" borderId="0" xfId="1" applyNumberFormat="1" applyFont="1"/>
    <xf numFmtId="2" fontId="34" fillId="0" borderId="5" xfId="1" applyNumberFormat="1" applyFont="1" applyBorder="1"/>
    <xf numFmtId="49" fontId="11" fillId="0" borderId="0" xfId="1" applyNumberFormat="1" applyFont="1"/>
    <xf numFmtId="49" fontId="11" fillId="0" borderId="5" xfId="1" applyNumberFormat="1" applyFont="1" applyBorder="1"/>
    <xf numFmtId="165" fontId="20" fillId="0" borderId="3" xfId="1" applyNumberFormat="1" applyFont="1" applyBorder="1" applyAlignment="1">
      <alignment horizontal="center"/>
    </xf>
    <xf numFmtId="165" fontId="20" fillId="0" borderId="12" xfId="1" applyNumberFormat="1" applyFont="1" applyBorder="1" applyAlignment="1">
      <alignment horizontal="center"/>
    </xf>
    <xf numFmtId="165" fontId="20" fillId="0" borderId="4" xfId="1" applyNumberFormat="1" applyFont="1" applyBorder="1" applyAlignment="1">
      <alignment horizontal="center"/>
    </xf>
    <xf numFmtId="2" fontId="11" fillId="0" borderId="3" xfId="1" applyNumberFormat="1" applyFont="1" applyBorder="1" applyAlignment="1">
      <alignment horizontal="center"/>
    </xf>
    <xf numFmtId="2" fontId="11" fillId="0" borderId="13" xfId="1" applyNumberFormat="1" applyFont="1" applyBorder="1" applyAlignment="1">
      <alignment horizontal="center"/>
    </xf>
    <xf numFmtId="2" fontId="12" fillId="0" borderId="9" xfId="0" applyNumberFormat="1" applyFont="1" applyBorder="1" applyAlignment="1">
      <alignment horizontal="center"/>
    </xf>
    <xf numFmtId="2" fontId="12" fillId="0" borderId="11" xfId="0" applyNumberFormat="1" applyFont="1" applyBorder="1" applyAlignment="1">
      <alignment horizontal="center"/>
    </xf>
    <xf numFmtId="2" fontId="12" fillId="0" borderId="10" xfId="0" applyNumberFormat="1" applyFont="1" applyBorder="1" applyAlignment="1">
      <alignment horizontal="center"/>
    </xf>
    <xf numFmtId="49" fontId="11" fillId="11" borderId="2" xfId="0" applyNumberFormat="1" applyFont="1" applyFill="1" applyBorder="1" applyAlignment="1" applyProtection="1">
      <alignment horizontal="center"/>
      <protection locked="0"/>
    </xf>
    <xf numFmtId="49" fontId="11" fillId="11" borderId="0" xfId="0" applyNumberFormat="1" applyFont="1" applyFill="1" applyAlignment="1" applyProtection="1">
      <alignment horizontal="center"/>
      <protection locked="0"/>
    </xf>
    <xf numFmtId="2" fontId="12" fillId="0" borderId="0" xfId="0" applyNumberFormat="1" applyFont="1" applyAlignment="1">
      <alignment horizontal="center"/>
    </xf>
    <xf numFmtId="2" fontId="12" fillId="0" borderId="5" xfId="0" applyNumberFormat="1" applyFont="1" applyBorder="1" applyAlignment="1">
      <alignment horizontal="center"/>
    </xf>
    <xf numFmtId="0" fontId="27" fillId="0" borderId="7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18" fillId="3" borderId="12" xfId="0" applyFont="1" applyFill="1" applyBorder="1" applyAlignment="1">
      <alignment horizontal="center" vertical="center"/>
    </xf>
    <xf numFmtId="165" fontId="12" fillId="0" borderId="7" xfId="0" applyNumberFormat="1" applyFont="1" applyBorder="1" applyAlignment="1">
      <alignment horizontal="center"/>
    </xf>
    <xf numFmtId="49" fontId="11" fillId="11" borderId="14" xfId="0" applyNumberFormat="1" applyFont="1" applyFill="1" applyBorder="1" applyAlignment="1" applyProtection="1">
      <alignment horizontal="center"/>
      <protection locked="0"/>
    </xf>
    <xf numFmtId="49" fontId="11" fillId="11" borderId="5" xfId="0" applyNumberFormat="1" applyFont="1" applyFill="1" applyBorder="1" applyAlignment="1" applyProtection="1">
      <alignment horizontal="center"/>
      <protection locked="0"/>
    </xf>
    <xf numFmtId="49" fontId="11" fillId="11" borderId="3" xfId="0" applyNumberFormat="1" applyFont="1" applyFill="1" applyBorder="1" applyAlignment="1" applyProtection="1">
      <alignment horizontal="center"/>
      <protection locked="0"/>
    </xf>
    <xf numFmtId="49" fontId="11" fillId="11" borderId="12" xfId="0" applyNumberFormat="1" applyFont="1" applyFill="1" applyBorder="1" applyAlignment="1" applyProtection="1">
      <alignment horizontal="center"/>
      <protection locked="0"/>
    </xf>
    <xf numFmtId="49" fontId="11" fillId="11" borderId="4" xfId="0" applyNumberFormat="1" applyFont="1" applyFill="1" applyBorder="1" applyAlignment="1" applyProtection="1">
      <alignment horizontal="center"/>
      <protection locked="0"/>
    </xf>
    <xf numFmtId="165" fontId="20" fillId="0" borderId="0" xfId="0" applyNumberFormat="1" applyFont="1" applyAlignment="1">
      <alignment horizontal="center" vertical="center"/>
    </xf>
    <xf numFmtId="165" fontId="20" fillId="0" borderId="5" xfId="0" applyNumberFormat="1" applyFont="1" applyBorder="1" applyAlignment="1">
      <alignment horizontal="center" vertical="center"/>
    </xf>
    <xf numFmtId="165" fontId="20" fillId="0" borderId="12" xfId="0" applyNumberFormat="1" applyFont="1" applyBorder="1" applyAlignment="1">
      <alignment horizontal="center" vertical="center"/>
    </xf>
    <xf numFmtId="165" fontId="20" fillId="0" borderId="4" xfId="0" applyNumberFormat="1" applyFont="1" applyBorder="1" applyAlignment="1">
      <alignment horizontal="center" vertical="center"/>
    </xf>
    <xf numFmtId="165" fontId="12" fillId="0" borderId="9" xfId="0" applyNumberFormat="1" applyFont="1" applyBorder="1" applyAlignment="1">
      <alignment horizontal="center"/>
    </xf>
    <xf numFmtId="165" fontId="12" fillId="0" borderId="11" xfId="0" applyNumberFormat="1" applyFont="1" applyBorder="1" applyAlignment="1">
      <alignment horizontal="center"/>
    </xf>
    <xf numFmtId="165" fontId="12" fillId="0" borderId="10" xfId="0" applyNumberFormat="1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49" fontId="11" fillId="11" borderId="9" xfId="0" applyNumberFormat="1" applyFont="1" applyFill="1" applyBorder="1" applyAlignment="1" applyProtection="1">
      <alignment horizontal="center"/>
      <protection locked="0"/>
    </xf>
    <xf numFmtId="49" fontId="11" fillId="11" borderId="11" xfId="0" applyNumberFormat="1" applyFont="1" applyFill="1" applyBorder="1" applyAlignment="1" applyProtection="1">
      <alignment horizontal="center"/>
      <protection locked="0"/>
    </xf>
    <xf numFmtId="49" fontId="11" fillId="11" borderId="10" xfId="0" applyNumberFormat="1" applyFont="1" applyFill="1" applyBorder="1" applyAlignment="1" applyProtection="1">
      <alignment horizontal="center"/>
      <protection locked="0"/>
    </xf>
    <xf numFmtId="0" fontId="11" fillId="0" borderId="10" xfId="0" applyFont="1" applyBorder="1" applyAlignment="1">
      <alignment horizontal="center"/>
    </xf>
    <xf numFmtId="165" fontId="12" fillId="0" borderId="0" xfId="0" applyNumberFormat="1" applyFont="1" applyAlignment="1">
      <alignment horizontal="center"/>
    </xf>
    <xf numFmtId="165" fontId="12" fillId="0" borderId="12" xfId="0" applyNumberFormat="1" applyFont="1" applyBorder="1" applyAlignment="1">
      <alignment horizontal="center"/>
    </xf>
    <xf numFmtId="2" fontId="13" fillId="0" borderId="3" xfId="0" applyNumberFormat="1" applyFont="1" applyBorder="1" applyAlignment="1">
      <alignment horizontal="center"/>
    </xf>
    <xf numFmtId="2" fontId="13" fillId="0" borderId="12" xfId="0" applyNumberFormat="1" applyFont="1" applyBorder="1" applyAlignment="1">
      <alignment horizontal="center"/>
    </xf>
    <xf numFmtId="2" fontId="13" fillId="0" borderId="4" xfId="0" applyNumberFormat="1" applyFont="1" applyBorder="1" applyAlignment="1">
      <alignment horizontal="center"/>
    </xf>
    <xf numFmtId="2" fontId="12" fillId="0" borderId="18" xfId="0" applyNumberFormat="1" applyFont="1" applyBorder="1" applyAlignment="1">
      <alignment horizontal="center"/>
    </xf>
    <xf numFmtId="2" fontId="12" fillId="0" borderId="2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/>
    </xf>
    <xf numFmtId="49" fontId="11" fillId="11" borderId="1" xfId="0" applyNumberFormat="1" applyFont="1" applyFill="1" applyBorder="1" applyAlignment="1" applyProtection="1">
      <alignment horizontal="center"/>
      <protection locked="0"/>
    </xf>
    <xf numFmtId="2" fontId="11" fillId="0" borderId="6" xfId="1" applyNumberFormat="1" applyFont="1" applyBorder="1" applyAlignment="1">
      <alignment horizontal="center"/>
    </xf>
    <xf numFmtId="2" fontId="11" fillId="0" borderId="18" xfId="1" applyNumberFormat="1" applyFont="1" applyBorder="1" applyAlignment="1">
      <alignment horizontal="center"/>
    </xf>
    <xf numFmtId="2" fontId="11" fillId="0" borderId="7" xfId="1" applyNumberFormat="1" applyFont="1" applyBorder="1" applyAlignment="1">
      <alignment horizontal="center"/>
    </xf>
    <xf numFmtId="2" fontId="11" fillId="0" borderId="8" xfId="1" applyNumberFormat="1" applyFont="1" applyBorder="1" applyAlignment="1">
      <alignment horizontal="center"/>
    </xf>
    <xf numFmtId="165" fontId="12" fillId="0" borderId="18" xfId="1" applyNumberFormat="1" applyFont="1" applyBorder="1" applyAlignment="1">
      <alignment horizontal="center"/>
    </xf>
    <xf numFmtId="165" fontId="12" fillId="0" borderId="16" xfId="1" applyNumberFormat="1" applyFont="1" applyBorder="1" applyAlignment="1">
      <alignment horizontal="center"/>
    </xf>
    <xf numFmtId="2" fontId="11" fillId="0" borderId="2" xfId="1" applyNumberFormat="1" applyFont="1" applyBorder="1" applyAlignment="1">
      <alignment horizontal="center"/>
    </xf>
    <xf numFmtId="2" fontId="11" fillId="0" borderId="1" xfId="1" applyNumberFormat="1" applyFont="1" applyBorder="1" applyAlignment="1">
      <alignment horizontal="center"/>
    </xf>
    <xf numFmtId="2" fontId="11" fillId="0" borderId="16" xfId="1" applyNumberFormat="1" applyFont="1" applyBorder="1" applyAlignment="1">
      <alignment horizontal="center"/>
    </xf>
    <xf numFmtId="2" fontId="11" fillId="0" borderId="14" xfId="1" applyNumberFormat="1" applyFont="1" applyBorder="1" applyAlignment="1">
      <alignment horizontal="center"/>
    </xf>
    <xf numFmtId="2" fontId="11" fillId="0" borderId="5" xfId="1" applyNumberFormat="1" applyFont="1" applyBorder="1" applyAlignment="1">
      <alignment horizontal="center"/>
    </xf>
    <xf numFmtId="0" fontId="5" fillId="0" borderId="2" xfId="1" applyBorder="1" applyAlignment="1">
      <alignment horizontal="center"/>
    </xf>
    <xf numFmtId="0" fontId="5" fillId="0" borderId="1" xfId="1" applyBorder="1" applyAlignment="1">
      <alignment horizontal="center"/>
    </xf>
    <xf numFmtId="0" fontId="5" fillId="0" borderId="14" xfId="1" applyBorder="1" applyAlignment="1">
      <alignment horizontal="center"/>
    </xf>
    <xf numFmtId="0" fontId="5" fillId="0" borderId="5" xfId="1" applyBorder="1" applyAlignment="1">
      <alignment horizontal="center"/>
    </xf>
    <xf numFmtId="165" fontId="12" fillId="0" borderId="3" xfId="1" applyNumberFormat="1" applyFont="1" applyBorder="1" applyAlignment="1">
      <alignment horizontal="center"/>
    </xf>
    <xf numFmtId="165" fontId="12" fillId="0" borderId="13" xfId="1" applyNumberFormat="1" applyFont="1" applyBorder="1" applyAlignment="1">
      <alignment horizontal="center"/>
    </xf>
    <xf numFmtId="0" fontId="20" fillId="7" borderId="11" xfId="1" applyFont="1" applyFill="1" applyBorder="1" applyAlignment="1">
      <alignment horizontal="left"/>
    </xf>
    <xf numFmtId="0" fontId="26" fillId="2" borderId="10" xfId="1" applyFont="1" applyFill="1" applyBorder="1" applyAlignment="1">
      <alignment horizontal="left"/>
    </xf>
    <xf numFmtId="165" fontId="20" fillId="0" borderId="30" xfId="1" applyNumberFormat="1" applyFont="1" applyBorder="1" applyAlignment="1">
      <alignment horizontal="center"/>
    </xf>
    <xf numFmtId="165" fontId="20" fillId="0" borderId="15" xfId="1" applyNumberFormat="1" applyFont="1" applyBorder="1" applyAlignment="1">
      <alignment horizontal="center"/>
    </xf>
    <xf numFmtId="49" fontId="11" fillId="3" borderId="2" xfId="1" applyNumberFormat="1" applyFont="1" applyFill="1" applyBorder="1" applyAlignment="1" applyProtection="1">
      <alignment horizontal="center"/>
      <protection locked="0"/>
    </xf>
    <xf numFmtId="49" fontId="11" fillId="3" borderId="1" xfId="1" applyNumberFormat="1" applyFont="1" applyFill="1" applyBorder="1" applyAlignment="1" applyProtection="1">
      <alignment horizontal="center"/>
      <protection locked="0"/>
    </xf>
    <xf numFmtId="49" fontId="11" fillId="3" borderId="0" xfId="1" applyNumberFormat="1" applyFont="1" applyFill="1" applyAlignment="1" applyProtection="1">
      <alignment horizontal="center"/>
      <protection locked="0"/>
    </xf>
    <xf numFmtId="49" fontId="11" fillId="3" borderId="5" xfId="1" applyNumberFormat="1" applyFont="1" applyFill="1" applyBorder="1" applyAlignment="1" applyProtection="1">
      <alignment horizontal="center"/>
      <protection locked="0"/>
    </xf>
    <xf numFmtId="0" fontId="11" fillId="0" borderId="2" xfId="1" applyFont="1" applyBorder="1" applyAlignment="1">
      <alignment horizontal="center"/>
    </xf>
    <xf numFmtId="0" fontId="11" fillId="0" borderId="1" xfId="1" applyFont="1" applyBorder="1" applyAlignment="1">
      <alignment horizontal="center"/>
    </xf>
    <xf numFmtId="0" fontId="11" fillId="0" borderId="14" xfId="1" applyFont="1" applyBorder="1" applyAlignment="1">
      <alignment horizontal="center"/>
    </xf>
    <xf numFmtId="0" fontId="11" fillId="0" borderId="5" xfId="1" applyFont="1" applyBorder="1" applyAlignment="1">
      <alignment horizontal="center"/>
    </xf>
    <xf numFmtId="49" fontId="34" fillId="0" borderId="0" xfId="1" applyNumberFormat="1" applyFont="1" applyAlignment="1">
      <alignment horizontal="center"/>
    </xf>
    <xf numFmtId="49" fontId="34" fillId="0" borderId="5" xfId="1" applyNumberFormat="1" applyFont="1" applyBorder="1" applyAlignment="1">
      <alignment horizontal="center"/>
    </xf>
    <xf numFmtId="49" fontId="11" fillId="3" borderId="12" xfId="1" applyNumberFormat="1" applyFont="1" applyFill="1" applyBorder="1" applyAlignment="1" applyProtection="1">
      <alignment horizontal="center"/>
      <protection locked="0"/>
    </xf>
    <xf numFmtId="49" fontId="11" fillId="3" borderId="4" xfId="1" applyNumberFormat="1" applyFont="1" applyFill="1" applyBorder="1" applyAlignment="1" applyProtection="1">
      <alignment horizontal="center"/>
      <protection locked="0"/>
    </xf>
    <xf numFmtId="49" fontId="11" fillId="3" borderId="3" xfId="1" applyNumberFormat="1" applyFont="1" applyFill="1" applyBorder="1" applyAlignment="1" applyProtection="1">
      <alignment horizontal="center"/>
      <protection locked="0"/>
    </xf>
    <xf numFmtId="49" fontId="11" fillId="3" borderId="13" xfId="1" applyNumberFormat="1" applyFont="1" applyFill="1" applyBorder="1" applyAlignment="1" applyProtection="1">
      <alignment horizontal="center"/>
      <protection locked="0"/>
    </xf>
    <xf numFmtId="0" fontId="11" fillId="0" borderId="16" xfId="1" applyFont="1" applyBorder="1" applyAlignment="1">
      <alignment horizontal="center"/>
    </xf>
    <xf numFmtId="0" fontId="11" fillId="0" borderId="8" xfId="1" applyFont="1" applyBorder="1" applyAlignment="1">
      <alignment horizontal="center"/>
    </xf>
    <xf numFmtId="0" fontId="18" fillId="3" borderId="3" xfId="1" applyFont="1" applyFill="1" applyBorder="1" applyAlignment="1">
      <alignment horizontal="center" vertical="center"/>
    </xf>
    <xf numFmtId="0" fontId="18" fillId="3" borderId="4" xfId="1" applyFont="1" applyFill="1" applyBorder="1" applyAlignment="1">
      <alignment horizontal="center" vertical="center"/>
    </xf>
    <xf numFmtId="49" fontId="11" fillId="0" borderId="2" xfId="1" applyNumberFormat="1" applyFont="1" applyBorder="1" applyAlignment="1">
      <alignment horizontal="center"/>
    </xf>
    <xf numFmtId="49" fontId="11" fillId="0" borderId="1" xfId="1" applyNumberFormat="1" applyFont="1" applyBorder="1" applyAlignment="1">
      <alignment horizontal="center"/>
    </xf>
    <xf numFmtId="0" fontId="5" fillId="0" borderId="0" xfId="1" applyAlignment="1">
      <alignment horizontal="center"/>
    </xf>
    <xf numFmtId="0" fontId="11" fillId="0" borderId="0" xfId="1" applyFont="1" applyAlignment="1">
      <alignment horizontal="center"/>
    </xf>
    <xf numFmtId="165" fontId="12" fillId="0" borderId="12" xfId="1" applyNumberFormat="1" applyFont="1" applyBorder="1" applyAlignment="1">
      <alignment horizontal="center"/>
    </xf>
    <xf numFmtId="0" fontId="11" fillId="2" borderId="3" xfId="1" applyFont="1" applyFill="1" applyBorder="1" applyAlignment="1">
      <alignment horizontal="center"/>
    </xf>
    <xf numFmtId="0" fontId="11" fillId="2" borderId="12" xfId="1" applyFont="1" applyFill="1" applyBorder="1" applyAlignment="1">
      <alignment horizontal="center"/>
    </xf>
    <xf numFmtId="0" fontId="11" fillId="2" borderId="4" xfId="1" applyFont="1" applyFill="1" applyBorder="1" applyAlignment="1">
      <alignment horizontal="center"/>
    </xf>
    <xf numFmtId="0" fontId="20" fillId="0" borderId="9" xfId="1" applyFont="1" applyBorder="1" applyAlignment="1">
      <alignment horizontal="left"/>
    </xf>
    <xf numFmtId="0" fontId="20" fillId="0" borderId="11" xfId="1" applyFont="1" applyBorder="1" applyAlignment="1">
      <alignment horizontal="left"/>
    </xf>
    <xf numFmtId="49" fontId="12" fillId="0" borderId="9" xfId="1" applyNumberFormat="1" applyFont="1" applyBorder="1" applyAlignment="1">
      <alignment horizontal="center"/>
    </xf>
    <xf numFmtId="49" fontId="12" fillId="0" borderId="11" xfId="1" applyNumberFormat="1" applyFont="1" applyBorder="1" applyAlignment="1">
      <alignment horizontal="center"/>
    </xf>
    <xf numFmtId="49" fontId="12" fillId="0" borderId="10" xfId="1" applyNumberFormat="1" applyFont="1" applyBorder="1" applyAlignment="1">
      <alignment horizontal="center"/>
    </xf>
    <xf numFmtId="0" fontId="13" fillId="0" borderId="16" xfId="1" applyFont="1" applyBorder="1" applyAlignment="1">
      <alignment horizontal="center"/>
    </xf>
    <xf numFmtId="0" fontId="13" fillId="0" borderId="7" xfId="1" applyFont="1" applyBorder="1" applyAlignment="1">
      <alignment horizontal="center"/>
    </xf>
    <xf numFmtId="0" fontId="13" fillId="0" borderId="14" xfId="1" applyFont="1" applyBorder="1" applyAlignment="1">
      <alignment horizontal="center"/>
    </xf>
    <xf numFmtId="0" fontId="13" fillId="0" borderId="0" xfId="1" applyFont="1" applyAlignment="1">
      <alignment horizontal="center"/>
    </xf>
    <xf numFmtId="0" fontId="13" fillId="0" borderId="8" xfId="1" applyFont="1" applyBorder="1" applyAlignment="1">
      <alignment horizontal="center"/>
    </xf>
    <xf numFmtId="0" fontId="13" fillId="0" borderId="5" xfId="1" applyFont="1" applyBorder="1" applyAlignment="1">
      <alignment horizontal="center"/>
    </xf>
    <xf numFmtId="0" fontId="18" fillId="0" borderId="3" xfId="1" applyFont="1" applyBorder="1" applyAlignment="1">
      <alignment horizontal="center" vertical="center"/>
    </xf>
    <xf numFmtId="0" fontId="18" fillId="0" borderId="4" xfId="1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2" xfId="0" applyFont="1" applyBorder="1" applyAlignment="1">
      <alignment horizontal="right" vertical="center" indent="1"/>
    </xf>
    <xf numFmtId="0" fontId="18" fillId="0" borderId="5" xfId="0" applyFont="1" applyBorder="1" applyAlignment="1">
      <alignment horizontal="right" vertical="center" indent="1"/>
    </xf>
    <xf numFmtId="0" fontId="18" fillId="0" borderId="3" xfId="0" applyFont="1" applyBorder="1" applyAlignment="1">
      <alignment horizontal="right" vertical="center" indent="1"/>
    </xf>
    <xf numFmtId="0" fontId="18" fillId="0" borderId="4" xfId="0" applyFont="1" applyBorder="1" applyAlignment="1">
      <alignment horizontal="right" vertical="center" indent="1"/>
    </xf>
    <xf numFmtId="0" fontId="13" fillId="0" borderId="16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37" xfId="0" applyFont="1" applyBorder="1" applyAlignment="1">
      <alignment horizontal="center"/>
    </xf>
    <xf numFmtId="0" fontId="13" fillId="0" borderId="34" xfId="0" applyFont="1" applyBorder="1" applyAlignment="1">
      <alignment horizontal="center"/>
    </xf>
    <xf numFmtId="49" fontId="11" fillId="9" borderId="6" xfId="1" applyNumberFormat="1" applyFont="1" applyFill="1" applyBorder="1" applyAlignment="1">
      <alignment horizontal="center"/>
    </xf>
    <xf numFmtId="0" fontId="83" fillId="9" borderId="32" xfId="0" applyFont="1" applyFill="1" applyBorder="1" applyAlignment="1">
      <alignment horizontal="left" vertical="top"/>
    </xf>
    <xf numFmtId="0" fontId="83" fillId="9" borderId="0" xfId="0" applyFont="1" applyFill="1" applyAlignment="1">
      <alignment horizontal="left" vertical="top"/>
    </xf>
    <xf numFmtId="0" fontId="83" fillId="9" borderId="51" xfId="0" applyFont="1" applyFill="1" applyBorder="1" applyAlignment="1">
      <alignment horizontal="left" vertical="top"/>
    </xf>
    <xf numFmtId="0" fontId="29" fillId="0" borderId="6" xfId="1" applyFont="1" applyBorder="1" applyAlignment="1">
      <alignment horizontal="center" vertical="center"/>
    </xf>
    <xf numFmtId="0" fontId="29" fillId="0" borderId="8" xfId="1" applyFont="1" applyBorder="1" applyAlignment="1">
      <alignment horizontal="center" vertical="center"/>
    </xf>
    <xf numFmtId="0" fontId="29" fillId="0" borderId="2" xfId="1" applyFont="1" applyBorder="1" applyAlignment="1">
      <alignment horizontal="center" vertical="center"/>
    </xf>
    <xf numFmtId="0" fontId="29" fillId="0" borderId="5" xfId="1" applyFont="1" applyBorder="1" applyAlignment="1">
      <alignment horizontal="center" vertical="center"/>
    </xf>
    <xf numFmtId="0" fontId="29" fillId="0" borderId="3" xfId="1" applyFont="1" applyBorder="1" applyAlignment="1">
      <alignment horizontal="center" vertical="center"/>
    </xf>
    <xf numFmtId="0" fontId="29" fillId="0" borderId="4" xfId="1" applyFont="1" applyBorder="1" applyAlignment="1">
      <alignment horizontal="center" vertical="center"/>
    </xf>
    <xf numFmtId="0" fontId="12" fillId="0" borderId="4" xfId="1" applyFont="1" applyBorder="1" applyAlignment="1">
      <alignment horizontal="left"/>
    </xf>
    <xf numFmtId="0" fontId="28" fillId="0" borderId="11" xfId="1" applyFont="1" applyBorder="1" applyAlignment="1">
      <alignment horizontal="left"/>
    </xf>
    <xf numFmtId="0" fontId="12" fillId="0" borderId="7" xfId="1" applyFont="1" applyBorder="1" applyAlignment="1">
      <alignment horizontal="left"/>
    </xf>
    <xf numFmtId="49" fontId="10" fillId="0" borderId="0" xfId="1" applyNumberFormat="1" applyFont="1" applyAlignment="1">
      <alignment horizontal="left" vertical="center"/>
    </xf>
    <xf numFmtId="49" fontId="10" fillId="0" borderId="12" xfId="1" applyNumberFormat="1" applyFont="1" applyBorder="1" applyAlignment="1">
      <alignment horizontal="left" vertical="center"/>
    </xf>
    <xf numFmtId="0" fontId="48" fillId="0" borderId="2" xfId="1" applyFont="1" applyBorder="1" applyAlignment="1">
      <alignment horizontal="center" vertical="center" textRotation="90"/>
    </xf>
    <xf numFmtId="0" fontId="48" fillId="0" borderId="3" xfId="1" applyFont="1" applyBorder="1" applyAlignment="1">
      <alignment horizontal="center" vertical="center" textRotation="90"/>
    </xf>
    <xf numFmtId="0" fontId="10" fillId="0" borderId="2" xfId="1" applyFont="1" applyBorder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165" fontId="10" fillId="0" borderId="38" xfId="2" applyNumberFormat="1" applyFont="1" applyBorder="1" applyAlignment="1">
      <alignment horizontal="center" vertical="center"/>
    </xf>
    <xf numFmtId="49" fontId="10" fillId="0" borderId="12" xfId="1" applyNumberFormat="1" applyFont="1" applyBorder="1" applyAlignment="1">
      <alignment vertical="center"/>
    </xf>
    <xf numFmtId="49" fontId="10" fillId="0" borderId="0" xfId="1" applyNumberFormat="1" applyFont="1" applyAlignment="1">
      <alignment vertical="center"/>
    </xf>
    <xf numFmtId="49" fontId="10" fillId="0" borderId="0" xfId="1" applyNumberFormat="1" applyFont="1" applyAlignment="1">
      <alignment horizontal="left" vertical="center" wrapText="1"/>
    </xf>
    <xf numFmtId="49" fontId="10" fillId="0" borderId="7" xfId="1" applyNumberFormat="1" applyFont="1" applyBorder="1" applyAlignment="1">
      <alignment vertical="center" wrapText="1"/>
    </xf>
    <xf numFmtId="49" fontId="10" fillId="0" borderId="7" xfId="1" applyNumberFormat="1" applyFont="1" applyBorder="1" applyAlignment="1">
      <alignment vertical="center"/>
    </xf>
    <xf numFmtId="49" fontId="10" fillId="0" borderId="0" xfId="1" applyNumberFormat="1" applyFont="1" applyAlignment="1">
      <alignment vertical="center" wrapText="1"/>
    </xf>
    <xf numFmtId="0" fontId="12" fillId="9" borderId="11" xfId="1" applyFont="1" applyFill="1" applyBorder="1" applyAlignment="1">
      <alignment horizontal="center" vertical="center" wrapText="1"/>
    </xf>
    <xf numFmtId="0" fontId="12" fillId="9" borderId="10" xfId="1" applyFont="1" applyFill="1" applyBorder="1" applyAlignment="1">
      <alignment horizontal="center" vertical="center" wrapText="1"/>
    </xf>
    <xf numFmtId="0" fontId="27" fillId="0" borderId="6" xfId="1" applyFont="1" applyBorder="1" applyAlignment="1">
      <alignment horizontal="center" vertical="center" wrapText="1"/>
    </xf>
    <xf numFmtId="0" fontId="27" fillId="0" borderId="7" xfId="1" applyFont="1" applyBorder="1" applyAlignment="1">
      <alignment horizontal="center" vertical="center" wrapText="1"/>
    </xf>
    <xf numFmtId="0" fontId="27" fillId="0" borderId="8" xfId="1" applyFont="1" applyBorder="1" applyAlignment="1">
      <alignment horizontal="center" vertical="center" wrapText="1"/>
    </xf>
    <xf numFmtId="0" fontId="27" fillId="0" borderId="2" xfId="1" applyFont="1" applyBorder="1" applyAlignment="1">
      <alignment horizontal="center" vertical="center" wrapText="1"/>
    </xf>
    <xf numFmtId="0" fontId="27" fillId="0" borderId="0" xfId="1" applyFont="1" applyAlignment="1">
      <alignment horizontal="center" vertical="center" wrapText="1"/>
    </xf>
    <xf numFmtId="0" fontId="27" fillId="0" borderId="5" xfId="1" applyFont="1" applyBorder="1" applyAlignment="1">
      <alignment horizontal="center" vertical="center" wrapText="1"/>
    </xf>
    <xf numFmtId="0" fontId="30" fillId="0" borderId="6" xfId="1" applyFont="1" applyBorder="1" applyAlignment="1">
      <alignment horizontal="center" vertical="center"/>
    </xf>
    <xf numFmtId="0" fontId="30" fillId="0" borderId="7" xfId="1" applyFont="1" applyBorder="1" applyAlignment="1">
      <alignment horizontal="center" vertical="center"/>
    </xf>
    <xf numFmtId="0" fontId="30" fillId="0" borderId="8" xfId="1" applyFont="1" applyBorder="1" applyAlignment="1">
      <alignment horizontal="center" vertical="center"/>
    </xf>
    <xf numFmtId="0" fontId="29" fillId="0" borderId="7" xfId="1" applyFont="1" applyBorder="1" applyAlignment="1">
      <alignment horizontal="center" vertical="center"/>
    </xf>
    <xf numFmtId="0" fontId="29" fillId="0" borderId="0" xfId="1" applyFont="1" applyAlignment="1">
      <alignment horizontal="center" vertical="center"/>
    </xf>
    <xf numFmtId="0" fontId="29" fillId="0" borderId="1" xfId="1" applyFont="1" applyBorder="1" applyAlignment="1">
      <alignment horizontal="center" vertical="center"/>
    </xf>
    <xf numFmtId="0" fontId="29" fillId="0" borderId="14" xfId="1" applyFont="1" applyBorder="1" applyAlignment="1">
      <alignment horizontal="center" vertical="center"/>
    </xf>
    <xf numFmtId="0" fontId="87" fillId="0" borderId="0" xfId="0" applyFont="1" applyAlignment="1">
      <alignment horizontal="center" vertical="center" readingOrder="1"/>
    </xf>
    <xf numFmtId="0" fontId="85" fillId="9" borderId="0" xfId="1" applyFont="1" applyFill="1" applyAlignment="1">
      <alignment horizontal="center"/>
    </xf>
    <xf numFmtId="0" fontId="86" fillId="0" borderId="0" xfId="0" applyFont="1" applyAlignment="1">
      <alignment horizontal="center"/>
    </xf>
    <xf numFmtId="49" fontId="11" fillId="9" borderId="51" xfId="1" applyNumberFormat="1" applyFont="1" applyFill="1" applyBorder="1" applyAlignment="1">
      <alignment horizontal="center"/>
    </xf>
    <xf numFmtId="0" fontId="86" fillId="0" borderId="32" xfId="0" applyFont="1" applyBorder="1" applyAlignment="1">
      <alignment horizontal="center"/>
    </xf>
    <xf numFmtId="0" fontId="82" fillId="0" borderId="0" xfId="6" applyFont="1" applyAlignment="1">
      <alignment horizontal="left" vertical="center" wrapText="1"/>
    </xf>
    <xf numFmtId="0" fontId="1" fillId="9" borderId="40" xfId="6" applyFill="1" applyBorder="1" applyAlignment="1">
      <alignment horizontal="right" vertical="center" wrapText="1"/>
    </xf>
    <xf numFmtId="0" fontId="1" fillId="9" borderId="104" xfId="6" applyFill="1" applyBorder="1" applyAlignment="1">
      <alignment horizontal="right" vertical="center" wrapText="1"/>
    </xf>
    <xf numFmtId="0" fontId="1" fillId="23" borderId="104" xfId="6" applyFill="1" applyBorder="1" applyAlignment="1">
      <alignment horizontal="center" vertical="center"/>
    </xf>
    <xf numFmtId="0" fontId="1" fillId="23" borderId="103" xfId="6" applyFill="1" applyBorder="1" applyAlignment="1">
      <alignment horizontal="center" vertical="center"/>
    </xf>
    <xf numFmtId="0" fontId="82" fillId="0" borderId="0" xfId="6" applyFont="1" applyAlignment="1">
      <alignment horizontal="left" vertical="center"/>
    </xf>
    <xf numFmtId="0" fontId="1" fillId="23" borderId="62" xfId="6" applyFill="1" applyBorder="1" applyAlignment="1">
      <alignment horizontal="center" vertical="center"/>
    </xf>
    <xf numFmtId="0" fontId="1" fillId="23" borderId="28" xfId="6" applyFill="1" applyBorder="1" applyAlignment="1">
      <alignment horizontal="center" vertical="center"/>
    </xf>
    <xf numFmtId="0" fontId="1" fillId="24" borderId="0" xfId="6" applyFill="1" applyAlignment="1">
      <alignment horizontal="center" vertical="center" wrapText="1"/>
    </xf>
    <xf numFmtId="14" fontId="1" fillId="23" borderId="125" xfId="6" applyNumberFormat="1" applyFill="1" applyBorder="1" applyAlignment="1">
      <alignment horizontal="center" vertical="center"/>
    </xf>
    <xf numFmtId="14" fontId="1" fillId="23" borderId="42" xfId="6" applyNumberFormat="1" applyFill="1" applyBorder="1" applyAlignment="1">
      <alignment horizontal="center" vertical="center"/>
    </xf>
    <xf numFmtId="0" fontId="1" fillId="0" borderId="23" xfId="6" applyBorder="1" applyAlignment="1">
      <alignment horizontal="center" vertical="center" textRotation="90" wrapText="1"/>
    </xf>
    <xf numFmtId="0" fontId="1" fillId="0" borderId="24" xfId="6" applyBorder="1" applyAlignment="1">
      <alignment horizontal="center" vertical="center" textRotation="90" wrapText="1"/>
    </xf>
    <xf numFmtId="0" fontId="1" fillId="0" borderId="25" xfId="6" applyBorder="1" applyAlignment="1">
      <alignment horizontal="center" vertical="center" textRotation="90" wrapText="1"/>
    </xf>
    <xf numFmtId="0" fontId="1" fillId="9" borderId="40" xfId="6" applyFill="1" applyBorder="1" applyAlignment="1">
      <alignment horizontal="center" vertical="center" wrapText="1"/>
    </xf>
    <xf numFmtId="0" fontId="1" fillId="9" borderId="104" xfId="6" applyFill="1" applyBorder="1" applyAlignment="1">
      <alignment horizontal="center" vertical="center" wrapText="1"/>
    </xf>
    <xf numFmtId="49" fontId="12" fillId="0" borderId="6" xfId="1" applyNumberFormat="1" applyFont="1" applyBorder="1" applyAlignment="1">
      <alignment horizontal="left" vertical="center"/>
    </xf>
    <xf numFmtId="49" fontId="12" fillId="0" borderId="8" xfId="1" applyNumberFormat="1" applyFont="1" applyBorder="1" applyAlignment="1">
      <alignment horizontal="left" vertical="center"/>
    </xf>
    <xf numFmtId="49" fontId="12" fillId="0" borderId="3" xfId="1" applyNumberFormat="1" applyFont="1" applyBorder="1" applyAlignment="1">
      <alignment horizontal="left" vertical="center"/>
    </xf>
    <xf numFmtId="49" fontId="12" fillId="0" borderId="4" xfId="1" applyNumberFormat="1" applyFont="1" applyBorder="1" applyAlignment="1">
      <alignment horizontal="left" vertical="center"/>
    </xf>
    <xf numFmtId="49" fontId="12" fillId="0" borderId="0" xfId="1" applyNumberFormat="1" applyFont="1" applyAlignment="1">
      <alignment horizontal="left" vertical="center"/>
    </xf>
    <xf numFmtId="0" fontId="16" fillId="2" borderId="2" xfId="1" applyFont="1" applyFill="1" applyBorder="1" applyAlignment="1">
      <alignment horizontal="center" vertical="center" textRotation="90"/>
    </xf>
    <xf numFmtId="0" fontId="16" fillId="2" borderId="3" xfId="1" applyFont="1" applyFill="1" applyBorder="1" applyAlignment="1">
      <alignment horizontal="center" vertical="center" textRotation="90"/>
    </xf>
    <xf numFmtId="0" fontId="16" fillId="2" borderId="6" xfId="1" applyFont="1" applyFill="1" applyBorder="1" applyAlignment="1">
      <alignment horizontal="center" vertical="center" textRotation="90"/>
    </xf>
    <xf numFmtId="0" fontId="27" fillId="0" borderId="7" xfId="1" applyFont="1" applyBorder="1" applyAlignment="1">
      <alignment horizontal="center" vertical="center"/>
    </xf>
    <xf numFmtId="0" fontId="27" fillId="0" borderId="3" xfId="1" applyFont="1" applyBorder="1" applyAlignment="1">
      <alignment horizontal="center" vertical="center"/>
    </xf>
    <xf numFmtId="0" fontId="27" fillId="0" borderId="12" xfId="1" applyFont="1" applyBorder="1" applyAlignment="1">
      <alignment horizontal="center" vertical="center"/>
    </xf>
    <xf numFmtId="0" fontId="27" fillId="0" borderId="4" xfId="1" applyFont="1" applyBorder="1" applyAlignment="1">
      <alignment horizontal="center" vertical="center"/>
    </xf>
    <xf numFmtId="0" fontId="5" fillId="0" borderId="39" xfId="1" applyBorder="1" applyAlignment="1">
      <alignment horizontal="center"/>
    </xf>
    <xf numFmtId="0" fontId="5" fillId="0" borderId="62" xfId="1" applyBorder="1" applyAlignment="1">
      <alignment horizontal="center"/>
    </xf>
    <xf numFmtId="0" fontId="29" fillId="0" borderId="58" xfId="1" applyFont="1" applyBorder="1" applyAlignment="1">
      <alignment horizontal="center" vertical="center" textRotation="90"/>
    </xf>
    <xf numFmtId="0" fontId="29" fillId="0" borderId="2" xfId="1" applyFont="1" applyBorder="1" applyAlignment="1">
      <alignment horizontal="center" vertical="center" textRotation="90"/>
    </xf>
    <xf numFmtId="0" fontId="29" fillId="0" borderId="3" xfId="1" applyFont="1" applyBorder="1" applyAlignment="1">
      <alignment horizontal="center" vertical="center" textRotation="90"/>
    </xf>
    <xf numFmtId="0" fontId="12" fillId="0" borderId="6" xfId="1" applyFont="1" applyBorder="1"/>
    <xf numFmtId="0" fontId="12" fillId="0" borderId="7" xfId="1" applyFont="1" applyBorder="1"/>
    <xf numFmtId="0" fontId="12" fillId="0" borderId="7" xfId="1" applyFont="1" applyBorder="1" applyAlignment="1">
      <alignment horizontal="center"/>
    </xf>
    <xf numFmtId="0" fontId="12" fillId="0" borderId="8" xfId="1" applyFont="1" applyBorder="1" applyAlignment="1">
      <alignment horizontal="center"/>
    </xf>
    <xf numFmtId="0" fontId="11" fillId="0" borderId="30" xfId="1" applyFont="1" applyBorder="1" applyAlignment="1">
      <alignment horizontal="center"/>
    </xf>
    <xf numFmtId="0" fontId="16" fillId="2" borderId="6" xfId="1" applyFont="1" applyFill="1" applyBorder="1" applyAlignment="1">
      <alignment horizontal="center" vertical="center" textRotation="90" wrapText="1"/>
    </xf>
    <xf numFmtId="0" fontId="16" fillId="2" borderId="2" xfId="1" applyFont="1" applyFill="1" applyBorder="1" applyAlignment="1">
      <alignment horizontal="center" vertical="center" textRotation="90" wrapText="1"/>
    </xf>
    <xf numFmtId="0" fontId="16" fillId="2" borderId="3" xfId="1" applyFont="1" applyFill="1" applyBorder="1" applyAlignment="1">
      <alignment horizontal="center" vertical="center" textRotation="90" wrapText="1"/>
    </xf>
    <xf numFmtId="0" fontId="12" fillId="0" borderId="2" xfId="1" applyFont="1" applyBorder="1" applyAlignment="1">
      <alignment horizontal="center"/>
    </xf>
    <xf numFmtId="0" fontId="12" fillId="0" borderId="0" xfId="1" applyFont="1" applyAlignment="1">
      <alignment horizontal="center"/>
    </xf>
    <xf numFmtId="0" fontId="11" fillId="0" borderId="5" xfId="1" applyFont="1" applyBorder="1" applyAlignment="1">
      <alignment horizontal="right" indent="1"/>
    </xf>
    <xf numFmtId="0" fontId="11" fillId="0" borderId="2" xfId="1" applyFont="1" applyBorder="1" applyAlignment="1">
      <alignment horizontal="right"/>
    </xf>
    <xf numFmtId="0" fontId="11" fillId="0" borderId="0" xfId="1" applyFont="1" applyAlignment="1">
      <alignment horizontal="right"/>
    </xf>
    <xf numFmtId="0" fontId="11" fillId="0" borderId="1" xfId="1" applyFont="1" applyBorder="1" applyAlignment="1">
      <alignment horizontal="right"/>
    </xf>
    <xf numFmtId="165" fontId="11" fillId="0" borderId="0" xfId="1" applyNumberFormat="1" applyFont="1" applyAlignment="1">
      <alignment horizontal="right"/>
    </xf>
    <xf numFmtId="165" fontId="11" fillId="0" borderId="1" xfId="1" applyNumberFormat="1" applyFont="1" applyBorder="1" applyAlignment="1">
      <alignment horizontal="right"/>
    </xf>
    <xf numFmtId="9" fontId="11" fillId="0" borderId="0" xfId="2" applyFont="1" applyAlignment="1">
      <alignment horizontal="right"/>
    </xf>
    <xf numFmtId="9" fontId="11" fillId="0" borderId="5" xfId="2" applyFont="1" applyBorder="1" applyAlignment="1">
      <alignment horizontal="right"/>
    </xf>
    <xf numFmtId="0" fontId="11" fillId="0" borderId="5" xfId="1" applyFont="1" applyBorder="1" applyAlignment="1">
      <alignment horizontal="right"/>
    </xf>
    <xf numFmtId="0" fontId="11" fillId="0" borderId="4" xfId="1" applyFont="1" applyBorder="1" applyAlignment="1">
      <alignment horizontal="right" indent="1"/>
    </xf>
    <xf numFmtId="0" fontId="20" fillId="8" borderId="9" xfId="1" applyFont="1" applyFill="1" applyBorder="1"/>
    <xf numFmtId="0" fontId="20" fillId="8" borderId="11" xfId="1" applyFont="1" applyFill="1" applyBorder="1"/>
    <xf numFmtId="0" fontId="20" fillId="8" borderId="10" xfId="1" applyFont="1" applyFill="1" applyBorder="1"/>
    <xf numFmtId="0" fontId="22" fillId="0" borderId="11" xfId="1" applyFont="1" applyBorder="1" applyAlignment="1">
      <alignment horizontal="right"/>
    </xf>
    <xf numFmtId="0" fontId="22" fillId="0" borderId="30" xfId="1" applyFont="1" applyBorder="1" applyAlignment="1">
      <alignment horizontal="right"/>
    </xf>
    <xf numFmtId="165" fontId="22" fillId="0" borderId="11" xfId="1" applyNumberFormat="1" applyFont="1" applyBorder="1" applyAlignment="1">
      <alignment horizontal="right"/>
    </xf>
    <xf numFmtId="165" fontId="22" fillId="0" borderId="30" xfId="1" applyNumberFormat="1" applyFont="1" applyBorder="1" applyAlignment="1">
      <alignment horizontal="right"/>
    </xf>
    <xf numFmtId="9" fontId="22" fillId="0" borderId="15" xfId="2" applyFont="1" applyBorder="1" applyAlignment="1">
      <alignment horizontal="right"/>
    </xf>
    <xf numFmtId="9" fontId="22" fillId="0" borderId="11" xfId="2" applyFont="1" applyBorder="1" applyAlignment="1">
      <alignment horizontal="right"/>
    </xf>
    <xf numFmtId="9" fontId="22" fillId="0" borderId="10" xfId="2" applyFont="1" applyBorder="1" applyAlignment="1">
      <alignment horizontal="right"/>
    </xf>
    <xf numFmtId="0" fontId="12" fillId="0" borderId="9" xfId="1" applyFont="1" applyBorder="1"/>
    <xf numFmtId="0" fontId="12" fillId="0" borderId="11" xfId="1" applyFont="1" applyBorder="1"/>
    <xf numFmtId="0" fontId="12" fillId="0" borderId="10" xfId="1" applyFont="1" applyBorder="1"/>
    <xf numFmtId="0" fontId="11" fillId="0" borderId="59" xfId="1" applyFont="1" applyBorder="1" applyAlignment="1">
      <alignment horizontal="center"/>
    </xf>
    <xf numFmtId="0" fontId="11" fillId="0" borderId="33" xfId="1" applyFont="1" applyBorder="1" applyAlignment="1">
      <alignment horizontal="center"/>
    </xf>
    <xf numFmtId="0" fontId="11" fillId="0" borderId="60" xfId="1" applyFont="1" applyBorder="1" applyAlignment="1">
      <alignment horizontal="center"/>
    </xf>
    <xf numFmtId="49" fontId="11" fillId="0" borderId="45" xfId="0" applyNumberFormat="1" applyFont="1" applyBorder="1" applyAlignment="1" applyProtection="1">
      <alignment horizontal="center"/>
      <protection locked="0"/>
    </xf>
    <xf numFmtId="0" fontId="11" fillId="0" borderId="34" xfId="0" applyFont="1" applyBorder="1" applyAlignment="1" applyProtection="1">
      <alignment horizontal="center"/>
      <protection locked="0"/>
    </xf>
    <xf numFmtId="49" fontId="11" fillId="0" borderId="34" xfId="0" applyNumberFormat="1" applyFont="1" applyBorder="1" applyAlignment="1" applyProtection="1">
      <alignment horizontal="center"/>
      <protection locked="0"/>
    </xf>
    <xf numFmtId="2" fontId="11" fillId="3" borderId="34" xfId="1" applyNumberFormat="1" applyFont="1" applyFill="1" applyBorder="1" applyAlignment="1" applyProtection="1">
      <alignment horizontal="center"/>
      <protection locked="0"/>
    </xf>
    <xf numFmtId="165" fontId="11" fillId="0" borderId="34" xfId="1" applyNumberFormat="1" applyFont="1" applyBorder="1" applyAlignment="1">
      <alignment horizontal="center"/>
    </xf>
    <xf numFmtId="49" fontId="69" fillId="0" borderId="34" xfId="1" applyNumberFormat="1" applyFont="1" applyBorder="1" applyAlignment="1" applyProtection="1">
      <alignment horizontal="center"/>
      <protection locked="0"/>
    </xf>
    <xf numFmtId="0" fontId="69" fillId="10" borderId="34" xfId="1" applyFont="1" applyFill="1" applyBorder="1" applyAlignment="1" applyProtection="1">
      <alignment horizontal="center"/>
      <protection locked="0"/>
    </xf>
    <xf numFmtId="165" fontId="11" fillId="0" borderId="38" xfId="1" applyNumberFormat="1" applyFont="1" applyBorder="1" applyAlignment="1">
      <alignment horizontal="center"/>
    </xf>
    <xf numFmtId="49" fontId="36" fillId="0" borderId="34" xfId="1" applyNumberFormat="1" applyFont="1" applyBorder="1" applyAlignment="1" applyProtection="1">
      <alignment horizontal="center"/>
      <protection locked="0"/>
    </xf>
    <xf numFmtId="0" fontId="36" fillId="10" borderId="34" xfId="1" applyFont="1" applyFill="1" applyBorder="1" applyAlignment="1" applyProtection="1">
      <alignment horizontal="center"/>
      <protection locked="0"/>
    </xf>
    <xf numFmtId="49" fontId="20" fillId="8" borderId="9" xfId="1" applyNumberFormat="1" applyFont="1" applyFill="1" applyBorder="1"/>
    <xf numFmtId="49" fontId="20" fillId="8" borderId="30" xfId="1" applyNumberFormat="1" applyFont="1" applyFill="1" applyBorder="1"/>
    <xf numFmtId="49" fontId="22" fillId="0" borderId="35" xfId="1" applyNumberFormat="1" applyFont="1" applyBorder="1" applyAlignment="1">
      <alignment horizontal="center"/>
    </xf>
    <xf numFmtId="0" fontId="22" fillId="0" borderId="35" xfId="1" applyFont="1" applyBorder="1" applyAlignment="1">
      <alignment horizontal="center"/>
    </xf>
    <xf numFmtId="165" fontId="22" fillId="0" borderId="35" xfId="1" applyNumberFormat="1" applyFont="1" applyBorder="1" applyAlignment="1">
      <alignment horizontal="center"/>
    </xf>
    <xf numFmtId="49" fontId="20" fillId="8" borderId="15" xfId="1" applyNumberFormat="1" applyFont="1" applyFill="1" applyBorder="1"/>
    <xf numFmtId="49" fontId="20" fillId="8" borderId="11" xfId="1" applyNumberFormat="1" applyFont="1" applyFill="1" applyBorder="1"/>
    <xf numFmtId="165" fontId="22" fillId="0" borderId="61" xfId="1" applyNumberFormat="1" applyFont="1" applyBorder="1" applyAlignment="1">
      <alignment horizontal="center"/>
    </xf>
    <xf numFmtId="165" fontId="22" fillId="0" borderId="11" xfId="1" applyNumberFormat="1" applyFont="1" applyBorder="1" applyAlignment="1">
      <alignment horizontal="center"/>
    </xf>
    <xf numFmtId="165" fontId="22" fillId="0" borderId="10" xfId="1" applyNumberFormat="1" applyFont="1" applyBorder="1" applyAlignment="1">
      <alignment horizontal="center"/>
    </xf>
    <xf numFmtId="0" fontId="11" fillId="0" borderId="45" xfId="1" applyFont="1" applyBorder="1" applyAlignment="1">
      <alignment horizontal="center"/>
    </xf>
    <xf numFmtId="0" fontId="11" fillId="0" borderId="34" xfId="1" applyFont="1" applyBorder="1" applyAlignment="1">
      <alignment horizontal="center"/>
    </xf>
    <xf numFmtId="49" fontId="11" fillId="11" borderId="34" xfId="1" applyNumberFormat="1" applyFont="1" applyFill="1" applyBorder="1" applyAlignment="1" applyProtection="1">
      <alignment horizontal="center"/>
      <protection locked="0"/>
    </xf>
    <xf numFmtId="0" fontId="11" fillId="3" borderId="34" xfId="1" applyFont="1" applyFill="1" applyBorder="1" applyAlignment="1" applyProtection="1">
      <alignment horizontal="center"/>
      <protection locked="0"/>
    </xf>
    <xf numFmtId="0" fontId="11" fillId="0" borderId="38" xfId="1" applyFont="1" applyBorder="1" applyAlignment="1">
      <alignment horizontal="center"/>
    </xf>
    <xf numFmtId="49" fontId="11" fillId="0" borderId="34" xfId="1" applyNumberFormat="1" applyFont="1" applyBorder="1" applyAlignment="1">
      <alignment horizontal="center"/>
    </xf>
    <xf numFmtId="0" fontId="11" fillId="11" borderId="34" xfId="1" applyFont="1" applyFill="1" applyBorder="1" applyAlignment="1" applyProtection="1">
      <alignment horizontal="center"/>
      <protection locked="0"/>
    </xf>
    <xf numFmtId="165" fontId="22" fillId="0" borderId="9" xfId="1" applyNumberFormat="1" applyFont="1" applyBorder="1" applyAlignment="1">
      <alignment horizontal="center"/>
    </xf>
    <xf numFmtId="0" fontId="12" fillId="7" borderId="9" xfId="1" applyFont="1" applyFill="1" applyBorder="1" applyAlignment="1">
      <alignment horizontal="left"/>
    </xf>
    <xf numFmtId="0" fontId="12" fillId="7" borderId="11" xfId="1" applyFont="1" applyFill="1" applyBorder="1" applyAlignment="1">
      <alignment horizontal="left"/>
    </xf>
    <xf numFmtId="0" fontId="12" fillId="7" borderId="10" xfId="1" applyFont="1" applyFill="1" applyBorder="1" applyAlignment="1">
      <alignment horizontal="left"/>
    </xf>
    <xf numFmtId="0" fontId="12" fillId="0" borderId="11" xfId="1" applyFont="1" applyBorder="1" applyAlignment="1">
      <alignment horizontal="center"/>
    </xf>
    <xf numFmtId="0" fontId="12" fillId="0" borderId="10" xfId="1" applyFont="1" applyBorder="1" applyAlignment="1">
      <alignment horizontal="center"/>
    </xf>
    <xf numFmtId="0" fontId="11" fillId="0" borderId="7" xfId="1" applyFont="1" applyBorder="1" applyAlignment="1">
      <alignment horizontal="center"/>
    </xf>
    <xf numFmtId="0" fontId="11" fillId="0" borderId="7" xfId="1" applyFont="1" applyBorder="1" applyAlignment="1">
      <alignment horizontal="left"/>
    </xf>
    <xf numFmtId="0" fontId="11" fillId="0" borderId="8" xfId="1" applyFont="1" applyBorder="1" applyAlignment="1">
      <alignment horizontal="left"/>
    </xf>
    <xf numFmtId="165" fontId="11" fillId="0" borderId="7" xfId="1" applyNumberFormat="1" applyFont="1" applyBorder="1" applyAlignment="1">
      <alignment horizontal="center"/>
    </xf>
    <xf numFmtId="165" fontId="11" fillId="0" borderId="8" xfId="1" applyNumberFormat="1" applyFont="1" applyBorder="1" applyAlignment="1">
      <alignment horizontal="center"/>
    </xf>
    <xf numFmtId="0" fontId="11" fillId="0" borderId="12" xfId="1" applyFont="1" applyBorder="1" applyAlignment="1">
      <alignment horizontal="left"/>
    </xf>
    <xf numFmtId="0" fontId="11" fillId="0" borderId="4" xfId="1" applyFont="1" applyBorder="1" applyAlignment="1">
      <alignment horizontal="left"/>
    </xf>
    <xf numFmtId="165" fontId="11" fillId="0" borderId="0" xfId="1" applyNumberFormat="1" applyFont="1" applyAlignment="1">
      <alignment horizontal="center"/>
    </xf>
    <xf numFmtId="165" fontId="11" fillId="0" borderId="5" xfId="1" applyNumberFormat="1" applyFont="1" applyBorder="1" applyAlignment="1">
      <alignment horizontal="center"/>
    </xf>
    <xf numFmtId="165" fontId="11" fillId="0" borderId="12" xfId="1" applyNumberFormat="1" applyFont="1" applyBorder="1" applyAlignment="1">
      <alignment horizontal="center"/>
    </xf>
    <xf numFmtId="165" fontId="11" fillId="0" borderId="4" xfId="1" applyNumberFormat="1" applyFont="1" applyBorder="1" applyAlignment="1">
      <alignment horizontal="center"/>
    </xf>
    <xf numFmtId="0" fontId="11" fillId="0" borderId="5" xfId="1" applyFont="1" applyBorder="1" applyAlignment="1">
      <alignment horizontal="left"/>
    </xf>
    <xf numFmtId="0" fontId="11" fillId="0" borderId="3" xfId="1" applyFont="1" applyBorder="1" applyAlignment="1">
      <alignment horizontal="center"/>
    </xf>
    <xf numFmtId="0" fontId="11" fillId="0" borderId="12" xfId="1" applyFont="1" applyBorder="1" applyAlignment="1">
      <alignment horizontal="center"/>
    </xf>
    <xf numFmtId="0" fontId="34" fillId="2" borderId="11" xfId="1" applyFont="1" applyFill="1" applyBorder="1" applyAlignment="1">
      <alignment horizontal="center"/>
    </xf>
    <xf numFmtId="0" fontId="12" fillId="11" borderId="0" xfId="0" applyFont="1" applyFill="1" applyAlignment="1" applyProtection="1">
      <alignment horizontal="center"/>
      <protection locked="0"/>
    </xf>
    <xf numFmtId="0" fontId="12" fillId="11" borderId="5" xfId="0" applyFont="1" applyFill="1" applyBorder="1" applyAlignment="1" applyProtection="1">
      <alignment horizontal="center"/>
      <protection locked="0"/>
    </xf>
    <xf numFmtId="0" fontId="12" fillId="11" borderId="17" xfId="0" applyFont="1" applyFill="1" applyBorder="1" applyAlignment="1" applyProtection="1">
      <alignment horizontal="center"/>
      <protection locked="0"/>
    </xf>
    <xf numFmtId="0" fontId="12" fillId="11" borderId="12" xfId="0" applyFont="1" applyFill="1" applyBorder="1" applyAlignment="1" applyProtection="1">
      <alignment horizontal="center"/>
      <protection locked="0"/>
    </xf>
    <xf numFmtId="0" fontId="12" fillId="11" borderId="13" xfId="0" applyFont="1" applyFill="1" applyBorder="1" applyAlignment="1" applyProtection="1">
      <alignment horizontal="center"/>
      <protection locked="0"/>
    </xf>
    <xf numFmtId="0" fontId="12" fillId="11" borderId="4" xfId="0" applyFont="1" applyFill="1" applyBorder="1" applyAlignment="1" applyProtection="1">
      <alignment horizontal="center"/>
      <protection locked="0"/>
    </xf>
    <xf numFmtId="0" fontId="12" fillId="11" borderId="3" xfId="0" applyFont="1" applyFill="1" applyBorder="1" applyAlignment="1" applyProtection="1">
      <alignment horizontal="center"/>
      <protection locked="0"/>
    </xf>
    <xf numFmtId="0" fontId="12" fillId="11" borderId="14" xfId="0" applyFont="1" applyFill="1" applyBorder="1" applyAlignment="1" applyProtection="1">
      <alignment horizontal="center"/>
      <protection locked="0"/>
    </xf>
    <xf numFmtId="0" fontId="12" fillId="11" borderId="1" xfId="0" applyFont="1" applyFill="1" applyBorder="1" applyAlignment="1" applyProtection="1">
      <alignment horizontal="center"/>
      <protection locked="0"/>
    </xf>
    <xf numFmtId="165" fontId="11" fillId="0" borderId="9" xfId="0" applyNumberFormat="1" applyFont="1" applyBorder="1" applyAlignment="1">
      <alignment horizontal="center"/>
    </xf>
    <xf numFmtId="165" fontId="11" fillId="0" borderId="11" xfId="0" applyNumberFormat="1" applyFont="1" applyBorder="1" applyAlignment="1">
      <alignment horizontal="center"/>
    </xf>
    <xf numFmtId="165" fontId="11" fillId="0" borderId="10" xfId="0" applyNumberFormat="1" applyFont="1" applyBorder="1" applyAlignment="1">
      <alignment horizontal="center"/>
    </xf>
    <xf numFmtId="0" fontId="20" fillId="12" borderId="9" xfId="0" applyFont="1" applyFill="1" applyBorder="1" applyAlignment="1">
      <alignment horizontal="left"/>
    </xf>
    <xf numFmtId="0" fontId="20" fillId="12" borderId="11" xfId="0" applyFont="1" applyFill="1" applyBorder="1" applyAlignment="1">
      <alignment horizontal="left"/>
    </xf>
    <xf numFmtId="0" fontId="20" fillId="12" borderId="10" xfId="0" applyFont="1" applyFill="1" applyBorder="1" applyAlignment="1">
      <alignment horizontal="left"/>
    </xf>
    <xf numFmtId="165" fontId="11" fillId="0" borderId="0" xfId="0" applyNumberFormat="1" applyFont="1" applyAlignment="1">
      <alignment horizontal="right"/>
    </xf>
    <xf numFmtId="165" fontId="11" fillId="0" borderId="5" xfId="0" applyNumberFormat="1" applyFont="1" applyBorder="1" applyAlignment="1">
      <alignment horizontal="right"/>
    </xf>
    <xf numFmtId="165" fontId="11" fillId="0" borderId="12" xfId="0" applyNumberFormat="1" applyFont="1" applyBorder="1" applyAlignment="1">
      <alignment horizontal="right"/>
    </xf>
    <xf numFmtId="165" fontId="11" fillId="0" borderId="4" xfId="0" applyNumberFormat="1" applyFont="1" applyBorder="1" applyAlignment="1">
      <alignment horizontal="right"/>
    </xf>
    <xf numFmtId="165" fontId="11" fillId="0" borderId="2" xfId="0" applyNumberFormat="1" applyFont="1" applyBorder="1" applyAlignment="1">
      <alignment horizontal="center"/>
    </xf>
    <xf numFmtId="2" fontId="11" fillId="3" borderId="14" xfId="0" applyNumberFormat="1" applyFont="1" applyFill="1" applyBorder="1" applyAlignment="1" applyProtection="1">
      <alignment horizontal="center"/>
      <protection locked="0"/>
    </xf>
    <xf numFmtId="2" fontId="11" fillId="3" borderId="0" xfId="0" applyNumberFormat="1" applyFont="1" applyFill="1" applyAlignment="1" applyProtection="1">
      <alignment horizontal="center"/>
      <protection locked="0"/>
    </xf>
    <xf numFmtId="0" fontId="12" fillId="11" borderId="2" xfId="0" applyFont="1" applyFill="1" applyBorder="1" applyAlignment="1" applyProtection="1">
      <alignment horizontal="center"/>
      <protection locked="0"/>
    </xf>
    <xf numFmtId="0" fontId="26" fillId="0" borderId="0" xfId="0" applyFont="1" applyAlignment="1">
      <alignment horizontal="center"/>
    </xf>
    <xf numFmtId="0" fontId="26" fillId="0" borderId="1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2" fontId="12" fillId="0" borderId="12" xfId="0" applyNumberFormat="1" applyFont="1" applyBorder="1" applyAlignment="1">
      <alignment horizontal="center"/>
    </xf>
    <xf numFmtId="2" fontId="12" fillId="0" borderId="4" xfId="0" applyNumberFormat="1" applyFont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2" fontId="12" fillId="0" borderId="3" xfId="0" applyNumberFormat="1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1" fontId="11" fillId="11" borderId="0" xfId="0" applyNumberFormat="1" applyFont="1" applyFill="1" applyAlignment="1" applyProtection="1">
      <alignment horizontal="center"/>
      <protection locked="0"/>
    </xf>
    <xf numFmtId="1" fontId="11" fillId="11" borderId="5" xfId="0" applyNumberFormat="1" applyFont="1" applyFill="1" applyBorder="1" applyAlignment="1" applyProtection="1">
      <alignment horizontal="center"/>
      <protection locked="0"/>
    </xf>
    <xf numFmtId="1" fontId="11" fillId="11" borderId="12" xfId="0" applyNumberFormat="1" applyFont="1" applyFill="1" applyBorder="1" applyAlignment="1" applyProtection="1">
      <alignment horizontal="center"/>
      <protection locked="0"/>
    </xf>
    <xf numFmtId="1" fontId="11" fillId="11" borderId="4" xfId="0" applyNumberFormat="1" applyFont="1" applyFill="1" applyBorder="1" applyAlignment="1" applyProtection="1">
      <alignment horizontal="center"/>
      <protection locked="0"/>
    </xf>
    <xf numFmtId="0" fontId="12" fillId="0" borderId="6" xfId="0" applyFont="1" applyBorder="1" applyAlignment="1">
      <alignment horizontal="left"/>
    </xf>
    <xf numFmtId="0" fontId="12" fillId="0" borderId="7" xfId="0" applyFont="1" applyBorder="1" applyAlignment="1">
      <alignment horizontal="left"/>
    </xf>
    <xf numFmtId="0" fontId="12" fillId="0" borderId="8" xfId="0" applyFont="1" applyBorder="1" applyAlignment="1">
      <alignment horizontal="left"/>
    </xf>
    <xf numFmtId="0" fontId="12" fillId="0" borderId="2" xfId="0" applyFont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26" fillId="0" borderId="2" xfId="0" applyFont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3" fillId="0" borderId="5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5" xfId="0" applyFont="1" applyBorder="1" applyAlignment="1">
      <alignment horizontal="center"/>
    </xf>
    <xf numFmtId="2" fontId="11" fillId="3" borderId="2" xfId="0" applyNumberFormat="1" applyFont="1" applyFill="1" applyBorder="1" applyAlignment="1" applyProtection="1">
      <alignment horizontal="center"/>
      <protection locked="0"/>
    </xf>
    <xf numFmtId="2" fontId="11" fillId="3" borderId="1" xfId="0" applyNumberFormat="1" applyFont="1" applyFill="1" applyBorder="1" applyAlignment="1" applyProtection="1">
      <alignment horizontal="center"/>
      <protection locked="0"/>
    </xf>
    <xf numFmtId="165" fontId="11" fillId="0" borderId="0" xfId="0" applyNumberFormat="1" applyFont="1" applyAlignment="1">
      <alignment horizontal="center"/>
    </xf>
    <xf numFmtId="0" fontId="20" fillId="9" borderId="6" xfId="0" applyFont="1" applyFill="1" applyBorder="1" applyAlignment="1">
      <alignment horizontal="left" vertical="center"/>
    </xf>
    <xf numFmtId="0" fontId="20" fillId="9" borderId="7" xfId="0" applyFont="1" applyFill="1" applyBorder="1" applyAlignment="1">
      <alignment horizontal="left" vertical="center"/>
    </xf>
    <xf numFmtId="0" fontId="20" fillId="9" borderId="8" xfId="0" applyFont="1" applyFill="1" applyBorder="1" applyAlignment="1">
      <alignment horizontal="left" vertical="center"/>
    </xf>
    <xf numFmtId="0" fontId="20" fillId="9" borderId="2" xfId="0" applyFont="1" applyFill="1" applyBorder="1" applyAlignment="1">
      <alignment horizontal="left" vertical="center"/>
    </xf>
    <xf numFmtId="0" fontId="20" fillId="9" borderId="0" xfId="0" applyFont="1" applyFill="1" applyAlignment="1">
      <alignment horizontal="left" vertical="center"/>
    </xf>
    <xf numFmtId="0" fontId="20" fillId="9" borderId="5" xfId="0" applyFont="1" applyFill="1" applyBorder="1" applyAlignment="1">
      <alignment horizontal="left" vertical="center"/>
    </xf>
    <xf numFmtId="0" fontId="20" fillId="9" borderId="3" xfId="0" applyFont="1" applyFill="1" applyBorder="1" applyAlignment="1">
      <alignment horizontal="left" vertical="center"/>
    </xf>
    <xf numFmtId="0" fontId="20" fillId="9" borderId="12" xfId="0" applyFont="1" applyFill="1" applyBorder="1" applyAlignment="1">
      <alignment horizontal="left" vertical="center"/>
    </xf>
    <xf numFmtId="0" fontId="20" fillId="9" borderId="4" xfId="0" applyFont="1" applyFill="1" applyBorder="1" applyAlignment="1">
      <alignment horizontal="left" vertical="center"/>
    </xf>
    <xf numFmtId="2" fontId="11" fillId="3" borderId="17" xfId="0" applyNumberFormat="1" applyFont="1" applyFill="1" applyBorder="1" applyAlignment="1" applyProtection="1">
      <alignment horizontal="center"/>
      <protection locked="0"/>
    </xf>
    <xf numFmtId="2" fontId="11" fillId="3" borderId="13" xfId="0" applyNumberFormat="1" applyFont="1" applyFill="1" applyBorder="1" applyAlignment="1" applyProtection="1">
      <alignment horizontal="center"/>
      <protection locked="0"/>
    </xf>
    <xf numFmtId="2" fontId="11" fillId="3" borderId="12" xfId="0" applyNumberFormat="1" applyFont="1" applyFill="1" applyBorder="1" applyAlignment="1" applyProtection="1">
      <alignment horizontal="center"/>
      <protection locked="0"/>
    </xf>
    <xf numFmtId="0" fontId="11" fillId="3" borderId="2" xfId="0" applyFont="1" applyFill="1" applyBorder="1" applyAlignment="1" applyProtection="1">
      <alignment horizontal="center"/>
      <protection locked="0"/>
    </xf>
    <xf numFmtId="0" fontId="11" fillId="3" borderId="1" xfId="0" applyFont="1" applyFill="1" applyBorder="1" applyAlignment="1" applyProtection="1">
      <alignment horizontal="center"/>
      <protection locked="0"/>
    </xf>
    <xf numFmtId="165" fontId="11" fillId="0" borderId="12" xfId="0" applyNumberFormat="1" applyFont="1" applyBorder="1" applyAlignment="1">
      <alignment horizontal="center"/>
    </xf>
    <xf numFmtId="165" fontId="11" fillId="0" borderId="4" xfId="0" applyNumberFormat="1" applyFont="1" applyBorder="1" applyAlignment="1">
      <alignment horizontal="center"/>
    </xf>
    <xf numFmtId="2" fontId="11" fillId="3" borderId="3" xfId="0" applyNumberFormat="1" applyFont="1" applyFill="1" applyBorder="1" applyAlignment="1" applyProtection="1">
      <alignment horizontal="center"/>
      <protection locked="0"/>
    </xf>
    <xf numFmtId="0" fontId="11" fillId="3" borderId="14" xfId="0" applyFont="1" applyFill="1" applyBorder="1" applyAlignment="1" applyProtection="1">
      <alignment horizontal="center"/>
      <protection locked="0"/>
    </xf>
    <xf numFmtId="0" fontId="11" fillId="3" borderId="0" xfId="0" applyFont="1" applyFill="1" applyAlignment="1" applyProtection="1">
      <alignment horizontal="center"/>
      <protection locked="0"/>
    </xf>
    <xf numFmtId="0" fontId="20" fillId="0" borderId="2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33" fillId="0" borderId="6" xfId="0" applyFont="1" applyBorder="1" applyAlignment="1">
      <alignment horizontal="center"/>
    </xf>
    <xf numFmtId="0" fontId="33" fillId="0" borderId="7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165" fontId="37" fillId="0" borderId="0" xfId="2" applyNumberFormat="1" applyFont="1" applyFill="1" applyBorder="1" applyAlignment="1">
      <alignment horizontal="center"/>
    </xf>
    <xf numFmtId="165" fontId="37" fillId="0" borderId="5" xfId="2" applyNumberFormat="1" applyFont="1" applyFill="1" applyBorder="1" applyAlignment="1">
      <alignment horizontal="center"/>
    </xf>
    <xf numFmtId="165" fontId="37" fillId="0" borderId="12" xfId="2" applyNumberFormat="1" applyFont="1" applyFill="1" applyBorder="1" applyAlignment="1">
      <alignment horizontal="center"/>
    </xf>
    <xf numFmtId="165" fontId="37" fillId="0" borderId="4" xfId="2" applyNumberFormat="1" applyFont="1" applyFill="1" applyBorder="1" applyAlignment="1">
      <alignment horizontal="center"/>
    </xf>
    <xf numFmtId="2" fontId="36" fillId="11" borderId="0" xfId="1" applyNumberFormat="1" applyFont="1" applyFill="1" applyProtection="1">
      <protection locked="0"/>
    </xf>
    <xf numFmtId="2" fontId="36" fillId="11" borderId="14" xfId="1" applyNumberFormat="1" applyFont="1" applyFill="1" applyBorder="1" applyProtection="1">
      <protection locked="0"/>
    </xf>
    <xf numFmtId="166" fontId="37" fillId="0" borderId="3" xfId="2" applyNumberFormat="1" applyFont="1" applyFill="1" applyBorder="1" applyAlignment="1">
      <alignment horizontal="center"/>
    </xf>
    <xf numFmtId="166" fontId="37" fillId="0" borderId="12" xfId="2" applyNumberFormat="1" applyFont="1" applyFill="1" applyBorder="1" applyAlignment="1">
      <alignment horizontal="center"/>
    </xf>
    <xf numFmtId="166" fontId="37" fillId="0" borderId="4" xfId="2" applyNumberFormat="1" applyFont="1" applyFill="1" applyBorder="1" applyAlignment="1">
      <alignment horizontal="center"/>
    </xf>
    <xf numFmtId="166" fontId="37" fillId="0" borderId="2" xfId="2" applyNumberFormat="1" applyFont="1" applyFill="1" applyBorder="1" applyAlignment="1">
      <alignment horizontal="center"/>
    </xf>
    <xf numFmtId="166" fontId="37" fillId="0" borderId="0" xfId="2" applyNumberFormat="1" applyFont="1" applyFill="1" applyBorder="1" applyAlignment="1">
      <alignment horizontal="center"/>
    </xf>
    <xf numFmtId="166" fontId="37" fillId="0" borderId="5" xfId="2" applyNumberFormat="1" applyFont="1" applyFill="1" applyBorder="1" applyAlignment="1">
      <alignment horizontal="center"/>
    </xf>
    <xf numFmtId="165" fontId="38" fillId="0" borderId="15" xfId="1" applyNumberFormat="1" applyFont="1" applyBorder="1" applyAlignment="1">
      <alignment horizontal="center"/>
    </xf>
    <xf numFmtId="165" fontId="38" fillId="0" borderId="11" xfId="1" applyNumberFormat="1" applyFont="1" applyBorder="1" applyAlignment="1">
      <alignment horizontal="center"/>
    </xf>
    <xf numFmtId="165" fontId="38" fillId="0" borderId="30" xfId="1" applyNumberFormat="1" applyFont="1" applyBorder="1" applyAlignment="1">
      <alignment horizontal="center"/>
    </xf>
    <xf numFmtId="165" fontId="38" fillId="0" borderId="10" xfId="1" applyNumberFormat="1" applyFont="1" applyBorder="1" applyAlignment="1">
      <alignment horizontal="center"/>
    </xf>
    <xf numFmtId="2" fontId="36" fillId="0" borderId="2" xfId="1" applyNumberFormat="1" applyFont="1" applyBorder="1"/>
    <xf numFmtId="2" fontId="36" fillId="0" borderId="0" xfId="1" applyNumberFormat="1" applyFont="1"/>
    <xf numFmtId="2" fontId="36" fillId="0" borderId="1" xfId="1" applyNumberFormat="1" applyFont="1" applyBorder="1"/>
    <xf numFmtId="2" fontId="36" fillId="0" borderId="3" xfId="1" applyNumberFormat="1" applyFont="1" applyBorder="1"/>
    <xf numFmtId="2" fontId="36" fillId="0" borderId="12" xfId="1" applyNumberFormat="1" applyFont="1" applyBorder="1"/>
    <xf numFmtId="2" fontId="36" fillId="0" borderId="13" xfId="1" applyNumberFormat="1" applyFont="1" applyBorder="1"/>
    <xf numFmtId="0" fontId="37" fillId="0" borderId="6" xfId="1" applyFont="1" applyBorder="1" applyAlignment="1">
      <alignment horizontal="center" vertical="center"/>
    </xf>
    <xf numFmtId="0" fontId="37" fillId="0" borderId="7" xfId="1" applyFont="1" applyBorder="1" applyAlignment="1">
      <alignment horizontal="center" vertical="center"/>
    </xf>
    <xf numFmtId="0" fontId="37" fillId="0" borderId="8" xfId="1" applyFont="1" applyBorder="1" applyAlignment="1">
      <alignment horizontal="center" vertical="center"/>
    </xf>
    <xf numFmtId="0" fontId="37" fillId="0" borderId="2" xfId="1" applyFont="1" applyBorder="1" applyAlignment="1">
      <alignment horizontal="center" vertical="center"/>
    </xf>
    <xf numFmtId="0" fontId="37" fillId="0" borderId="0" xfId="1" applyFont="1" applyAlignment="1">
      <alignment horizontal="center" vertical="center"/>
    </xf>
    <xf numFmtId="0" fontId="37" fillId="0" borderId="1" xfId="1" applyFont="1" applyBorder="1" applyAlignment="1">
      <alignment horizontal="center" vertical="center"/>
    </xf>
    <xf numFmtId="0" fontId="37" fillId="0" borderId="14" xfId="1" applyFont="1" applyBorder="1" applyAlignment="1">
      <alignment horizontal="center" vertical="center"/>
    </xf>
    <xf numFmtId="0" fontId="37" fillId="0" borderId="5" xfId="1" applyFont="1" applyBorder="1" applyAlignment="1">
      <alignment horizontal="center" vertical="center"/>
    </xf>
    <xf numFmtId="0" fontId="37" fillId="0" borderId="3" xfId="1" applyFont="1" applyBorder="1" applyAlignment="1">
      <alignment horizontal="center" vertical="center"/>
    </xf>
    <xf numFmtId="0" fontId="37" fillId="0" borderId="12" xfId="1" applyFont="1" applyBorder="1" applyAlignment="1">
      <alignment horizontal="center" vertical="center"/>
    </xf>
    <xf numFmtId="0" fontId="37" fillId="0" borderId="4" xfId="1" applyFont="1" applyBorder="1" applyAlignment="1">
      <alignment horizontal="center" vertical="center"/>
    </xf>
    <xf numFmtId="0" fontId="38" fillId="0" borderId="9" xfId="1" applyFont="1" applyBorder="1" applyAlignment="1">
      <alignment horizontal="center"/>
    </xf>
    <xf numFmtId="0" fontId="38" fillId="0" borderId="11" xfId="1" applyFont="1" applyBorder="1" applyAlignment="1">
      <alignment horizontal="center"/>
    </xf>
    <xf numFmtId="0" fontId="38" fillId="0" borderId="10" xfId="1" applyFont="1" applyBorder="1" applyAlignment="1">
      <alignment horizontal="center"/>
    </xf>
    <xf numFmtId="2" fontId="36" fillId="11" borderId="2" xfId="1" applyNumberFormat="1" applyFont="1" applyFill="1" applyBorder="1" applyAlignment="1" applyProtection="1">
      <alignment horizontal="center"/>
      <protection locked="0"/>
    </xf>
    <xf numFmtId="2" fontId="36" fillId="11" borderId="0" xfId="1" applyNumberFormat="1" applyFont="1" applyFill="1" applyAlignment="1" applyProtection="1">
      <alignment horizontal="center"/>
      <protection locked="0"/>
    </xf>
    <xf numFmtId="2" fontId="36" fillId="11" borderId="3" xfId="1" applyNumberFormat="1" applyFont="1" applyFill="1" applyBorder="1" applyAlignment="1" applyProtection="1">
      <alignment horizontal="center"/>
      <protection locked="0"/>
    </xf>
    <xf numFmtId="2" fontId="36" fillId="11" borderId="12" xfId="1" applyNumberFormat="1" applyFont="1" applyFill="1" applyBorder="1" applyAlignment="1" applyProtection="1">
      <alignment horizontal="center"/>
      <protection locked="0"/>
    </xf>
    <xf numFmtId="165" fontId="40" fillId="0" borderId="9" xfId="1" applyNumberFormat="1" applyFont="1" applyBorder="1" applyAlignment="1">
      <alignment horizontal="center"/>
    </xf>
    <xf numFmtId="165" fontId="40" fillId="0" borderId="11" xfId="1" applyNumberFormat="1" applyFont="1" applyBorder="1" applyAlignment="1">
      <alignment horizontal="center"/>
    </xf>
    <xf numFmtId="165" fontId="40" fillId="0" borderId="10" xfId="1" applyNumberFormat="1" applyFont="1" applyBorder="1" applyAlignment="1">
      <alignment horizontal="center"/>
    </xf>
    <xf numFmtId="0" fontId="37" fillId="0" borderId="6" xfId="1" applyFont="1" applyBorder="1" applyAlignment="1">
      <alignment horizontal="center" wrapText="1"/>
    </xf>
    <xf numFmtId="0" fontId="37" fillId="0" borderId="7" xfId="1" applyFont="1" applyBorder="1" applyAlignment="1">
      <alignment horizontal="center" wrapText="1"/>
    </xf>
    <xf numFmtId="0" fontId="37" fillId="0" borderId="8" xfId="1" applyFont="1" applyBorder="1" applyAlignment="1">
      <alignment horizontal="center" wrapText="1"/>
    </xf>
    <xf numFmtId="2" fontId="36" fillId="0" borderId="14" xfId="1" applyNumberFormat="1" applyFont="1" applyBorder="1"/>
    <xf numFmtId="2" fontId="36" fillId="0" borderId="5" xfId="1" applyNumberFormat="1" applyFont="1" applyBorder="1"/>
    <xf numFmtId="0" fontId="38" fillId="7" borderId="9" xfId="1" applyFont="1" applyFill="1" applyBorder="1" applyAlignment="1">
      <alignment horizontal="left" vertical="center"/>
    </xf>
    <xf numFmtId="0" fontId="38" fillId="7" borderId="11" xfId="1" applyFont="1" applyFill="1" applyBorder="1" applyAlignment="1">
      <alignment horizontal="left" vertical="center"/>
    </xf>
    <xf numFmtId="165" fontId="38" fillId="0" borderId="9" xfId="1" applyNumberFormat="1" applyFont="1" applyBorder="1" applyAlignment="1">
      <alignment horizontal="center"/>
    </xf>
    <xf numFmtId="2" fontId="36" fillId="11" borderId="2" xfId="1" applyNumberFormat="1" applyFont="1" applyFill="1" applyBorder="1" applyProtection="1">
      <protection locked="0"/>
    </xf>
    <xf numFmtId="2" fontId="36" fillId="0" borderId="17" xfId="1" applyNumberFormat="1" applyFont="1" applyBorder="1"/>
    <xf numFmtId="2" fontId="36" fillId="11" borderId="4" xfId="1" applyNumberFormat="1" applyFont="1" applyFill="1" applyBorder="1" applyAlignment="1" applyProtection="1">
      <alignment horizontal="center"/>
      <protection locked="0"/>
    </xf>
    <xf numFmtId="0" fontId="40" fillId="0" borderId="9" xfId="1" applyFont="1" applyBorder="1" applyAlignment="1">
      <alignment horizontal="left" vertical="center"/>
    </xf>
    <xf numFmtId="0" fontId="40" fillId="0" borderId="11" xfId="1" applyFont="1" applyBorder="1" applyAlignment="1">
      <alignment horizontal="left" vertical="center"/>
    </xf>
    <xf numFmtId="2" fontId="36" fillId="11" borderId="17" xfId="1" applyNumberFormat="1" applyFont="1" applyFill="1" applyBorder="1" applyProtection="1">
      <protection locked="0"/>
    </xf>
    <xf numFmtId="2" fontId="36" fillId="11" borderId="12" xfId="1" applyNumberFormat="1" applyFont="1" applyFill="1" applyBorder="1" applyProtection="1">
      <protection locked="0"/>
    </xf>
    <xf numFmtId="0" fontId="38" fillId="7" borderId="9" xfId="1" applyFont="1" applyFill="1" applyBorder="1" applyAlignment="1">
      <alignment horizontal="left"/>
    </xf>
    <xf numFmtId="0" fontId="38" fillId="7" borderId="10" xfId="1" applyFont="1" applyFill="1" applyBorder="1" applyAlignment="1">
      <alignment horizontal="left"/>
    </xf>
    <xf numFmtId="0" fontId="38" fillId="7" borderId="10" xfId="1" applyFont="1" applyFill="1" applyBorder="1" applyAlignment="1">
      <alignment horizontal="left" vertical="center"/>
    </xf>
    <xf numFmtId="0" fontId="41" fillId="0" borderId="6" xfId="1" applyFont="1" applyBorder="1" applyAlignment="1">
      <alignment horizontal="center" vertical="center"/>
    </xf>
    <xf numFmtId="0" fontId="41" fillId="0" borderId="8" xfId="1" applyFont="1" applyBorder="1" applyAlignment="1">
      <alignment horizontal="center" vertical="center"/>
    </xf>
    <xf numFmtId="0" fontId="41" fillId="0" borderId="2" xfId="1" applyFont="1" applyBorder="1" applyAlignment="1">
      <alignment horizontal="center" vertical="center"/>
    </xf>
    <xf numFmtId="0" fontId="41" fillId="0" borderId="5" xfId="1" applyFont="1" applyBorder="1" applyAlignment="1">
      <alignment horizontal="center" vertical="center"/>
    </xf>
    <xf numFmtId="49" fontId="39" fillId="10" borderId="2" xfId="1" applyNumberFormat="1" applyFont="1" applyFill="1" applyBorder="1" applyAlignment="1">
      <alignment horizontal="center" vertical="center"/>
    </xf>
    <xf numFmtId="0" fontId="39" fillId="10" borderId="0" xfId="1" applyFont="1" applyFill="1" applyAlignment="1">
      <alignment horizontal="center" vertical="center"/>
    </xf>
    <xf numFmtId="0" fontId="36" fillId="11" borderId="3" xfId="1" applyFont="1" applyFill="1" applyBorder="1" applyAlignment="1" applyProtection="1">
      <alignment horizontal="left"/>
      <protection locked="0"/>
    </xf>
    <xf numFmtId="0" fontId="36" fillId="11" borderId="12" xfId="1" applyFont="1" applyFill="1" applyBorder="1" applyAlignment="1" applyProtection="1">
      <alignment horizontal="left"/>
      <protection locked="0"/>
    </xf>
    <xf numFmtId="0" fontId="36" fillId="11" borderId="4" xfId="1" applyFont="1" applyFill="1" applyBorder="1" applyAlignment="1" applyProtection="1">
      <alignment horizontal="left"/>
      <protection locked="0"/>
    </xf>
    <xf numFmtId="0" fontId="42" fillId="0" borderId="6" xfId="1" applyFont="1" applyBorder="1" applyAlignment="1">
      <alignment horizontal="center" wrapText="1"/>
    </xf>
    <xf numFmtId="0" fontId="42" fillId="0" borderId="7" xfId="1" applyFont="1" applyBorder="1" applyAlignment="1">
      <alignment horizontal="center" wrapText="1"/>
    </xf>
    <xf numFmtId="0" fontId="42" fillId="0" borderId="8" xfId="1" applyFont="1" applyBorder="1" applyAlignment="1">
      <alignment horizontal="center" wrapText="1"/>
    </xf>
    <xf numFmtId="0" fontId="42" fillId="0" borderId="2" xfId="1" applyFont="1" applyBorder="1" applyAlignment="1">
      <alignment horizontal="center" wrapText="1"/>
    </xf>
    <xf numFmtId="0" fontId="42" fillId="0" borderId="0" xfId="1" applyFont="1" applyAlignment="1">
      <alignment horizontal="center" wrapText="1"/>
    </xf>
    <xf numFmtId="0" fontId="42" fillId="0" borderId="5" xfId="1" applyFont="1" applyBorder="1" applyAlignment="1">
      <alignment horizontal="center" wrapText="1"/>
    </xf>
    <xf numFmtId="0" fontId="42" fillId="0" borderId="3" xfId="1" applyFont="1" applyBorder="1" applyAlignment="1">
      <alignment horizontal="center" wrapText="1"/>
    </xf>
    <xf numFmtId="0" fontId="42" fillId="0" borderId="12" xfId="1" applyFont="1" applyBorder="1" applyAlignment="1">
      <alignment horizontal="center" wrapText="1"/>
    </xf>
    <xf numFmtId="0" fontId="42" fillId="0" borderId="4" xfId="1" applyFont="1" applyBorder="1" applyAlignment="1">
      <alignment horizontal="center" wrapText="1"/>
    </xf>
    <xf numFmtId="0" fontId="36" fillId="0" borderId="6" xfId="1" applyFont="1" applyBorder="1" applyAlignment="1">
      <alignment horizontal="center"/>
    </xf>
    <xf numFmtId="0" fontId="36" fillId="0" borderId="7" xfId="1" applyFont="1" applyBorder="1" applyAlignment="1">
      <alignment horizontal="center"/>
    </xf>
    <xf numFmtId="0" fontId="36" fillId="0" borderId="8" xfId="1" applyFont="1" applyBorder="1" applyAlignment="1">
      <alignment horizontal="center"/>
    </xf>
    <xf numFmtId="49" fontId="36" fillId="11" borderId="2" xfId="1" applyNumberFormat="1" applyFont="1" applyFill="1" applyBorder="1" applyAlignment="1" applyProtection="1">
      <alignment horizontal="left"/>
      <protection locked="0"/>
    </xf>
    <xf numFmtId="49" fontId="36" fillId="11" borderId="0" xfId="1" applyNumberFormat="1" applyFont="1" applyFill="1" applyAlignment="1" applyProtection="1">
      <alignment horizontal="left"/>
      <protection locked="0"/>
    </xf>
    <xf numFmtId="49" fontId="36" fillId="11" borderId="5" xfId="1" applyNumberFormat="1" applyFont="1" applyFill="1" applyBorder="1" applyAlignment="1" applyProtection="1">
      <alignment horizontal="left"/>
      <protection locked="0"/>
    </xf>
    <xf numFmtId="49" fontId="36" fillId="11" borderId="2" xfId="1" applyNumberFormat="1" applyFont="1" applyFill="1" applyBorder="1" applyAlignment="1" applyProtection="1">
      <alignment horizontal="center"/>
      <protection locked="0"/>
    </xf>
    <xf numFmtId="49" fontId="36" fillId="11" borderId="0" xfId="1" applyNumberFormat="1" applyFont="1" applyFill="1" applyAlignment="1" applyProtection="1">
      <alignment horizontal="center"/>
      <protection locked="0"/>
    </xf>
    <xf numFmtId="49" fontId="36" fillId="11" borderId="5" xfId="1" applyNumberFormat="1" applyFont="1" applyFill="1" applyBorder="1" applyAlignment="1" applyProtection="1">
      <alignment horizontal="center"/>
      <protection locked="0"/>
    </xf>
    <xf numFmtId="0" fontId="36" fillId="11" borderId="2" xfId="1" applyFont="1" applyFill="1" applyBorder="1" applyAlignment="1" applyProtection="1">
      <alignment horizontal="left"/>
      <protection locked="0"/>
    </xf>
    <xf numFmtId="0" fontId="36" fillId="11" borderId="0" xfId="1" applyFont="1" applyFill="1" applyAlignment="1" applyProtection="1">
      <alignment horizontal="left"/>
      <protection locked="0"/>
    </xf>
    <xf numFmtId="0" fontId="36" fillId="11" borderId="5" xfId="1" applyFont="1" applyFill="1" applyBorder="1" applyAlignment="1" applyProtection="1">
      <alignment horizontal="left"/>
      <protection locked="0"/>
    </xf>
    <xf numFmtId="0" fontId="38" fillId="7" borderId="11" xfId="1" applyFont="1" applyFill="1" applyBorder="1" applyAlignment="1">
      <alignment horizontal="left"/>
    </xf>
    <xf numFmtId="49" fontId="36" fillId="11" borderId="107" xfId="1" applyNumberFormat="1" applyFont="1" applyFill="1" applyBorder="1" applyAlignment="1" applyProtection="1">
      <alignment horizontal="center"/>
      <protection locked="0"/>
    </xf>
    <xf numFmtId="49" fontId="36" fillId="11" borderId="53" xfId="1" applyNumberFormat="1" applyFont="1" applyFill="1" applyBorder="1" applyAlignment="1" applyProtection="1">
      <alignment horizontal="center"/>
      <protection locked="0"/>
    </xf>
    <xf numFmtId="49" fontId="36" fillId="11" borderId="54" xfId="1" applyNumberFormat="1" applyFont="1" applyFill="1" applyBorder="1" applyAlignment="1" applyProtection="1">
      <alignment horizontal="center"/>
      <protection locked="0"/>
    </xf>
    <xf numFmtId="49" fontId="36" fillId="11" borderId="67" xfId="1" applyNumberFormat="1" applyFont="1" applyFill="1" applyBorder="1" applyAlignment="1" applyProtection="1">
      <alignment horizontal="center"/>
      <protection locked="0"/>
    </xf>
    <xf numFmtId="49" fontId="36" fillId="11" borderId="105" xfId="1" applyNumberFormat="1" applyFont="1" applyFill="1" applyBorder="1" applyAlignment="1" applyProtection="1">
      <alignment horizontal="center"/>
      <protection locked="0"/>
    </xf>
    <xf numFmtId="49" fontId="36" fillId="11" borderId="101" xfId="1" applyNumberFormat="1" applyFont="1" applyFill="1" applyBorder="1" applyAlignment="1" applyProtection="1">
      <alignment horizontal="center"/>
      <protection locked="0"/>
    </xf>
    <xf numFmtId="49" fontId="36" fillId="11" borderId="70" xfId="1" applyNumberFormat="1" applyFont="1" applyFill="1" applyBorder="1" applyAlignment="1" applyProtection="1">
      <alignment horizontal="center"/>
      <protection locked="0"/>
    </xf>
    <xf numFmtId="49" fontId="36" fillId="11" borderId="102" xfId="1" applyNumberFormat="1" applyFont="1" applyFill="1" applyBorder="1" applyAlignment="1" applyProtection="1">
      <alignment horizontal="center"/>
      <protection locked="0"/>
    </xf>
    <xf numFmtId="49" fontId="36" fillId="11" borderId="100" xfId="1" applyNumberFormat="1" applyFont="1" applyFill="1" applyBorder="1" applyAlignment="1" applyProtection="1">
      <alignment horizontal="center"/>
      <protection locked="0"/>
    </xf>
    <xf numFmtId="0" fontId="37" fillId="0" borderId="14" xfId="0" applyFont="1" applyBorder="1" applyAlignment="1">
      <alignment horizontal="center" vertical="center"/>
    </xf>
    <xf numFmtId="0" fontId="37" fillId="0" borderId="127" xfId="0" applyFont="1" applyBorder="1" applyAlignment="1">
      <alignment horizontal="center" vertical="center"/>
    </xf>
    <xf numFmtId="0" fontId="37" fillId="0" borderId="17" xfId="0" applyFont="1" applyBorder="1" applyAlignment="1">
      <alignment horizontal="center" vertical="center"/>
    </xf>
    <xf numFmtId="0" fontId="37" fillId="0" borderId="128" xfId="0" applyFont="1" applyBorder="1" applyAlignment="1">
      <alignment horizontal="center" vertical="center"/>
    </xf>
    <xf numFmtId="49" fontId="36" fillId="11" borderId="112" xfId="1" applyNumberFormat="1" applyFont="1" applyFill="1" applyBorder="1" applyAlignment="1">
      <alignment horizontal="center" vertical="center"/>
    </xf>
    <xf numFmtId="49" fontId="36" fillId="11" borderId="3" xfId="1" applyNumberFormat="1" applyFont="1" applyFill="1" applyBorder="1" applyAlignment="1" applyProtection="1">
      <alignment horizontal="center"/>
      <protection locked="0"/>
    </xf>
    <xf numFmtId="49" fontId="36" fillId="11" borderId="12" xfId="1" applyNumberFormat="1" applyFont="1" applyFill="1" applyBorder="1" applyAlignment="1" applyProtection="1">
      <alignment horizontal="center"/>
      <protection locked="0"/>
    </xf>
    <xf numFmtId="49" fontId="36" fillId="11" borderId="4" xfId="1" applyNumberFormat="1" applyFont="1" applyFill="1" applyBorder="1" applyAlignment="1" applyProtection="1">
      <alignment horizontal="center"/>
      <protection locked="0"/>
    </xf>
    <xf numFmtId="49" fontId="38" fillId="0" borderId="9" xfId="1" applyNumberFormat="1" applyFont="1" applyBorder="1" applyAlignment="1">
      <alignment horizontal="center"/>
    </xf>
    <xf numFmtId="49" fontId="38" fillId="0" borderId="11" xfId="1" applyNumberFormat="1" applyFont="1" applyBorder="1" applyAlignment="1">
      <alignment horizontal="center"/>
    </xf>
    <xf numFmtId="49" fontId="38" fillId="0" borderId="10" xfId="1" applyNumberFormat="1" applyFont="1" applyBorder="1" applyAlignment="1">
      <alignment horizontal="center"/>
    </xf>
    <xf numFmtId="0" fontId="36" fillId="0" borderId="2" xfId="1" applyFont="1" applyBorder="1" applyAlignment="1">
      <alignment horizontal="center"/>
    </xf>
    <xf numFmtId="0" fontId="36" fillId="0" borderId="0" xfId="1" applyFont="1" applyAlignment="1">
      <alignment horizontal="center"/>
    </xf>
    <xf numFmtId="0" fontId="36" fillId="0" borderId="5" xfId="1" applyFont="1" applyBorder="1" applyAlignment="1">
      <alignment horizontal="center"/>
    </xf>
    <xf numFmtId="0" fontId="36" fillId="11" borderId="3" xfId="1" applyFont="1" applyFill="1" applyBorder="1" applyAlignment="1" applyProtection="1">
      <alignment horizontal="center"/>
      <protection locked="0"/>
    </xf>
    <xf numFmtId="0" fontId="36" fillId="11" borderId="12" xfId="1" applyFont="1" applyFill="1" applyBorder="1" applyAlignment="1" applyProtection="1">
      <alignment horizontal="center"/>
      <protection locked="0"/>
    </xf>
    <xf numFmtId="0" fontId="36" fillId="11" borderId="4" xfId="1" applyFont="1" applyFill="1" applyBorder="1" applyAlignment="1" applyProtection="1">
      <alignment horizontal="center"/>
      <protection locked="0"/>
    </xf>
    <xf numFmtId="0" fontId="36" fillId="11" borderId="2" xfId="1" applyFont="1" applyFill="1" applyBorder="1" applyAlignment="1" applyProtection="1">
      <alignment horizontal="center"/>
      <protection locked="0"/>
    </xf>
    <xf numFmtId="0" fontId="36" fillId="11" borderId="0" xfId="1" applyFont="1" applyFill="1" applyAlignment="1" applyProtection="1">
      <alignment horizontal="center"/>
      <protection locked="0"/>
    </xf>
    <xf numFmtId="0" fontId="36" fillId="11" borderId="5" xfId="1" applyFont="1" applyFill="1" applyBorder="1" applyAlignment="1" applyProtection="1">
      <alignment horizontal="center"/>
      <protection locked="0"/>
    </xf>
    <xf numFmtId="0" fontId="39" fillId="0" borderId="2" xfId="1" applyFont="1" applyBorder="1" applyAlignment="1">
      <alignment horizontal="center" vertical="center"/>
    </xf>
    <xf numFmtId="0" fontId="39" fillId="0" borderId="0" xfId="1" applyFont="1" applyAlignment="1">
      <alignment horizontal="center" vertical="center"/>
    </xf>
    <xf numFmtId="49" fontId="47" fillId="0" borderId="3" xfId="1" applyNumberFormat="1" applyFont="1" applyBorder="1" applyAlignment="1">
      <alignment horizontal="center" vertical="center"/>
    </xf>
    <xf numFmtId="49" fontId="47" fillId="0" borderId="12" xfId="1" applyNumberFormat="1" applyFont="1" applyBorder="1" applyAlignment="1">
      <alignment horizontal="center" vertical="center"/>
    </xf>
    <xf numFmtId="49" fontId="47" fillId="0" borderId="4" xfId="1" applyNumberFormat="1" applyFont="1" applyBorder="1" applyAlignment="1">
      <alignment horizontal="center" vertical="center"/>
    </xf>
    <xf numFmtId="49" fontId="36" fillId="11" borderId="2" xfId="1" applyNumberFormat="1" applyFont="1" applyFill="1" applyBorder="1" applyAlignment="1" applyProtection="1">
      <alignment horizontal="center" vertical="center"/>
      <protection locked="0"/>
    </xf>
    <xf numFmtId="49" fontId="36" fillId="11" borderId="0" xfId="1" applyNumberFormat="1" applyFont="1" applyFill="1" applyAlignment="1" applyProtection="1">
      <alignment horizontal="center" vertical="center"/>
      <protection locked="0"/>
    </xf>
    <xf numFmtId="49" fontId="36" fillId="11" borderId="5" xfId="1" applyNumberFormat="1" applyFont="1" applyFill="1" applyBorder="1" applyAlignment="1" applyProtection="1">
      <alignment horizontal="center" vertical="center"/>
      <protection locked="0"/>
    </xf>
    <xf numFmtId="49" fontId="36" fillId="11" borderId="1" xfId="1" applyNumberFormat="1" applyFont="1" applyFill="1" applyBorder="1" applyAlignment="1" applyProtection="1">
      <alignment horizontal="center" vertical="center"/>
      <protection locked="0"/>
    </xf>
    <xf numFmtId="0" fontId="37" fillId="0" borderId="17" xfId="1" applyFont="1" applyBorder="1" applyAlignment="1">
      <alignment horizontal="center" vertical="center"/>
    </xf>
    <xf numFmtId="0" fontId="37" fillId="0" borderId="13" xfId="1" applyFont="1" applyBorder="1" applyAlignment="1">
      <alignment horizontal="center" vertical="center"/>
    </xf>
    <xf numFmtId="2" fontId="36" fillId="0" borderId="4" xfId="1" applyNumberFormat="1" applyFont="1" applyBorder="1"/>
    <xf numFmtId="2" fontId="36" fillId="11" borderId="17" xfId="1" applyNumberFormat="1" applyFont="1" applyFill="1" applyBorder="1" applyAlignment="1" applyProtection="1">
      <alignment horizontal="center"/>
      <protection locked="0"/>
    </xf>
    <xf numFmtId="0" fontId="47" fillId="0" borderId="2" xfId="1" applyFont="1" applyBorder="1" applyAlignment="1">
      <alignment horizontal="center" vertical="center"/>
    </xf>
    <xf numFmtId="0" fontId="47" fillId="0" borderId="0" xfId="1" applyFont="1" applyAlignment="1">
      <alignment horizontal="center" vertical="center"/>
    </xf>
    <xf numFmtId="0" fontId="47" fillId="0" borderId="5" xfId="1" applyFont="1" applyBorder="1" applyAlignment="1">
      <alignment horizontal="center" vertical="center"/>
    </xf>
    <xf numFmtId="0" fontId="37" fillId="0" borderId="11" xfId="1" applyFont="1" applyBorder="1" applyAlignment="1">
      <alignment horizontal="center" vertical="center"/>
    </xf>
    <xf numFmtId="0" fontId="37" fillId="0" borderId="10" xfId="1" applyFont="1" applyBorder="1" applyAlignment="1">
      <alignment horizontal="center" vertical="center"/>
    </xf>
    <xf numFmtId="2" fontId="36" fillId="11" borderId="14" xfId="1" applyNumberFormat="1" applyFont="1" applyFill="1" applyBorder="1" applyAlignment="1" applyProtection="1">
      <alignment horizontal="center"/>
      <protection locked="0"/>
    </xf>
    <xf numFmtId="49" fontId="36" fillId="11" borderId="12" xfId="1" applyNumberFormat="1" applyFont="1" applyFill="1" applyBorder="1" applyAlignment="1" applyProtection="1">
      <alignment horizontal="center" vertical="center"/>
      <protection locked="0"/>
    </xf>
    <xf numFmtId="49" fontId="36" fillId="11" borderId="4" xfId="1" applyNumberFormat="1" applyFont="1" applyFill="1" applyBorder="1" applyAlignment="1" applyProtection="1">
      <alignment horizontal="center" vertical="center"/>
      <protection locked="0"/>
    </xf>
    <xf numFmtId="49" fontId="36" fillId="11" borderId="13" xfId="1" applyNumberFormat="1" applyFont="1" applyFill="1" applyBorder="1" applyAlignment="1" applyProtection="1">
      <alignment horizontal="center" vertical="center"/>
      <protection locked="0"/>
    </xf>
    <xf numFmtId="0" fontId="37" fillId="0" borderId="9" xfId="1" applyFont="1" applyBorder="1" applyAlignment="1">
      <alignment horizontal="center" vertical="center"/>
    </xf>
    <xf numFmtId="49" fontId="36" fillId="11" borderId="14" xfId="1" applyNumberFormat="1" applyFont="1" applyFill="1" applyBorder="1" applyAlignment="1" applyProtection="1">
      <alignment horizontal="center" vertical="center"/>
      <protection locked="0"/>
    </xf>
    <xf numFmtId="0" fontId="37" fillId="0" borderId="16" xfId="1" applyFont="1" applyBorder="1" applyAlignment="1">
      <alignment horizontal="center" vertical="center"/>
    </xf>
    <xf numFmtId="0" fontId="37" fillId="0" borderId="18" xfId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/>
    <xf numFmtId="0" fontId="0" fillId="0" borderId="5" xfId="0" applyBorder="1"/>
    <xf numFmtId="0" fontId="0" fillId="0" borderId="0" xfId="0"/>
    <xf numFmtId="49" fontId="11" fillId="3" borderId="2" xfId="0" applyNumberFormat="1" applyFont="1" applyFill="1" applyBorder="1" applyAlignment="1" applyProtection="1">
      <alignment horizontal="center"/>
      <protection locked="0"/>
    </xf>
    <xf numFmtId="49" fontId="11" fillId="3" borderId="5" xfId="0" applyNumberFormat="1" applyFont="1" applyFill="1" applyBorder="1" applyAlignment="1" applyProtection="1">
      <alignment horizontal="center"/>
      <protection locked="0"/>
    </xf>
    <xf numFmtId="49" fontId="11" fillId="3" borderId="3" xfId="0" applyNumberFormat="1" applyFont="1" applyFill="1" applyBorder="1" applyAlignment="1" applyProtection="1">
      <alignment horizontal="center"/>
      <protection locked="0"/>
    </xf>
    <xf numFmtId="49" fontId="11" fillId="3" borderId="4" xfId="0" applyNumberFormat="1" applyFont="1" applyFill="1" applyBorder="1" applyAlignment="1" applyProtection="1">
      <alignment horizontal="center"/>
      <protection locked="0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49" fontId="11" fillId="3" borderId="13" xfId="0" applyNumberFormat="1" applyFont="1" applyFill="1" applyBorder="1" applyAlignment="1" applyProtection="1">
      <alignment horizontal="center"/>
      <protection locked="0"/>
    </xf>
    <xf numFmtId="0" fontId="3" fillId="0" borderId="7" xfId="0" applyFont="1" applyBorder="1" applyAlignment="1">
      <alignment horizontal="center"/>
    </xf>
    <xf numFmtId="49" fontId="11" fillId="3" borderId="1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17" borderId="9" xfId="0" applyFont="1" applyFill="1" applyBorder="1" applyAlignment="1">
      <alignment horizontal="left"/>
    </xf>
    <xf numFmtId="0" fontId="12" fillId="17" borderId="10" xfId="0" applyFont="1" applyFill="1" applyBorder="1" applyAlignment="1">
      <alignment horizontal="left"/>
    </xf>
    <xf numFmtId="49" fontId="12" fillId="0" borderId="6" xfId="0" applyNumberFormat="1" applyFont="1" applyBorder="1" applyAlignment="1">
      <alignment horizontal="center"/>
    </xf>
    <xf numFmtId="49" fontId="12" fillId="0" borderId="7" xfId="0" applyNumberFormat="1" applyFont="1" applyBorder="1" applyAlignment="1">
      <alignment horizontal="center"/>
    </xf>
    <xf numFmtId="49" fontId="12" fillId="0" borderId="8" xfId="0" applyNumberFormat="1" applyFont="1" applyBorder="1" applyAlignment="1">
      <alignment horizontal="center"/>
    </xf>
    <xf numFmtId="0" fontId="11" fillId="0" borderId="2" xfId="0" applyFont="1" applyBorder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center"/>
      <protection locked="0"/>
    </xf>
    <xf numFmtId="0" fontId="12" fillId="17" borderId="3" xfId="0" applyFont="1" applyFill="1" applyBorder="1" applyAlignment="1">
      <alignment horizontal="left"/>
    </xf>
    <xf numFmtId="0" fontId="12" fillId="17" borderId="4" xfId="0" applyFont="1" applyFill="1" applyBorder="1" applyAlignment="1">
      <alignment horizontal="left"/>
    </xf>
    <xf numFmtId="165" fontId="12" fillId="0" borderId="3" xfId="0" applyNumberFormat="1" applyFont="1" applyBorder="1" applyAlignment="1">
      <alignment horizontal="center" vertical="center"/>
    </xf>
    <xf numFmtId="165" fontId="12" fillId="0" borderId="12" xfId="0" applyNumberFormat="1" applyFont="1" applyBorder="1" applyAlignment="1">
      <alignment horizontal="center" vertical="center"/>
    </xf>
    <xf numFmtId="165" fontId="12" fillId="0" borderId="4" xfId="0" applyNumberFormat="1" applyFont="1" applyBorder="1" applyAlignment="1">
      <alignment horizontal="center" vertical="center"/>
    </xf>
    <xf numFmtId="49" fontId="11" fillId="3" borderId="0" xfId="0" applyNumberFormat="1" applyFont="1" applyFill="1" applyAlignment="1" applyProtection="1">
      <alignment horizontal="center" vertical="center"/>
      <protection locked="0"/>
    </xf>
    <xf numFmtId="49" fontId="5" fillId="0" borderId="3" xfId="0" applyNumberFormat="1" applyFont="1" applyBorder="1" applyAlignment="1">
      <alignment horizontal="left" vertical="center"/>
    </xf>
    <xf numFmtId="49" fontId="5" fillId="0" borderId="12" xfId="0" applyNumberFormat="1" applyFont="1" applyBorder="1" applyAlignment="1">
      <alignment horizontal="left" vertical="center"/>
    </xf>
    <xf numFmtId="165" fontId="11" fillId="0" borderId="5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textRotation="90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165" fontId="12" fillId="0" borderId="104" xfId="0" applyNumberFormat="1" applyFont="1" applyBorder="1" applyAlignment="1">
      <alignment horizontal="center"/>
    </xf>
    <xf numFmtId="165" fontId="12" fillId="0" borderId="103" xfId="0" applyNumberFormat="1" applyFont="1" applyBorder="1" applyAlignment="1">
      <alignment horizontal="center"/>
    </xf>
    <xf numFmtId="0" fontId="13" fillId="0" borderId="9" xfId="1" applyFont="1" applyBorder="1" applyAlignment="1">
      <alignment horizontal="left" vertical="center" indent="1"/>
    </xf>
    <xf numFmtId="0" fontId="13" fillId="0" borderId="11" xfId="1" applyFont="1" applyBorder="1" applyAlignment="1">
      <alignment horizontal="left" vertical="center" indent="1"/>
    </xf>
    <xf numFmtId="10" fontId="20" fillId="0" borderId="9" xfId="2" applyNumberFormat="1" applyFont="1" applyBorder="1" applyAlignment="1">
      <alignment horizontal="center"/>
    </xf>
    <xf numFmtId="10" fontId="20" fillId="0" borderId="11" xfId="2" applyNumberFormat="1" applyFont="1" applyBorder="1" applyAlignment="1">
      <alignment horizontal="center"/>
    </xf>
    <xf numFmtId="10" fontId="20" fillId="0" borderId="10" xfId="2" applyNumberFormat="1" applyFont="1" applyBorder="1" applyAlignment="1">
      <alignment horizontal="center"/>
    </xf>
    <xf numFmtId="0" fontId="12" fillId="0" borderId="3" xfId="1" applyFont="1" applyBorder="1" applyAlignment="1">
      <alignment horizontal="center"/>
    </xf>
    <xf numFmtId="0" fontId="12" fillId="0" borderId="12" xfId="1" applyFont="1" applyBorder="1" applyAlignment="1">
      <alignment horizontal="center"/>
    </xf>
    <xf numFmtId="10" fontId="20" fillId="0" borderId="12" xfId="2" applyNumberFormat="1" applyFont="1" applyBorder="1" applyAlignment="1">
      <alignment horizontal="center"/>
    </xf>
    <xf numFmtId="10" fontId="20" fillId="0" borderId="4" xfId="2" applyNumberFormat="1" applyFont="1" applyBorder="1" applyAlignment="1">
      <alignment horizontal="center"/>
    </xf>
    <xf numFmtId="0" fontId="29" fillId="0" borderId="6" xfId="1" applyFont="1" applyBorder="1" applyAlignment="1">
      <alignment horizontal="center" vertical="center" textRotation="90"/>
    </xf>
    <xf numFmtId="0" fontId="12" fillId="0" borderId="5" xfId="1" applyFont="1" applyBorder="1" applyAlignment="1">
      <alignment horizontal="center"/>
    </xf>
    <xf numFmtId="0" fontId="27" fillId="0" borderId="6" xfId="1" applyFont="1" applyBorder="1" applyAlignment="1">
      <alignment horizontal="center"/>
    </xf>
    <xf numFmtId="0" fontId="27" fillId="0" borderId="7" xfId="1" applyFont="1" applyBorder="1" applyAlignment="1">
      <alignment horizontal="center"/>
    </xf>
    <xf numFmtId="0" fontId="27" fillId="0" borderId="8" xfId="1" applyFont="1" applyBorder="1" applyAlignment="1">
      <alignment horizontal="center"/>
    </xf>
    <xf numFmtId="0" fontId="26" fillId="10" borderId="3" xfId="1" applyFont="1" applyFill="1" applyBorder="1" applyAlignment="1">
      <alignment horizontal="center" vertical="center"/>
    </xf>
    <xf numFmtId="0" fontId="26" fillId="10" borderId="12" xfId="1" applyFont="1" applyFill="1" applyBorder="1" applyAlignment="1">
      <alignment horizontal="center" vertical="center"/>
    </xf>
    <xf numFmtId="0" fontId="26" fillId="0" borderId="3" xfId="1" applyFont="1" applyBorder="1" applyAlignment="1">
      <alignment horizontal="center" vertical="center"/>
    </xf>
    <xf numFmtId="0" fontId="26" fillId="0" borderId="12" xfId="1" applyFont="1" applyBorder="1" applyAlignment="1">
      <alignment horizontal="center" vertical="center"/>
    </xf>
    <xf numFmtId="0" fontId="26" fillId="0" borderId="4" xfId="1" applyFont="1" applyBorder="1" applyAlignment="1">
      <alignment horizontal="center" vertical="center"/>
    </xf>
    <xf numFmtId="0" fontId="26" fillId="0" borderId="3" xfId="1" applyFont="1" applyBorder="1" applyAlignment="1">
      <alignment horizontal="center"/>
    </xf>
    <xf numFmtId="0" fontId="26" fillId="0" borderId="12" xfId="1" applyFont="1" applyBorder="1" applyAlignment="1">
      <alignment horizontal="center"/>
    </xf>
    <xf numFmtId="0" fontId="26" fillId="0" borderId="4" xfId="1" applyFont="1" applyBorder="1" applyAlignment="1">
      <alignment horizontal="center"/>
    </xf>
    <xf numFmtId="0" fontId="12" fillId="0" borderId="6" xfId="1" applyFont="1" applyBorder="1" applyAlignment="1">
      <alignment horizontal="center"/>
    </xf>
    <xf numFmtId="49" fontId="46" fillId="11" borderId="2" xfId="1" applyNumberFormat="1" applyFont="1" applyFill="1" applyBorder="1" applyAlignment="1" applyProtection="1">
      <alignment horizontal="center" vertical="center"/>
      <protection locked="0"/>
    </xf>
    <xf numFmtId="49" fontId="46" fillId="11" borderId="0" xfId="1" applyNumberFormat="1" applyFont="1" applyFill="1" applyAlignment="1" applyProtection="1">
      <alignment horizontal="center" vertical="center"/>
      <protection locked="0"/>
    </xf>
    <xf numFmtId="0" fontId="11" fillId="11" borderId="2" xfId="1" applyFont="1" applyFill="1" applyBorder="1" applyAlignment="1" applyProtection="1">
      <alignment horizontal="center"/>
      <protection locked="0"/>
    </xf>
    <xf numFmtId="0" fontId="11" fillId="11" borderId="0" xfId="1" applyFont="1" applyFill="1" applyAlignment="1" applyProtection="1">
      <alignment horizontal="center"/>
      <protection locked="0"/>
    </xf>
    <xf numFmtId="0" fontId="11" fillId="11" borderId="5" xfId="1" applyFont="1" applyFill="1" applyBorder="1" applyAlignment="1" applyProtection="1">
      <alignment horizontal="center"/>
      <protection locked="0"/>
    </xf>
    <xf numFmtId="0" fontId="11" fillId="11" borderId="3" xfId="1" applyFont="1" applyFill="1" applyBorder="1" applyAlignment="1" applyProtection="1">
      <alignment horizontal="center"/>
      <protection locked="0"/>
    </xf>
    <xf numFmtId="0" fontId="11" fillId="11" borderId="12" xfId="1" applyFont="1" applyFill="1" applyBorder="1" applyAlignment="1" applyProtection="1">
      <alignment horizontal="center"/>
      <protection locked="0"/>
    </xf>
    <xf numFmtId="0" fontId="11" fillId="11" borderId="4" xfId="1" applyFont="1" applyFill="1" applyBorder="1" applyAlignment="1" applyProtection="1">
      <alignment horizontal="center"/>
      <protection locked="0"/>
    </xf>
    <xf numFmtId="49" fontId="12" fillId="11" borderId="2" xfId="1" applyNumberFormat="1" applyFont="1" applyFill="1" applyBorder="1" applyAlignment="1" applyProtection="1">
      <alignment horizontal="center"/>
      <protection locked="0"/>
    </xf>
    <xf numFmtId="49" fontId="12" fillId="11" borderId="0" xfId="1" applyNumberFormat="1" applyFont="1" applyFill="1" applyAlignment="1" applyProtection="1">
      <alignment horizontal="center"/>
      <protection locked="0"/>
    </xf>
    <xf numFmtId="49" fontId="12" fillId="11" borderId="5" xfId="1" applyNumberFormat="1" applyFont="1" applyFill="1" applyBorder="1" applyAlignment="1" applyProtection="1">
      <alignment horizontal="center"/>
      <protection locked="0"/>
    </xf>
    <xf numFmtId="0" fontId="13" fillId="0" borderId="9" xfId="1" applyFont="1" applyBorder="1" applyAlignment="1">
      <alignment horizontal="center" vertical="center"/>
    </xf>
    <xf numFmtId="0" fontId="13" fillId="0" borderId="11" xfId="1" applyFont="1" applyBorder="1" applyAlignment="1">
      <alignment horizontal="center" vertical="center"/>
    </xf>
    <xf numFmtId="0" fontId="13" fillId="0" borderId="10" xfId="1" applyFont="1" applyBorder="1" applyAlignment="1">
      <alignment horizontal="center" vertical="center"/>
    </xf>
    <xf numFmtId="49" fontId="11" fillId="0" borderId="2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0" fontId="11" fillId="0" borderId="9" xfId="1" applyFont="1" applyBorder="1" applyAlignment="1">
      <alignment horizontal="left"/>
    </xf>
    <xf numFmtId="0" fontId="11" fillId="0" borderId="10" xfId="1" applyFont="1" applyBorder="1" applyAlignment="1">
      <alignment horizontal="left"/>
    </xf>
    <xf numFmtId="166" fontId="38" fillId="0" borderId="9" xfId="2" applyNumberFormat="1" applyFont="1" applyBorder="1" applyAlignment="1">
      <alignment horizontal="center"/>
    </xf>
    <xf numFmtId="166" fontId="38" fillId="0" borderId="11" xfId="2" applyNumberFormat="1" applyFont="1" applyBorder="1" applyAlignment="1">
      <alignment horizontal="center"/>
    </xf>
    <xf numFmtId="166" fontId="38" fillId="0" borderId="10" xfId="2" applyNumberFormat="1" applyFont="1" applyBorder="1" applyAlignment="1">
      <alignment horizontal="center"/>
    </xf>
    <xf numFmtId="0" fontId="56" fillId="0" borderId="9" xfId="1" applyFont="1" applyBorder="1" applyAlignment="1">
      <alignment horizontal="center"/>
    </xf>
    <xf numFmtId="0" fontId="56" fillId="0" borderId="11" xfId="1" applyFont="1" applyBorder="1" applyAlignment="1">
      <alignment horizontal="center"/>
    </xf>
    <xf numFmtId="49" fontId="11" fillId="0" borderId="6" xfId="0" applyNumberFormat="1" applyFont="1" applyBorder="1" applyAlignment="1" applyProtection="1">
      <alignment horizontal="center"/>
      <protection locked="0"/>
    </xf>
    <xf numFmtId="49" fontId="11" fillId="0" borderId="18" xfId="0" applyNumberFormat="1" applyFont="1" applyBorder="1" applyAlignment="1" applyProtection="1">
      <alignment horizontal="center"/>
      <protection locked="0"/>
    </xf>
    <xf numFmtId="165" fontId="37" fillId="0" borderId="3" xfId="1" applyNumberFormat="1" applyFont="1" applyBorder="1" applyAlignment="1">
      <alignment horizontal="center"/>
    </xf>
    <xf numFmtId="165" fontId="37" fillId="0" borderId="12" xfId="1" applyNumberFormat="1" applyFont="1" applyBorder="1" applyAlignment="1">
      <alignment horizontal="center"/>
    </xf>
    <xf numFmtId="165" fontId="37" fillId="0" borderId="4" xfId="1" applyNumberFormat="1" applyFont="1" applyBorder="1" applyAlignment="1">
      <alignment horizontal="center"/>
    </xf>
    <xf numFmtId="166" fontId="12" fillId="0" borderId="12" xfId="2" applyNumberFormat="1" applyFont="1" applyBorder="1" applyAlignment="1">
      <alignment horizontal="center"/>
    </xf>
    <xf numFmtId="166" fontId="12" fillId="0" borderId="4" xfId="2" applyNumberFormat="1" applyFont="1" applyBorder="1" applyAlignment="1">
      <alignment horizontal="center"/>
    </xf>
    <xf numFmtId="165" fontId="37" fillId="0" borderId="2" xfId="1" applyNumberFormat="1" applyFont="1" applyBorder="1" applyAlignment="1">
      <alignment horizontal="center"/>
    </xf>
    <xf numFmtId="165" fontId="37" fillId="0" borderId="0" xfId="1" applyNumberFormat="1" applyFont="1" applyAlignment="1">
      <alignment horizontal="center"/>
    </xf>
    <xf numFmtId="165" fontId="37" fillId="0" borderId="5" xfId="1" applyNumberFormat="1" applyFont="1" applyBorder="1" applyAlignment="1">
      <alignment horizontal="center"/>
    </xf>
    <xf numFmtId="166" fontId="12" fillId="0" borderId="2" xfId="2" applyNumberFormat="1" applyFont="1" applyFill="1" applyBorder="1" applyAlignment="1">
      <alignment horizontal="center"/>
    </xf>
    <xf numFmtId="166" fontId="12" fillId="0" borderId="0" xfId="2" applyNumberFormat="1" applyFont="1" applyFill="1" applyBorder="1" applyAlignment="1">
      <alignment horizontal="center"/>
    </xf>
    <xf numFmtId="166" fontId="12" fillId="0" borderId="1" xfId="2" applyNumberFormat="1" applyFont="1" applyFill="1" applyBorder="1" applyAlignment="1">
      <alignment horizontal="center"/>
    </xf>
    <xf numFmtId="166" fontId="12" fillId="0" borderId="0" xfId="2" applyNumberFormat="1" applyFont="1" applyAlignment="1">
      <alignment horizontal="center"/>
    </xf>
    <xf numFmtId="166" fontId="12" fillId="0" borderId="5" xfId="2" applyNumberFormat="1" applyFont="1" applyBorder="1" applyAlignment="1">
      <alignment horizontal="center"/>
    </xf>
    <xf numFmtId="166" fontId="12" fillId="0" borderId="2" xfId="2" applyNumberFormat="1" applyFont="1" applyBorder="1" applyAlignment="1">
      <alignment horizontal="center"/>
    </xf>
    <xf numFmtId="166" fontId="12" fillId="0" borderId="0" xfId="2" applyNumberFormat="1" applyFont="1" applyBorder="1" applyAlignment="1">
      <alignment horizontal="center"/>
    </xf>
    <xf numFmtId="166" fontId="12" fillId="0" borderId="1" xfId="2" applyNumberFormat="1" applyFont="1" applyBorder="1" applyAlignment="1">
      <alignment horizontal="center"/>
    </xf>
    <xf numFmtId="0" fontId="20" fillId="0" borderId="6" xfId="1" applyFont="1" applyBorder="1" applyAlignment="1">
      <alignment horizontal="center"/>
    </xf>
    <xf numFmtId="0" fontId="20" fillId="0" borderId="7" xfId="1" applyFont="1" applyBorder="1" applyAlignment="1">
      <alignment horizontal="center"/>
    </xf>
    <xf numFmtId="0" fontId="20" fillId="0" borderId="18" xfId="1" applyFont="1" applyBorder="1" applyAlignment="1">
      <alignment horizontal="center"/>
    </xf>
    <xf numFmtId="0" fontId="20" fillId="0" borderId="8" xfId="1" applyFont="1" applyBorder="1" applyAlignment="1">
      <alignment horizontal="center"/>
    </xf>
    <xf numFmtId="0" fontId="20" fillId="0" borderId="10" xfId="1" applyFont="1" applyBorder="1" applyAlignment="1">
      <alignment horizontal="left"/>
    </xf>
    <xf numFmtId="166" fontId="38" fillId="0" borderId="3" xfId="2" applyNumberFormat="1" applyFont="1" applyBorder="1" applyAlignment="1">
      <alignment horizontal="center"/>
    </xf>
    <xf numFmtId="166" fontId="38" fillId="0" borderId="12" xfId="2" applyNumberFormat="1" applyFont="1" applyBorder="1" applyAlignment="1">
      <alignment horizontal="center"/>
    </xf>
    <xf numFmtId="166" fontId="38" fillId="0" borderId="4" xfId="2" applyNumberFormat="1" applyFont="1" applyBorder="1" applyAlignment="1">
      <alignment horizontal="center"/>
    </xf>
    <xf numFmtId="165" fontId="36" fillId="0" borderId="0" xfId="1" applyNumberFormat="1" applyFont="1" applyAlignment="1">
      <alignment horizontal="center"/>
    </xf>
    <xf numFmtId="165" fontId="36" fillId="0" borderId="5" xfId="1" applyNumberFormat="1" applyFont="1" applyBorder="1" applyAlignment="1">
      <alignment horizontal="center"/>
    </xf>
    <xf numFmtId="0" fontId="13" fillId="0" borderId="10" xfId="1" applyFont="1" applyBorder="1" applyAlignment="1">
      <alignment horizontal="left" vertical="center" indent="1"/>
    </xf>
    <xf numFmtId="49" fontId="12" fillId="0" borderId="2" xfId="0" applyNumberFormat="1" applyFont="1" applyBorder="1" applyAlignment="1">
      <alignment horizontal="center" vertical="center" textRotation="90"/>
    </xf>
    <xf numFmtId="49" fontId="12" fillId="0" borderId="3" xfId="0" applyNumberFormat="1" applyFont="1" applyBorder="1" applyAlignment="1">
      <alignment horizontal="center" vertical="center" textRotation="90"/>
    </xf>
    <xf numFmtId="166" fontId="38" fillId="0" borderId="3" xfId="2" applyNumberFormat="1" applyFont="1" applyFill="1" applyBorder="1" applyAlignment="1">
      <alignment horizontal="center"/>
    </xf>
    <xf numFmtId="166" fontId="38" fillId="0" borderId="12" xfId="2" applyNumberFormat="1" applyFont="1" applyFill="1" applyBorder="1" applyAlignment="1">
      <alignment horizontal="center"/>
    </xf>
    <xf numFmtId="166" fontId="38" fillId="0" borderId="4" xfId="2" applyNumberFormat="1" applyFont="1" applyFill="1" applyBorder="1" applyAlignment="1">
      <alignment horizontal="center"/>
    </xf>
    <xf numFmtId="0" fontId="36" fillId="0" borderId="23" xfId="1" quotePrefix="1" applyFont="1" applyBorder="1" applyAlignment="1">
      <alignment horizontal="center" vertical="center"/>
    </xf>
    <xf numFmtId="0" fontId="36" fillId="0" borderId="24" xfId="1" quotePrefix="1" applyFont="1" applyBorder="1" applyAlignment="1">
      <alignment horizontal="center" vertical="center"/>
    </xf>
    <xf numFmtId="0" fontId="36" fillId="0" borderId="25" xfId="1" quotePrefix="1" applyFont="1" applyBorder="1" applyAlignment="1">
      <alignment horizontal="center" vertical="center"/>
    </xf>
    <xf numFmtId="0" fontId="13" fillId="0" borderId="9" xfId="1" applyFont="1" applyBorder="1" applyAlignment="1">
      <alignment horizontal="left" vertical="center"/>
    </xf>
    <xf numFmtId="0" fontId="13" fillId="0" borderId="11" xfId="1" applyFont="1" applyBorder="1" applyAlignment="1">
      <alignment horizontal="left" vertical="center"/>
    </xf>
    <xf numFmtId="0" fontId="13" fillId="0" borderId="10" xfId="1" applyFont="1" applyBorder="1" applyAlignment="1">
      <alignment horizontal="left" vertical="center"/>
    </xf>
    <xf numFmtId="0" fontId="11" fillId="0" borderId="15" xfId="1" applyFont="1" applyBorder="1" applyAlignment="1">
      <alignment horizontal="center"/>
    </xf>
    <xf numFmtId="0" fontId="11" fillId="0" borderId="6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36" fillId="0" borderId="5" xfId="1" quotePrefix="1" applyFont="1" applyBorder="1" applyAlignment="1">
      <alignment horizontal="right" vertical="center"/>
    </xf>
    <xf numFmtId="0" fontId="36" fillId="0" borderId="4" xfId="1" quotePrefix="1" applyFont="1" applyBorder="1" applyAlignment="1">
      <alignment horizontal="right" vertical="center"/>
    </xf>
    <xf numFmtId="49" fontId="11" fillId="0" borderId="23" xfId="0" applyNumberFormat="1" applyFont="1" applyBorder="1" applyAlignment="1">
      <alignment horizontal="center" vertical="center"/>
    </xf>
    <xf numFmtId="49" fontId="11" fillId="0" borderId="25" xfId="0" applyNumberFormat="1" applyFont="1" applyBorder="1" applyAlignment="1">
      <alignment horizontal="center" vertical="center"/>
    </xf>
    <xf numFmtId="0" fontId="36" fillId="0" borderId="2" xfId="1" quotePrefix="1" applyFont="1" applyBorder="1" applyAlignment="1">
      <alignment horizontal="center"/>
    </xf>
    <xf numFmtId="0" fontId="36" fillId="0" borderId="1" xfId="1" quotePrefix="1" applyFont="1" applyBorder="1" applyAlignment="1">
      <alignment horizontal="center"/>
    </xf>
    <xf numFmtId="0" fontId="36" fillId="0" borderId="3" xfId="1" quotePrefix="1" applyFont="1" applyBorder="1" applyAlignment="1">
      <alignment horizontal="center"/>
    </xf>
    <xf numFmtId="0" fontId="36" fillId="0" borderId="13" xfId="1" quotePrefix="1" applyFont="1" applyBorder="1" applyAlignment="1">
      <alignment horizontal="center"/>
    </xf>
    <xf numFmtId="49" fontId="11" fillId="0" borderId="3" xfId="0" applyNumberFormat="1" applyFont="1" applyBorder="1" applyAlignment="1" applyProtection="1">
      <alignment horizontal="center"/>
      <protection locked="0"/>
    </xf>
    <xf numFmtId="49" fontId="11" fillId="0" borderId="13" xfId="0" applyNumberFormat="1" applyFont="1" applyBorder="1" applyAlignment="1" applyProtection="1">
      <alignment horizontal="center"/>
      <protection locked="0"/>
    </xf>
    <xf numFmtId="0" fontId="36" fillId="9" borderId="11" xfId="1" applyFont="1" applyFill="1" applyBorder="1" applyAlignment="1">
      <alignment horizontal="center"/>
    </xf>
    <xf numFmtId="165" fontId="12" fillId="0" borderId="30" xfId="0" applyNumberFormat="1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165" fontId="37" fillId="0" borderId="3" xfId="2" applyNumberFormat="1" applyFont="1" applyBorder="1" applyAlignment="1">
      <alignment horizontal="center"/>
    </xf>
    <xf numFmtId="165" fontId="37" fillId="0" borderId="12" xfId="2" applyNumberFormat="1" applyFont="1" applyBorder="1" applyAlignment="1">
      <alignment horizontal="center"/>
    </xf>
    <xf numFmtId="165" fontId="37" fillId="0" borderId="4" xfId="2" applyNumberFormat="1" applyFont="1" applyBorder="1" applyAlignment="1">
      <alignment horizontal="center"/>
    </xf>
    <xf numFmtId="0" fontId="37" fillId="0" borderId="9" xfId="1" applyFont="1" applyBorder="1" applyAlignment="1">
      <alignment horizontal="center" wrapText="1"/>
    </xf>
    <xf numFmtId="0" fontId="37" fillId="0" borderId="11" xfId="1" applyFont="1" applyBorder="1" applyAlignment="1">
      <alignment horizontal="center" wrapText="1"/>
    </xf>
    <xf numFmtId="0" fontId="37" fillId="0" borderId="10" xfId="1" applyFont="1" applyBorder="1" applyAlignment="1">
      <alignment horizontal="center" wrapText="1"/>
    </xf>
    <xf numFmtId="165" fontId="37" fillId="0" borderId="6" xfId="2" applyNumberFormat="1" applyFont="1" applyBorder="1" applyAlignment="1">
      <alignment horizontal="center"/>
    </xf>
    <xf numFmtId="165" fontId="37" fillId="0" borderId="7" xfId="2" applyNumberFormat="1" applyFont="1" applyBorder="1" applyAlignment="1">
      <alignment horizontal="center"/>
    </xf>
    <xf numFmtId="165" fontId="37" fillId="0" borderId="8" xfId="2" applyNumberFormat="1" applyFont="1" applyBorder="1" applyAlignment="1">
      <alignment horizontal="center"/>
    </xf>
    <xf numFmtId="165" fontId="37" fillId="0" borderId="2" xfId="2" applyNumberFormat="1" applyFont="1" applyBorder="1" applyAlignment="1">
      <alignment horizontal="center"/>
    </xf>
    <xf numFmtId="165" fontId="37" fillId="0" borderId="0" xfId="2" applyNumberFormat="1" applyFont="1" applyAlignment="1">
      <alignment horizontal="center"/>
    </xf>
    <xf numFmtId="165" fontId="37" fillId="0" borderId="5" xfId="2" applyNumberFormat="1" applyFont="1" applyBorder="1" applyAlignment="1">
      <alignment horizontal="center"/>
    </xf>
    <xf numFmtId="0" fontId="47" fillId="0" borderId="2" xfId="1" applyFont="1" applyBorder="1" applyAlignment="1">
      <alignment horizontal="center"/>
    </xf>
    <xf numFmtId="0" fontId="47" fillId="0" borderId="0" xfId="1" applyFont="1" applyAlignment="1">
      <alignment horizontal="center"/>
    </xf>
    <xf numFmtId="0" fontId="47" fillId="0" borderId="1" xfId="1" applyFont="1" applyBorder="1" applyAlignment="1">
      <alignment horizontal="center"/>
    </xf>
    <xf numFmtId="0" fontId="47" fillId="0" borderId="14" xfId="1" applyFont="1" applyBorder="1" applyAlignment="1">
      <alignment horizontal="center"/>
    </xf>
    <xf numFmtId="0" fontId="47" fillId="0" borderId="5" xfId="1" applyFont="1" applyBorder="1" applyAlignment="1">
      <alignment horizontal="center"/>
    </xf>
    <xf numFmtId="2" fontId="36" fillId="11" borderId="1" xfId="1" applyNumberFormat="1" applyFont="1" applyFill="1" applyBorder="1" applyAlignment="1" applyProtection="1">
      <alignment horizontal="center"/>
      <protection locked="0"/>
    </xf>
    <xf numFmtId="2" fontId="36" fillId="11" borderId="5" xfId="1" applyNumberFormat="1" applyFont="1" applyFill="1" applyBorder="1" applyAlignment="1" applyProtection="1">
      <alignment horizontal="center"/>
      <protection locked="0"/>
    </xf>
    <xf numFmtId="49" fontId="37" fillId="0" borderId="2" xfId="1" applyNumberFormat="1" applyFont="1" applyBorder="1" applyAlignment="1">
      <alignment horizontal="center" vertical="center"/>
    </xf>
    <xf numFmtId="49" fontId="37" fillId="0" borderId="0" xfId="1" applyNumberFormat="1" applyFont="1" applyAlignment="1">
      <alignment horizontal="center" vertical="center"/>
    </xf>
    <xf numFmtId="49" fontId="37" fillId="0" borderId="1" xfId="1" applyNumberFormat="1" applyFont="1" applyBorder="1" applyAlignment="1">
      <alignment horizontal="center" vertical="center"/>
    </xf>
    <xf numFmtId="49" fontId="36" fillId="0" borderId="0" xfId="1" applyNumberFormat="1" applyFont="1" applyAlignment="1">
      <alignment horizontal="center"/>
    </xf>
    <xf numFmtId="49" fontId="36" fillId="0" borderId="5" xfId="1" applyNumberFormat="1" applyFont="1" applyBorder="1" applyAlignment="1">
      <alignment horizontal="center"/>
    </xf>
    <xf numFmtId="49" fontId="36" fillId="11" borderId="1" xfId="1" applyNumberFormat="1" applyFont="1" applyFill="1" applyBorder="1" applyAlignment="1" applyProtection="1">
      <alignment horizontal="center"/>
      <protection locked="0"/>
    </xf>
    <xf numFmtId="49" fontId="36" fillId="0" borderId="3" xfId="1" applyNumberFormat="1" applyFont="1" applyBorder="1" applyAlignment="1">
      <alignment horizontal="center"/>
    </xf>
    <xf numFmtId="49" fontId="36" fillId="0" borderId="12" xfId="1" applyNumberFormat="1" applyFont="1" applyBorder="1" applyAlignment="1">
      <alignment horizontal="center"/>
    </xf>
    <xf numFmtId="49" fontId="36" fillId="0" borderId="13" xfId="1" applyNumberFormat="1" applyFont="1" applyBorder="1" applyAlignment="1">
      <alignment horizontal="center"/>
    </xf>
    <xf numFmtId="0" fontId="37" fillId="0" borderId="2" xfId="1" applyFont="1" applyBorder="1" applyAlignment="1">
      <alignment horizontal="center"/>
    </xf>
    <xf numFmtId="0" fontId="37" fillId="0" borderId="0" xfId="1" applyFont="1" applyAlignment="1">
      <alignment horizontal="center"/>
    </xf>
    <xf numFmtId="0" fontId="37" fillId="0" borderId="1" xfId="1" applyFont="1" applyBorder="1" applyAlignment="1">
      <alignment horizontal="center"/>
    </xf>
    <xf numFmtId="0" fontId="37" fillId="0" borderId="5" xfId="1" applyFont="1" applyBorder="1" applyAlignment="1">
      <alignment horizontal="center"/>
    </xf>
    <xf numFmtId="49" fontId="36" fillId="0" borderId="2" xfId="1" applyNumberFormat="1" applyFont="1" applyBorder="1" applyAlignment="1">
      <alignment horizontal="center"/>
    </xf>
    <xf numFmtId="49" fontId="36" fillId="0" borderId="1" xfId="1" applyNumberFormat="1" applyFont="1" applyBorder="1" applyAlignment="1">
      <alignment horizontal="center"/>
    </xf>
    <xf numFmtId="0" fontId="37" fillId="0" borderId="7" xfId="1" applyFont="1" applyBorder="1" applyAlignment="1">
      <alignment horizontal="center"/>
    </xf>
    <xf numFmtId="0" fontId="37" fillId="0" borderId="8" xfId="1" applyFont="1" applyBorder="1" applyAlignment="1">
      <alignment horizontal="center"/>
    </xf>
    <xf numFmtId="0" fontId="39" fillId="10" borderId="2" xfId="1" applyFont="1" applyFill="1" applyBorder="1" applyAlignment="1">
      <alignment horizontal="center" vertical="center"/>
    </xf>
    <xf numFmtId="0" fontId="47" fillId="0" borderId="6" xfId="1" applyFont="1" applyBorder="1" applyAlignment="1">
      <alignment horizontal="center"/>
    </xf>
    <xf numFmtId="0" fontId="47" fillId="0" borderId="7" xfId="1" applyFont="1" applyBorder="1" applyAlignment="1">
      <alignment horizontal="center"/>
    </xf>
    <xf numFmtId="0" fontId="47" fillId="0" borderId="18" xfId="1" applyFont="1" applyBorder="1" applyAlignment="1">
      <alignment horizontal="center"/>
    </xf>
    <xf numFmtId="0" fontId="47" fillId="0" borderId="8" xfId="1" applyFont="1" applyBorder="1" applyAlignment="1">
      <alignment horizontal="center"/>
    </xf>
    <xf numFmtId="165" fontId="36" fillId="0" borderId="44" xfId="1" applyNumberFormat="1" applyFont="1" applyBorder="1" applyAlignment="1">
      <alignment horizontal="center"/>
    </xf>
    <xf numFmtId="165" fontId="36" fillId="0" borderId="36" xfId="1" applyNumberFormat="1" applyFont="1" applyBorder="1" applyAlignment="1">
      <alignment horizontal="center"/>
    </xf>
    <xf numFmtId="165" fontId="36" fillId="0" borderId="124" xfId="1" applyNumberFormat="1" applyFont="1" applyBorder="1" applyAlignment="1">
      <alignment horizontal="center"/>
    </xf>
    <xf numFmtId="2" fontId="36" fillId="11" borderId="13" xfId="1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 vertical="top" wrapText="1"/>
    </xf>
    <xf numFmtId="0" fontId="8" fillId="0" borderId="122" xfId="0" applyFont="1" applyBorder="1" applyAlignment="1">
      <alignment horizontal="center"/>
    </xf>
    <xf numFmtId="0" fontId="8" fillId="0" borderId="96" xfId="0" applyFont="1" applyBorder="1" applyAlignment="1">
      <alignment horizontal="center"/>
    </xf>
    <xf numFmtId="0" fontId="8" fillId="0" borderId="123" xfId="0" applyFont="1" applyBorder="1" applyAlignment="1">
      <alignment horizontal="center"/>
    </xf>
  </cellXfs>
  <cellStyles count="7">
    <cellStyle name="Normal" xfId="0" builtinId="0"/>
    <cellStyle name="Normal 2" xfId="1" xr:uid="{00000000-0005-0000-0000-000001000000}"/>
    <cellStyle name="Normal 3" xfId="5" xr:uid="{E6285212-9ABD-46A9-BD67-2B245510D383}"/>
    <cellStyle name="Normal 4" xfId="6" xr:uid="{8B127CF1-E3A7-46CE-840D-E90A086F1FF7}"/>
    <cellStyle name="Percent" xfId="2" builtinId="5"/>
    <cellStyle name="Standard_AMPERA_ESC Data" xfId="3" xr:uid="{00000000-0005-0000-0000-000003000000}"/>
    <cellStyle name="표준 3" xfId="4" xr:uid="{5E336CB3-F14C-468F-9069-9B745DA7B721}"/>
  </cellStyles>
  <dxfs count="1758">
    <dxf>
      <fill>
        <patternFill>
          <bgColor theme="6"/>
        </patternFill>
      </fill>
    </dxf>
    <dxf>
      <fill>
        <patternFill>
          <bgColor rgb="FFD40022"/>
        </patternFill>
      </fill>
    </dxf>
    <dxf>
      <fill>
        <patternFill>
          <bgColor theme="9" tint="-0.499984740745262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theme="6"/>
        </patternFill>
      </fill>
    </dxf>
    <dxf>
      <font>
        <color rgb="FFD40022"/>
      </font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 patternType="darkGrid"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499984740745262"/>
      </font>
      <fill>
        <patternFill patternType="solid">
          <fgColor theme="0" tint="-0.499984740745262"/>
          <bgColor theme="0" tint="-0.49998474074526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499984740745262"/>
      </font>
      <fill>
        <patternFill patternType="solid">
          <fgColor theme="0" tint="-0.499984740745262"/>
          <bgColor theme="0" tint="-0.49998474074526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499984740745262"/>
      </font>
      <fill>
        <patternFill patternType="solid">
          <fgColor theme="0" tint="-0.499984740745262"/>
          <bgColor theme="0" tint="-0.499984740745262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ill>
        <patternFill>
          <bgColor rgb="FF7030A0"/>
        </patternFill>
      </fill>
    </dxf>
    <dxf>
      <fill>
        <patternFill>
          <bgColor theme="5" tint="0.59996337778862885"/>
        </patternFill>
      </fill>
    </dxf>
    <dxf>
      <font>
        <color theme="4"/>
      </font>
      <fill>
        <patternFill>
          <bgColor theme="4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b val="0"/>
        <i val="0"/>
        <strike val="0"/>
        <color rgb="FFFF0000"/>
      </font>
      <fill>
        <patternFill patternType="darkGrid">
          <bgColor rgb="FFFF0000"/>
        </patternFill>
      </fill>
    </dxf>
    <dxf>
      <font>
        <color rgb="FF00B050"/>
      </font>
      <fill>
        <patternFill patternType="darkGrid"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4"/>
      </font>
      <fill>
        <patternFill>
          <bgColor theme="4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b val="0"/>
        <i val="0"/>
        <strike val="0"/>
        <color rgb="FFFF0000"/>
      </font>
      <fill>
        <patternFill patternType="darkGrid">
          <bgColor rgb="FFFF0000"/>
        </patternFill>
      </fill>
    </dxf>
    <dxf>
      <font>
        <color rgb="FF00B050"/>
      </font>
      <fill>
        <patternFill patternType="darkGrid"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4"/>
      </font>
      <fill>
        <patternFill>
          <bgColor theme="4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b val="0"/>
        <i val="0"/>
        <strike val="0"/>
        <color rgb="FFFF0000"/>
      </font>
      <fill>
        <patternFill patternType="darkGrid">
          <bgColor rgb="FFFF0000"/>
        </patternFill>
      </fill>
    </dxf>
    <dxf>
      <font>
        <color rgb="FF00B050"/>
      </font>
      <fill>
        <patternFill patternType="darkGrid"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4"/>
      </font>
      <fill>
        <patternFill>
          <bgColor theme="4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b val="0"/>
        <i val="0"/>
        <strike val="0"/>
        <color rgb="FFFF0000"/>
      </font>
      <fill>
        <patternFill patternType="darkGrid">
          <bgColor rgb="FFFF0000"/>
        </patternFill>
      </fill>
    </dxf>
    <dxf>
      <font>
        <color rgb="FF00B050"/>
      </font>
      <fill>
        <patternFill patternType="darkGrid"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4"/>
      </font>
      <fill>
        <patternFill>
          <bgColor theme="4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b val="0"/>
        <i val="0"/>
        <strike val="0"/>
        <color rgb="FFFF0000"/>
      </font>
      <fill>
        <patternFill patternType="darkGrid">
          <bgColor rgb="FFFF0000"/>
        </patternFill>
      </fill>
    </dxf>
    <dxf>
      <font>
        <color rgb="FF00B050"/>
      </font>
      <fill>
        <patternFill patternType="darkGrid"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4"/>
      </font>
      <fill>
        <patternFill>
          <bgColor theme="4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b val="0"/>
        <i val="0"/>
        <strike val="0"/>
        <color rgb="FFFF0000"/>
      </font>
      <fill>
        <patternFill patternType="darkGrid">
          <bgColor rgb="FFFF0000"/>
        </patternFill>
      </fill>
    </dxf>
    <dxf>
      <font>
        <color rgb="FF00B050"/>
      </font>
      <fill>
        <patternFill patternType="darkGrid"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4"/>
      </font>
      <fill>
        <patternFill>
          <bgColor theme="4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b val="0"/>
        <i val="0"/>
        <strike val="0"/>
        <color rgb="FFFF0000"/>
      </font>
      <fill>
        <patternFill patternType="darkGrid">
          <bgColor rgb="FFFF0000"/>
        </patternFill>
      </fill>
    </dxf>
    <dxf>
      <font>
        <color rgb="FF00B050"/>
      </font>
      <fill>
        <patternFill patternType="darkGrid">
          <bgColor rgb="FF00B050"/>
        </patternFill>
      </fill>
    </dxf>
    <dxf>
      <font>
        <color indexed="13"/>
      </font>
      <fill>
        <patternFill>
          <bgColor indexed="13"/>
        </patternFill>
      </fill>
    </dxf>
    <dxf>
      <font>
        <color indexed="17"/>
      </font>
      <fill>
        <patternFill>
          <bgColor indexed="17"/>
        </patternFill>
      </fill>
    </dxf>
    <dxf>
      <font>
        <color indexed="17"/>
      </font>
      <fill>
        <patternFill patternType="darkGrid">
          <bgColor indexed="17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4"/>
      </font>
      <fill>
        <patternFill>
          <bgColor theme="4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b val="0"/>
        <i val="0"/>
        <strike val="0"/>
        <color rgb="FFFF0000"/>
      </font>
      <fill>
        <patternFill patternType="darkGrid">
          <bgColor rgb="FFFF0000"/>
        </patternFill>
      </fill>
    </dxf>
    <dxf>
      <font>
        <color rgb="FF00B050"/>
      </font>
      <fill>
        <patternFill patternType="darkGrid"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4"/>
      </font>
      <fill>
        <patternFill>
          <bgColor theme="4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b val="0"/>
        <i val="0"/>
        <strike val="0"/>
        <color rgb="FFFF0000"/>
      </font>
      <fill>
        <patternFill patternType="darkGrid">
          <bgColor rgb="FFFF0000"/>
        </patternFill>
      </fill>
    </dxf>
    <dxf>
      <font>
        <color rgb="FF00B050"/>
      </font>
      <fill>
        <patternFill patternType="darkGrid"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4"/>
      </font>
      <fill>
        <patternFill>
          <bgColor theme="4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b val="0"/>
        <i val="0"/>
        <strike val="0"/>
        <color rgb="FFFF0000"/>
      </font>
      <fill>
        <patternFill patternType="darkGrid">
          <bgColor rgb="FFFF0000"/>
        </patternFill>
      </fill>
    </dxf>
    <dxf>
      <font>
        <color rgb="FF00B050"/>
      </font>
      <fill>
        <patternFill patternType="darkGrid"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4"/>
      </font>
      <fill>
        <patternFill>
          <bgColor theme="4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b val="0"/>
        <i val="0"/>
        <strike val="0"/>
        <color rgb="FFFF0000"/>
      </font>
      <fill>
        <patternFill patternType="darkGrid">
          <bgColor rgb="FFFF0000"/>
        </patternFill>
      </fill>
    </dxf>
    <dxf>
      <font>
        <color rgb="FF00B050"/>
      </font>
      <fill>
        <patternFill patternType="darkGrid"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4"/>
      </font>
      <fill>
        <patternFill>
          <bgColor theme="4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b val="0"/>
        <i val="0"/>
        <strike val="0"/>
        <color rgb="FFFF0000"/>
      </font>
      <fill>
        <patternFill patternType="darkGrid">
          <bgColor rgb="FFFF0000"/>
        </patternFill>
      </fill>
    </dxf>
    <dxf>
      <font>
        <color rgb="FF00B050"/>
      </font>
      <fill>
        <patternFill patternType="darkGrid">
          <bgColor rgb="FF00B050"/>
        </patternFill>
      </fill>
    </dxf>
    <dxf>
      <font>
        <color indexed="13"/>
      </font>
      <fill>
        <patternFill>
          <bgColor indexed="13"/>
        </patternFill>
      </fill>
    </dxf>
    <dxf>
      <font>
        <color indexed="17"/>
      </font>
      <fill>
        <patternFill>
          <bgColor indexed="17"/>
        </patternFill>
      </fill>
    </dxf>
    <dxf>
      <font>
        <color indexed="17"/>
      </font>
      <fill>
        <patternFill patternType="darkGrid">
          <bgColor indexed="17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 tint="-0.24994659260841701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rgb="FFFF0000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rgb="FFFF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499984740745262"/>
        </patternFill>
      </fill>
    </dxf>
    <dxf>
      <font>
        <b val="0"/>
        <i val="0"/>
        <color auto="1"/>
      </font>
      <fill>
        <patternFill>
          <bgColor rgb="FF3A9C32"/>
        </patternFill>
      </fill>
    </dxf>
    <dxf>
      <font>
        <b val="0"/>
        <i val="0"/>
        <color auto="1"/>
      </font>
      <fill>
        <patternFill>
          <bgColor rgb="FFD40022"/>
        </patternFill>
      </fill>
    </dxf>
    <dxf>
      <fill>
        <patternFill>
          <bgColor rgb="FFF497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499984740745262"/>
        </patternFill>
      </fill>
    </dxf>
    <dxf>
      <font>
        <b val="0"/>
        <i val="0"/>
        <color auto="1"/>
      </font>
      <fill>
        <patternFill>
          <bgColor rgb="FF3A9C32"/>
        </patternFill>
      </fill>
    </dxf>
    <dxf>
      <font>
        <b val="0"/>
        <i val="0"/>
        <color auto="1"/>
      </font>
      <fill>
        <patternFill>
          <bgColor rgb="FFD40022"/>
        </patternFill>
      </fill>
    </dxf>
    <dxf>
      <fill>
        <patternFill>
          <bgColor rgb="FFF497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499984740745262"/>
        </patternFill>
      </fill>
    </dxf>
    <dxf>
      <font>
        <b val="0"/>
        <i val="0"/>
        <color auto="1"/>
      </font>
      <fill>
        <patternFill>
          <bgColor rgb="FF3A9C32"/>
        </patternFill>
      </fill>
    </dxf>
    <dxf>
      <font>
        <b val="0"/>
        <i val="0"/>
        <color auto="1"/>
      </font>
      <fill>
        <patternFill>
          <bgColor rgb="FFD40022"/>
        </patternFill>
      </fill>
    </dxf>
    <dxf>
      <fill>
        <patternFill>
          <bgColor rgb="FFF497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499984740745262"/>
        </patternFill>
      </fill>
    </dxf>
    <dxf>
      <font>
        <b val="0"/>
        <i val="0"/>
        <color auto="1"/>
      </font>
      <fill>
        <patternFill>
          <bgColor rgb="FF3A9C32"/>
        </patternFill>
      </fill>
    </dxf>
    <dxf>
      <font>
        <b val="0"/>
        <i val="0"/>
        <color auto="1"/>
      </font>
      <fill>
        <patternFill>
          <bgColor rgb="FFD40022"/>
        </patternFill>
      </fill>
    </dxf>
    <dxf>
      <fill>
        <patternFill>
          <bgColor rgb="FFF497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499984740745262"/>
        </patternFill>
      </fill>
    </dxf>
    <dxf>
      <font>
        <b val="0"/>
        <i val="0"/>
        <color auto="1"/>
      </font>
      <fill>
        <patternFill>
          <bgColor rgb="FF3A9C32"/>
        </patternFill>
      </fill>
    </dxf>
    <dxf>
      <font>
        <b val="0"/>
        <i val="0"/>
        <color auto="1"/>
      </font>
      <fill>
        <patternFill>
          <bgColor rgb="FFD40022"/>
        </patternFill>
      </fill>
    </dxf>
    <dxf>
      <fill>
        <patternFill>
          <bgColor rgb="FFF497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499984740745262"/>
        </patternFill>
      </fill>
    </dxf>
    <dxf>
      <font>
        <b val="0"/>
        <i val="0"/>
        <color auto="1"/>
      </font>
      <fill>
        <patternFill>
          <bgColor rgb="FF3A9C32"/>
        </patternFill>
      </fill>
    </dxf>
    <dxf>
      <font>
        <b val="0"/>
        <i val="0"/>
        <color auto="1"/>
      </font>
      <fill>
        <patternFill>
          <bgColor rgb="FFD40022"/>
        </patternFill>
      </fill>
    </dxf>
    <dxf>
      <fill>
        <patternFill>
          <bgColor rgb="FFF497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499984740745262"/>
        </patternFill>
      </fill>
    </dxf>
    <dxf>
      <font>
        <b val="0"/>
        <i val="0"/>
        <color auto="1"/>
      </font>
      <fill>
        <patternFill>
          <bgColor rgb="FF3A9C32"/>
        </patternFill>
      </fill>
    </dxf>
    <dxf>
      <font>
        <b val="0"/>
        <i val="0"/>
        <color auto="1"/>
      </font>
      <fill>
        <patternFill>
          <bgColor rgb="FFD40022"/>
        </patternFill>
      </fill>
    </dxf>
    <dxf>
      <fill>
        <patternFill>
          <bgColor rgb="FFF497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499984740745262"/>
        </patternFill>
      </fill>
    </dxf>
    <dxf>
      <font>
        <b val="0"/>
        <i val="0"/>
        <color auto="1"/>
      </font>
      <fill>
        <patternFill>
          <bgColor rgb="FF3A9C32"/>
        </patternFill>
      </fill>
    </dxf>
    <dxf>
      <font>
        <b val="0"/>
        <i val="0"/>
        <color auto="1"/>
      </font>
      <fill>
        <patternFill>
          <bgColor rgb="FFD40022"/>
        </patternFill>
      </fill>
    </dxf>
    <dxf>
      <fill>
        <patternFill>
          <bgColor rgb="FFF497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499984740745262"/>
        </patternFill>
      </fill>
    </dxf>
    <dxf>
      <font>
        <b val="0"/>
        <i val="0"/>
        <color auto="1"/>
      </font>
      <fill>
        <patternFill>
          <bgColor rgb="FF3A9C32"/>
        </patternFill>
      </fill>
    </dxf>
    <dxf>
      <font>
        <b val="0"/>
        <i val="0"/>
        <color auto="1"/>
      </font>
      <fill>
        <patternFill>
          <bgColor rgb="FFD40022"/>
        </patternFill>
      </fill>
    </dxf>
    <dxf>
      <fill>
        <patternFill>
          <bgColor rgb="FFF497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499984740745262"/>
        </patternFill>
      </fill>
    </dxf>
    <dxf>
      <font>
        <b val="0"/>
        <i val="0"/>
        <color auto="1"/>
      </font>
      <fill>
        <patternFill>
          <bgColor rgb="FF3A9C32"/>
        </patternFill>
      </fill>
    </dxf>
    <dxf>
      <font>
        <b val="0"/>
        <i val="0"/>
        <color auto="1"/>
      </font>
      <fill>
        <patternFill>
          <bgColor rgb="FFD40022"/>
        </patternFill>
      </fill>
    </dxf>
    <dxf>
      <fill>
        <patternFill>
          <bgColor rgb="FFF49700"/>
        </patternFill>
      </fill>
    </dxf>
    <dxf>
      <fill>
        <patternFill>
          <bgColor rgb="FFFF0000"/>
        </patternFill>
      </fill>
    </dxf>
    <dxf>
      <fill>
        <patternFill>
          <bgColor rgb="FFFF680B"/>
        </patternFill>
      </fill>
    </dxf>
    <dxf>
      <fill>
        <patternFill>
          <bgColor rgb="FF00FF00"/>
        </patternFill>
      </fill>
    </dxf>
    <dxf>
      <fill>
        <patternFill>
          <fgColor theme="0"/>
        </patternFill>
      </fill>
    </dxf>
    <dxf>
      <fill>
        <patternFill>
          <bgColor rgb="FFD40022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3A9C32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D40022"/>
        </patternFill>
      </fill>
    </dxf>
    <dxf>
      <fill>
        <patternFill>
          <bgColor rgb="FF3A9C32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theme="0" tint="-0.14996795556505021"/>
        </patternFill>
      </fill>
    </dxf>
    <dxf>
      <fill>
        <patternFill>
          <bgColor rgb="FFD40022"/>
        </patternFill>
      </fill>
    </dxf>
    <dxf>
      <fill>
        <patternFill>
          <bgColor rgb="FFFFC0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3A9C32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F49700"/>
        </patternFill>
      </fill>
    </dxf>
    <dxf>
      <fill>
        <patternFill>
          <bgColor rgb="FFD40022"/>
        </patternFill>
      </fill>
    </dxf>
    <dxf>
      <fill>
        <patternFill>
          <bgColor rgb="FFF49700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D40022"/>
        </patternFill>
      </fill>
    </dxf>
    <dxf>
      <fill>
        <patternFill>
          <bgColor rgb="FFF497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D40022"/>
        </patternFill>
      </fill>
    </dxf>
    <dxf>
      <fill>
        <patternFill>
          <bgColor rgb="FFFFC0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FFC000"/>
        </patternFill>
      </fill>
    </dxf>
    <dxf>
      <fill>
        <patternFill>
          <bgColor rgb="FF3A9C3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EC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EC00"/>
        </patternFill>
      </fill>
    </dxf>
    <dxf>
      <fill>
        <patternFill>
          <bgColor rgb="FF00B050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ill>
        <patternFill>
          <bgColor rgb="FFD40022"/>
        </patternFill>
      </fill>
    </dxf>
    <dxf>
      <fill>
        <patternFill>
          <bgColor rgb="FF753F2A"/>
        </patternFill>
      </fill>
    </dxf>
    <dxf>
      <fill>
        <patternFill>
          <bgColor rgb="FFF49700"/>
        </patternFill>
      </fill>
    </dxf>
    <dxf>
      <fill>
        <patternFill>
          <bgColor rgb="FFFFEC00"/>
        </patternFill>
      </fill>
    </dxf>
    <dxf>
      <fill>
        <patternFill>
          <bgColor rgb="FF3A9C32"/>
        </patternFill>
      </fill>
    </dxf>
    <dxf>
      <font>
        <b/>
        <i val="0"/>
        <color rgb="FF00FF00"/>
      </font>
      <fill>
        <patternFill>
          <bgColor theme="0"/>
        </patternFill>
      </fill>
      <border>
        <bottom style="thin">
          <color auto="1"/>
        </bottom>
      </border>
    </dxf>
    <dxf>
      <font>
        <b/>
        <i val="0"/>
        <color rgb="FF00FF00"/>
      </font>
      <fill>
        <patternFill>
          <bgColor theme="0"/>
        </patternFill>
      </fill>
      <border>
        <top style="thin">
          <color indexed="64"/>
        </top>
        <bottom style="thin">
          <color indexed="64"/>
        </bottom>
      </border>
    </dxf>
    <dxf>
      <font>
        <b/>
        <i val="0"/>
        <color rgb="FF00FF00"/>
      </font>
      <fill>
        <patternFill>
          <bgColor theme="0"/>
        </patternFill>
      </fill>
      <border>
        <top style="thin">
          <color indexed="64"/>
        </top>
        <bottom style="thin">
          <color indexed="64"/>
        </bottom>
      </border>
    </dxf>
    <dxf>
      <font>
        <b/>
        <i val="0"/>
        <color rgb="FF00FF00"/>
      </font>
      <fill>
        <patternFill>
          <bgColor theme="0"/>
        </patternFill>
      </fill>
      <border>
        <top style="thin">
          <color indexed="64"/>
        </top>
        <bottom style="thin">
          <color indexed="64"/>
        </bottom>
      </border>
    </dxf>
    <dxf>
      <font>
        <b/>
        <i val="0"/>
        <color rgb="FF00FF00"/>
      </font>
      <fill>
        <patternFill>
          <bgColor theme="0"/>
        </patternFill>
      </fill>
      <border>
        <top style="thin">
          <color auto="1"/>
        </top>
        <vertical/>
        <horizontal/>
      </border>
    </dxf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FF00"/>
      </font>
    </dxf>
  </dxfs>
  <tableStyles count="1" defaultTableStyle="TableStyleMedium9" defaultPivotStyle="PivotStyleLight16">
    <tableStyle name="Invisible" pivot="0" table="0" count="0" xr9:uid="{57DACB34-55DF-40E5-B23B-FA10524DF096}"/>
  </tableStyles>
  <colors>
    <mruColors>
      <color rgb="FF00FF00"/>
      <color rgb="FFFF00FF"/>
      <color rgb="FFFFEC00"/>
      <color rgb="FFF49700"/>
      <color rgb="FFD40022"/>
      <color rgb="FF3A9C32"/>
      <color rgb="FF753F2A"/>
      <color rgb="FF516D81"/>
      <color rgb="FF647C8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>
      <xs:element name="MAKE">
        <xs:complexType>
          <xs:sequence>
            <xs:element name="GENERAL">
              <xs:complexType>
                <xs:sequence>
                  <xs:element name="VEHICLE_SPECIFICATION">
                    <xs:complexType>
                      <xs:sequence>
                        <xs:element name="Test_Year" type="ex_int"/>
                        <xs:element name="Make" type="xs:string"/>
                        <xs:element name="Make_Model" type="xs:string"/>
                        <xs:element name="BASE_OR_OPTIONAL"/>
                        <xs:element name="Start_VIN" type="xs:string"/>
                        <xs:element name="Full_tested_model" type="xs:string" minOccurs="0"/>
                        <xs:element name="Full_Release_Date" type="xs:date" minOccurs="0"/>
                        <xs:element name="Release_date" type="xs:string" minOccurs="0"/>
                        <xs:element name="Kerb_weight" type="ex_int"/>
                        <xs:element name="Engine" type="xs:string"/>
                        <xs:element name="Is_Electric" type="xs:string"/>
                        <xs:element name="Trim_level" type="xs:string"/>
                        <xs:element name="Name_of_Option_Pack" type="xs:string"/>
                        <xs:element name="Body_type" type="xs:string"/>
                        <xs:element name="Hand_of_drive" type="xs:string"/>
                        <xs:element name="Vehicle_class" type="xs:string"/>
                        <xs:element name="Reference_Number"/>
                        <xs:element name="Frontal_MPDB_test" type="xs:string"/>
                        <xs:element name="Frontal_FW_test" type="xs:string"/>
                        <xs:element name="Side_MDB_test" type="xs:string"/>
                        <xs:element name="Side_Pole_test" type="xs:string" minOccurs="0"/>
                        <xs:element name="Side_O2O" type="xs:string" minOccurs="0"/>
                        <xs:element name="Whiplash_tests" type="xs:string"/>
                        <xs:element name="Pedestrian_tests" type="xs:string"/>
                        <xs:element name="Pedestrian_Car_Type" type="xs:string" minOccurs="0"/>
                        <xs:element name="Ped_First_Row_On_Screen" type="ex_int" minOccurs="0"/>
                        <xs:element name="AEB_VRU_Pedestrian_Tests" minOccurs="0"/>
                        <xs:element name="AEB_VRU_Cyclist_Tests" minOccurs="0"/>
                        <xs:element name="AEB_VRU_Motorcyclist_Tests" minOccurs="0"/>
                        <xs:element name="SBR_Test" type="xs:string" minOccurs="0"/>
                        <xs:element name="SAS_Test" type="xs:string" minOccurs="0"/>
                        <xs:element name="LSS_Test" type="xs:string" minOccurs="0"/>
                        <xs:element name="AEB_Car_to_Car_Tests" type="xs:string" minOccurs="0"/>
                        <xs:element name="Seating">
                          <xs:complexType>
                            <xs:sequence>
                              <xs:element name="Row_1">
                                <xs:complexType>
                                  <xs:attribute name="Number" type="ex_int"/>
                                  <xs:attribute name="Fitment" type="xs:string"/>
                                </xs:complexType>
                              </xs:element>
                              <xs:element name="Row_2">
                                <xs:complexType>
                                  <xs:attribute name="Number" type="ex_int"/>
                                  <xs:attribute name="Fitment" type="xs:string"/>
                                </xs:complexType>
                              </xs:element>
                              <xs:element name="Row_3">
                                <xs:complexType>
                                  <xs:attribute name="Number" type="ex_int"/>
                                  <xs:attribute name="Fitment" type="xs:string"/>
                                </xs:complexType>
                              </xs:element>
                            </xs:sequence>
                          </xs:complexType>
                        </xs:element>
                        <xs:element name="Type_Approval_Number" type="xs:string"/>
                      </xs:sequence>
                    </xs:complexType>
                  </xs:element>
                  <xs:element name="SAFETY_EQUIPMENT">
                    <xs:complexType>
                      <xs:sequence>
                        <xs:element name="ADULT_OCCUPANT">
                          <xs:complexType>
                            <xs:sequence>
                              <xs:element name="FRONTAL">
                                <xs:complexType>
                                  <xs:sequence>
                                    <xs:element name="frontal_airbag" type="GENERALOVERVIEW_Driver_Passenger_RearType"/>
                                    <xs:element name="belt_pretensioner" type="GENERALOVERVIEW_Driver_Passenger_RearType"/>
                                    <xs:element name="belt_loadlimiter" type="GENERALOVERVIEW_Driver_Passenger_RearType"/>
                                    <xs:element name="knee_airbag" type="GENERALOVERVIEW_Driver_Passenger_RearType"/>
                                  </xs:sequence>
                                </xs:complexType>
                              </xs:element>
                              <xs:element name="SIDE">
                                <xs:complexType>
                                  <xs:sequence>
                                    <xs:element name="side_head_airbag" type="GENERALOVERVIEW_Driver_Passenger_RearType"/>
                                    <xs:element name="side_chest_airbag" type="GENERALOVERVIEW_Driver_Passenger_RearType"/>
                                    <xs:element name="side_pelvis_airbag" type="GENERALOVERVIEW_Driver_Passenger_RearType"/>
                                    <xs:element name="centre_airbag" type="GENERALOVERVIEW_Driver_Passenger_RearType" minOccurs="0"/>
                                  </xs:sequence>
                                </xs:complexType>
                              </xs:element>
                              <xs:element name="WHIPLASH">
                                <xs:complexType>
                                  <xs:sequence>
                                    <xs:element name="type_of_seat" type="GENERALOVERVIEW_Driver_Passenger_RearType"/>
                                    <xs:element name="head_restraint" type="GENERALOVERVIEW_Driver_Passenger_RearType"/>
                                  </xs:sequence>
                                </xs:complexType>
                              </xs:element>
                              <xs:element name="FARSIDE">
                                <xs:complexType>
                                  <xs:sequence>
                                    <xs:element name="farside_restraint_system" type="SafetyEquipment_Fitment"/>
                                  </xs:sequence>
                                </xs:complexType>
                              </xs:element>
                              <xs:element name="RESCUE">
                                <xs:complexType>
                                  <xs:sequence>
                                    <xs:element name="advanced_ecall" type="SafetyEquipment_Fitment"/>
                                    <xs:element name="multi-collision_brake" type="SafetyEquipment_Fitment"/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  <xs:element name="CHILD_OCCUPANT">
                          <xs:complexType>
                            <xs:sequence>
                              <xs:element name="CHILD_RESTRAINT_SYSTEM">
                                <xs:complexType>
                                  <xs:sequence>
                                    <xs:element name="recommended_CRS">
                                      <xs:complexType>
                                        <xs:sequence>
                                          <xs:element name="Q6" type="xs:string"/>
                                          <xs:element name="Q10" type="xs:string"/>
                                        </xs:sequence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VEHICLE_BASED">
                                <xs:complexType>
                                  <xs:sequence>
                                    <xs:element name="ISOFIX" type="GENERALOVERVIEW_Driver_Passenger_RearType"/>
                                    <xs:element name="iSize" type="GENERALOVERVIEW_Driver_Passenger_RearType"/>
                                    <xs:element name="integrated_CRS" type="GENERALOVERVIEW_Driver_Passenger_RearType"/>
                                    <xs:element name="airbag_cut_off_switch" type="GENERALOVERVIEW_Driver_Passenger_RearType"/>
                                    <xs:element name="Child_Presence_Detection" type="GENERALOVERVIEW_Driver_Passenger_RearType"/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  <xs:element name="PEDESTRIAN">
                          <xs:complexType>
                            <xs:sequence>
                              <xs:element name="ACTIVE_PEDESTRIAN_SYSTEM">
                                <xs:complexType>
                                  <xs:sequence>
                                    <xs:element name="deployable_bonnet" type="SafetyEquipment_Fitment"/>
                                    <xs:element name="pedestrian_airbag" type="SafetyEquipment_Fitment"/>
                                  </xs:sequence>
                                  <xs:attribute name="Fitment"/>
                                </xs:complexType>
                              </xs:element>
                              <xs:element name="AEB_VRU">
                                <xs:complexType>
                                  <xs:attribute name="Fitment" type="xs:string"/>
                                </xs:complexType>
                              </xs:element>
                              <xs:element name="AEB_Pedestrian">
                                <xs:complexType>
                                  <xs:attribute name="Fitment" type="xs:string"/>
                                </xs:complexType>
                              </xs:element>
                              <xs:element name="AEB_Cyclist">
                                <xs:complexType>
                                  <xs:attribute name="Fitment" type="xs:string"/>
                                </xs:complexType>
                              </xs:element>
                              <xs:element name="AEB_Motorcyclist">
                                <xs:complexType>
                                  <xs:attribute name="Fitment" type="xs:string"/>
                                </xs:complexType>
                              </xs:element>
                              <xs:element name="AEB_Reverse">
                                <xs:complexType>
                                  <xs:attribute name="Fitment" type="xs:string"/>
                                </xs:complexType>
                              </xs:element>
                              <xs:element name="Cyclist_Dooring">
                                <xs:complexType>
                                  <xs:attribute name="Fitment" type="xs:string"/>
                                </xs:complexType>
                              </xs:element>
                            </xs:sequence>
                          </xs:complexType>
                        </xs:element>
                        <xs:element name="SAFETY_ASSIST">
                          <xs:complexType>
                            <xs:sequence>
                              <xs:element name="SAFETY_ASSIST_SYSTEMS">
                                <xs:complexType>
                                  <xs:sequence>
                                    <xs:element name="SBR">
                                      <xs:complexType>
                                        <xs:sequence>
                                          <xs:element name="driver" type="SafetyEquipment_Fitment"/>
                                          <xs:element name="front_passenger" type="SafetyEquipment_Fitment"/>
                                          <xs:element name="rear_passenger" type="SafetyEquipment_Fitment"/>
                                          <xs:element name="row_3" type="SafetyEquipment_Fitment"/>
                                        </xs:sequence>
                                      </xs:complexType>
                                    </xs:element>
                                    <xs:element name="Driver_Monitoring" type="SafetyEquipment_Fitment"/>
                                    <xs:element name="Fatigue_Distraction" type="SafetyEquipment_Fitment"/>
                                    <xs:element name="AEB_Car-to_Car" type="SafetyEquipment_Fitment"/>
                                    <xs:element name="Speed_Assist_System" type="SafetyEquipment_Fitment"/>
                                    <xs:element name="Lane_Assist_System" type="SafetyEquipment_Fitment"/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</xs:sequence>
                    </xs:complexType>
                  </xs:element>
                  <xs:element name="PROTOCOLS" minOccurs="0">
                    <xs:complexType>
                      <xs:sequence>
                        <xs:element name="GENERAL">
                          <xs:complexType>
                            <xs:sequence>
                              <xs:element name="VEHICLE_SPECIFICATION_SPONSORSHIP" type="PROTOCOLType"/>
                              <xs:element name="EURO_NCAP_ASSESSMENT_PROTOCOL_OVERALL_RATING" type="PROTOCOLType"/>
                            </xs:sequence>
                          </xs:complexType>
                        </xs:element>
                        <xs:element name="ADULT_OCCUPANT_PROTECTION">
                          <xs:complexType>
                            <xs:sequence>
                              <xs:element name="EURO_NCAP_ASSESSMENT_PROTOCOL_AOP" type="PROTOCOLType"/>
                              <xs:element name="FRONTAL_ODB_TEST_PROTOCOL" type="PROTOCOLType"/>
                              <xs:element name="FRONTAL_FULL_WIDTH_TEST_PROTOCOL" type="PROTOCOLType"/>
                              <xs:element name="SIDE_BARRIER_IMPACT_TEST_PROTOCOL" type="PROTOCOLType"/>
                              <xs:element name="SIDE_POLE_IMPACT_TEST_PROTOCOL" type="PROTOCOLType"/>
                              <xs:element name="WHIPLASH_TESTING_PROTOCOL" type="PROTOCOLType"/>
                              <xs:element name="REAR_WHIPLASH_TEST_PROTOCOL" type="PROTOCOLType"/>
                              <xs:element name="SLED_TEST_PROCEDURE" type="PROTOCOLType"/>
                              <xs:element name="AEB_TEST_PROCEDURE" type="PROTOCOLType"/>
                            </xs:sequence>
                          </xs:complexType>
                        </xs:element>
                        <xs:element name="CHILD_OCCUPANT_PROTECTION">
                          <xs:complexType>
                            <xs:sequence>
                              <xs:element name="EURO_NCAP_ASSESSMENT_PROTOCOL_COP" type="PROTOCOLType"/>
                              <xs:element name="COP_TEST_PROTOCOL_COP" type="PROTOCOLType"/>
                            </xs:sequence>
                          </xs:complexType>
                        </xs:element>
                        <xs:element name="PEDESTRIAN_PROTECTION">
                          <xs:complexType>
                            <xs:sequence>
                              <xs:element name="EURO_NCAP_ASSESSMENT_PROTOCOL_PP" type="PROTOCOLType"/>
                              <xs:element name="PEDESTRIAN_TEST_PROTOCOL" type="PROTOCOLType"/>
                              <xs:element name="AEB_VRU_TEST_PROTOCOL" type="PROTOCOLType"/>
                            </xs:sequence>
                          </xs:complexType>
                        </xs:element>
                        <xs:element name="SAFETY_ASSIST">
                          <xs:complexType>
                            <xs:sequence>
                              <xs:element name="EURO_NCAP_ASSESSMENT_PROTOCOL_SA" type="PROTOCOLType"/>
                              <xs:element name="SAS_TEST_PROTOCOL" type="PROTOCOLType"/>
                              <xs:element name="AEB_TEST_PROTOCOL" type="PROTOCOLType"/>
                              <xs:element name="LSS_TEST_PROTOCOL" type="PROTOCOLType"/>
                            </xs:sequence>
                          </xs:complexType>
                        </xs:element>
                      </xs:sequence>
                    </xs:complexType>
                  </xs:element>
                  <xs:element name="VEHICE_SETTINGS" minOccurs="0">
                    <xs:complexType>
                      <xs:sequence>
                        <xs:element name="Vehicle_Preparation">
                          <xs:complexType>
                            <xs:attribute name="Fuel_tank_Capacity" type="ex_dec"/>
                            <xs:attribute name="Tyre_pressure" type="ex_dec"/>
                            <xs:attribute name="wheel_arch_height" type="ex_dec"/>
                          </xs:complexType>
                        </xs:element>
                        <xs:element name="SEAT_SETTING">
                          <xs:complexType>
                            <xs:sequence>
                              <xs:element name="FRONT_SEATS">
                                <xs:complexType>
                                  <xs:sequence>
                                    <xs:element name="Fifith" type="Seat_Properties_Type"/>
                                    <xs:element name="Fiftieth" type="Seat_Properties_Type"/>
                                    <xs:element name="Ninety_Fifith">
                                      <xs:complexType>
                                        <xs:attribute name="Fore_Aft" type="xs:string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REAR_SEATS">
                                <xs:complexType>
                                  <xs:complexContent>
                                    <xs:extension base="Seat_Properties_Type"/>
                                  </xs:complexContent>
                                </xs:complexType>
                              </xs:element>
                            </xs:sequence>
                          </xs:complexType>
                        </xs:element>
                        <xs:element name="Steering_Wheel_Setting">
                          <xs:complexType>
                            <xs:sequence>
                              <xs:element name="Fifth">
                                <xs:complexType>
                                  <xs:attribute name="Horizontal" type="ex_dec"/>
                                  <xs:attribute name="Vertical" type="ex_dec"/>
                                </xs:complexType>
                              </xs:element>
                              <xs:element name="Fiftieth">
                                <xs:complexType>
                                  <xs:attribute name="Horizontal" type="ex_dec"/>
                                  <xs:attribute name="Vertical" type="ex_dec"/>
                                </xs:complexType>
                              </xs:element>
                            </xs:sequence>
                          </xs:complexType>
                        </xs:element>
                      </xs:sequence>
                    </xs:complexType>
                  </xs:element>
                </xs:sequence>
              </xs:complexType>
            </xs:element>
            <xs:element name="OVERALL_RATING">
              <xs:complexType>
                <xs:sequence>
                  <xs:element name="Total_Score">
                    <xs:complexType>
                      <xs:attribute name="Adult_Occupant" type="ex_dec"/>
                      <xs:attribute name="Child_Occupant" type="ex_dec"/>
                      <xs:attribute name="Pedestrian" type="ex_dec"/>
                      <xs:attribute name="Safety_Assist" type="ex_dec"/>
                    </xs:complexType>
                  </xs:element>
                  <xs:element name="Max_Points_available">
                    <xs:complexType>
                      <xs:attribute name="Adult_Occupant" type="ex_dec"/>
                      <xs:attribute name="Child_Occupant" type="ex_dec"/>
                      <xs:attribute name="Pedestrian" type="ex_dec"/>
                      <xs:attribute name="Safety_Assist" type="ex_dec"/>
                    </xs:complexType>
                  </xs:element>
                  <xs:element name="Normalised_Score">
                    <xs:complexType>
                      <xs:attribute name="Adult_Occupant" type="ex_dec"/>
                      <xs:attribute name="Child_Occupant" type="ex_dec"/>
                      <xs:attribute name="Pedestrian" type="ex_dec"/>
                      <xs:attribute name="Safety_Assist" type="ex_dec"/>
                    </xs:complexType>
                  </xs:element>
                  <xs:element name="Weight">
                    <xs:complexType>
                      <xs:attribute name="Adult_Occupant" type="ex_dec"/>
                      <xs:attribute name="Child_Occupant" type="ex_dec"/>
                      <xs:attribute name="Pedestrian" type="ex_dec"/>
                      <xs:attribute name="Safety_Assist" type="ex_dec"/>
                    </xs:complexType>
                  </xs:element>
                </xs:sequence>
                <xs:attribute name="Total" type="ex_dec"/>
                <xs:attribute name="Rating_Stars" type="ex_int"/>
              </xs:complexType>
            </xs:element>
            <xs:element name="AOP">
              <xs:complexType>
                <xs:sequence>
                  <xs:element name="AOP_Frontal_MPDB">
                    <xs:complexType>
                      <xs:sequence>
                        <xs:element name="Head_and_Neck_assessment">
                          <xs:complexType>
                            <xs:complexContent>
                              <xs:extension base="Driver_Passenger_PointsType">
                                <xs:sequence>
                                  <xs:element name="Head_assessment">
                                    <xs:complexType>
                                      <xs:complexContent>
                                        <xs:extension base="Driver_Passenger_Points_Colour_Type">
                                          <xs:sequence>
                                            <xs:element name="Steering_wheel_airbag_present" type="xs:string"/>
                                            <xs:element name="Peak_resultant_acceleration" type="Driver_Passenger_Value_PointsType"/>
                                            <xs:element name="HIC36" type="Driver_Passenger_Value_PointsType"/>
                                            <xs:element name="Resultant_Acc_3_msec_exeedence" type="Driver_Passenger_Value_PointsType"/>
                                            <xs:element name="DAMAGE" type="Driver_Passenger_Value_PointsType"/>
                                            <xs:element name="SUFEHM" type="Driver_Passenger_Value_PointsType"/>
                                            <xs:element name="BrIC" type="Driver_Passenger_Value_PointsType"/>
                                            <xs:element name="UBriC" type="Driver_Passenger_Value_PointsType"/>
                                            <xs:element name="HAIC" type="Driver_Passenger_Value_PointsType"/>
                                            <xs:element name="KTH" type="Driver_Passenger_Value_PointsType"/>
                                            <xs:element name="Airbag_contact_modifier" type="Driver_Passenger_PointsType"/>
                                            <xs:element name="Hazardous_airbag_deployment_modifier" type="Driver_Passenger_PointsType"/>
                                            <xs:element name="Incorrect_airbag_deployment_modifier" type="Driver_Passenger_PointsType"/>
                                            <xs:element name="Steering_wheel_displacement">
                                              <xs:complexType>
                                                <xs:complexContent>
                                                  <xs:extension base="String_and_Value">
                                                    <xs:sequence>
                                                      <xs:element name="Fore_aft_displacement" type="ex_dec" nillable="true"/>
                                                      <xs:element name="Vertical_displacement" type="ex_dec" nillable="true"/>
                                                      <xs:element name="Lateral_displacement" type="ex_dec" nillable="true"/>
                                                    </xs:sequence>
                                                  </xs:extension>
                                                </xs:complexContent>
                                              </xs:complexType>
                                            </xs:element>
                                          </xs:sequence>
                                        </xs:extension>
                                      </xs:complexContent>
                                    </xs:complexType>
                                  </xs:element>
                                  <xs:element name="Neck_assessment">
                                    <xs:complexType>
                                      <xs:complexContent>
                                        <xs:extension base="Driver_Passenger_Points_Colour_Type">
                                          <xs:sequence>
                                            <xs:element name="Shear_level_exceeded_kN" type="Driver_Passenger_Value_PointsType"/>
                                            <xs:element name="Shear_level_exceeded_duration_of_exceedence_ms" type="Driver_Passenger_Value_PointsType"/>
                                            <xs:element name="Tension_level_exceeded_kN" type="Driver_Passenger_Value_PointsType"/>
                                            <xs:element name="Tension_level_exceeded_duration_of_exceedence_ms" type="Driver_Passenger_Value_PointsType"/>
                                            <xs:element name="Extension_Nm" type="Driver_Passenger_Value_PointsType"/>
                                          </xs:sequence>
                                        </xs:extension>
                                      </xs:complexContent>
                                    </xs:complexType>
                                  </xs:element>
                                </xs:sequence>
                              </xs:extension>
                            </xs:complexContent>
                          </xs:complexType>
                        </xs:element>
                        <xs:element name="Chest_and_Abdomen_assessment">
                          <xs:complexType>
                            <xs:complexContent>
                              <xs:extension base="Driver_Passenger_Points_Colour_Type">
                                <xs:sequence>
                                  <xs:element name="Chest_assessment">
                                    <xs:complexType>
                                      <xs:complexContent>
                                        <xs:extension base="Driver_Passenger_Points_Colour_Type">
                                          <xs:sequence>
                                            <xs:element name="Dr_Compression">
                                              <xs:complexType>
                                                <xs:complexContent>
                                                  <xs:extension base="Driver_Passenger_Value_PointsType">
                                                    <xs:sequence>
                                                      <xs:element name="Upper_Left" type="xs:decimal"/>
                                                      <xs:element name="Upper_Right" type="xs:decimal"/>
                                                      <xs:element name="Lower_Left" type="xs:decimal"/>
                                                      <xs:element name="Lower_Right" type="xs:decimal"/>
                                                    </xs:sequence>
                                                  </xs:extension>
                                                </xs:complexContent>
                                              </xs:complexType>
                                            </xs:element>
                                            <xs:element name="Dr_Chest_D_Rmax" type="Driver_Passenger_Value_PointsType"/>
                                            <xs:element name="Dr_Chest_D_PCA" type="Driver_Passenger_Value_PointsType"/>
                                            <xs:element name="Dr_Chest_D_TIC" type="Driver_Passenger_Value_PointsType"/>
                                            <xs:element name="Compression">
                                              <xs:complexType>
                                                <xs:complexContent>
                                                  <xs:extension base="Driver_Passenger_Value_PointsType"/>
                                                </xs:complexContent>
                                              </xs:complexType>
                                            </xs:element>
                                            <xs:element name="Viscous_criterion" type="Driver_Passenger_Value_PointsType"/>
                                            <xs:element name="Shoulder_belt_load_kN" type="Driver_Passenger_Value_PointsType"/>
                                            <xs:element name="Incorrect_airbag_deployment_modifier" type="Driver_Passenger_PointsType"/>
                                            <xs:element name="Steering_wheel_contact" type="Driver_PointsType"/>
                                            <xs:element name="A_Pillar_displacement" type="Sliding_Scale_Modifier"/>
                                            <xs:element name="Unstable_passenger_compartment" type="ex_int"/>
                                          </xs:sequence>
                                        </xs:extension>
                                      </xs:complexContent>
                                    </xs:complexType>
                                  </xs:element>
                                  <xs:element name="Abdomen">
                                    <xs:complexType>
                                      <xs:complexContent>
                                        <xs:extension base="Driver_Passenger_Points_Colour_Type">
                                          <xs:sequence>
                                            <xs:element name="Compression_L" type="Driver_Passenger_Value_PointsType"/>
                                            <xs:element name="Compression_R" type="Driver_Passenger_Value_PointsType"/>
                                          </xs:sequence>
                                        </xs:extension>
                                      </xs:complexContent>
                                    </xs:complexType>
                                  </xs:element>
                                </xs:sequence>
                              </xs:extension>
                            </xs:complexContent>
                          </xs:complexType>
                        </xs:element>
                        <xs:element name="Knee_Femur_and_Pelvis_assessment">
                          <xs:complexType>
                            <xs:complexContent>
                              <xs:extension base="Driver_Passenger_PointsType">
                                <xs:sequence>
                                  <xs:element name="Pelvis">
                                    <xs:complexType>
                                      <xs:sequence>
                                        <xs:element name="Left_Acetabulum_Comp" type="Driver_Value_PointsType"/>
                                        <xs:element name="Right_Acetabulum_Comp" type="Driver_Value_PointsType"/>
                                        <xs:element name="Submarining_Modifier">
                                          <xs:complexType>
                                            <xs:attribute name="Yes_No" type="xs:string"/>
                                            <xs:attribute name="Value" type="xs:decimal"/>
                                          </xs:complexType>
                                        </xs:element>
                                      </xs:sequence>
                                      <xs:attribute name="DriverPoints" type="ex_dec" use="optional"/>
                                      <xs:attribute name="Driver_Colour" type="xs:string"/>
                                    </xs:complexType>
                                  </xs:element>
                                  <xs:element name="Left_Knee_Femur_and_Pelvis_assessment">
                                    <xs:complexType>
                                      <xs:complexContent>
                                        <xs:extension base="Driver_Passenger_Points_Colour_Type">
                                          <xs:sequence>
                                            <xs:element name="Left_Knee_Slide" type="Driver_Passenger_Value_PointsType"/>
                                            <xs:element name="Left_Femur_Compression_level_exceeded_kN" type="Driver_Passenger_Value_PointsType"/>
                                            <xs:element name="Left_femur_compression_duration" type="Driver_Passenger_Value_PointsType"/>
                                            <xs:element name="Variable_contact" type="Driver_Passenger_PointsType"/>
                                            <xs:element name="Concentrated_loading" type="Driver_Passenger_PointsType"/>
                                            <xs:element name="Incorrect_airbag_deployment_modifier" type="Driver_Passenger_PointsType"/>
                                          </xs:sequence>
                                        </xs:extension>
                                      </xs:complexContent>
                                    </xs:complexType>
                                  </xs:element>
                                  <xs:element name="Right_Knee_Femur_and_Pelvis_assessment">
                                    <xs:complexType>
                                      <xs:complexContent>
                                        <xs:extension base="Driver_Passenger_Points_Colour_Type">
                                          <xs:sequence>
                                            <xs:element name="Right_Knee_Slide" type="Driver_Passenger_Value_PointsType"/>
                                            <xs:element name="Right_Femur_Compression_level_exceeded_kN" type="Driver_Passenger_Value_PointsType"/>
                                            <xs:element name="Right_femur_compression_duration" type="Driver_Passenger_Value_PointsType"/>
                                            <xs:element name="Variable_contact" type="Driver_Passenger_PointsType"/>
                                            <xs:element name="Concentrated_loading" type="Driver_Passenger_PointsType"/>
                                            <xs:element name="Incorrect_airbag_deployment_modifier" type="Driver_Passenger_PointsType"/>
                                          </xs:sequence>
                                        </xs:extension>
                                      </xs:complexContent>
                                    </xs:complexType>
                                  </xs:element>
                                </xs:sequence>
                              </xs:extension>
                            </xs:complexContent>
                          </xs:complexType>
                        </xs:element>
                        <xs:element name="Lower_Leg_Foot_and_Ankle_assessment">
                          <xs:complexType>
                            <xs:complexContent>
                              <xs:extension base="Driver_Passenger_PointsType">
                                <xs:sequence>
                                  <xs:element name="Left_Lower_Leg_assessment">
                                    <xs:complexType>
                                      <xs:complexContent>
                                        <xs:extension base="Driver_Passenger_Points_Colour_Type">
                                          <xs:sequence>
                                            <xs:element name="Left_compression_kN" type="Driver_Passenger_Value_PointsType"/>
                                            <xs:element name="Left_Upper_Tibia_Index" type="Driver_Passenger_Value_PointsType"/>
                                            <xs:element name="Left_Lower_Tibia_Index" type="Driver_Passenger_Value_PointsType"/>
                                            <xs:element name="Maximum_pedal_vertical_displacement">
                                              <xs:complexType>
                                                <xs:complexContent>
                                                  <xs:extension base="String_and_Value">
                                                    <xs:sequence>
                                                      <xs:element name="Brake_Vertical_displacement"/>
                                                      <xs:element name="Clutch_Vertical_displacement" type="ex_dec" nillable="true"/>
                                                      <xs:element name="Accel_Vertical_displacement" type="ex_dec" nillable="true"/>
                                                    </xs:sequence>
                                                  </xs:extension>
                                                </xs:complexContent>
                                              </xs:complexType>
                                            </xs:element>
                                          </xs:sequence>
                                        </xs:extension>
                                      </xs:complexContent>
                                    </xs:complexType>
                                  </xs:element>
                                  <xs:element name="Right_Lower_Leg_assessment">
                                    <xs:complexType>
                                      <xs:complexContent>
                                        <xs:extension base="Driver_Passenger_Points_Colour_Type">
                                          <xs:sequence>
                                            <xs:element name="Right_compression_kN" type="Driver_Passenger_Value_PointsType"/>
                                            <xs:element name="Right_Upper_Tibia_Index_" type="Driver_Passenger_Value_PointsType"/>
                                            <xs:element name="Right_Lower_Tibia_Index" type="Driver_Passenger_Value_PointsType"/>
                                            <xs:element name="Maximum_pedal_vertical_displacement">
                                              <xs:complexType>
                                                <xs:complexContent>
                                                  <xs:extension base="String_and_Value">
                                                    <xs:sequence>
                                                      <xs:element name="Brake_Vertical_displacement" type="ex_dec" nillable="true"/>
                                                      <xs:element name="Clutch_Vertical_displacement" type="ex_dec" nillable="true"/>
                                                      <xs:element name="Accel_Vertical_displacement" type="ex_dec" nillable="true"/>
                                                    </xs:sequence>
                                                  </xs:extension>
                                                </xs:complexContent>
                                              </xs:complexType>
                                            </xs:element>
                                          </xs:sequence>
                                        </xs:extension>
                                      </xs:complexContent>
                                    </xs:complexType>
                                  </xs:element>
                                  <xs:element name="Foot_and_Ankle_assessment">
                                    <xs:complexType>
                                      <xs:complexContent>
                                        <xs:extension base="Driver_Passenger_Points_Colour_Type">
                                          <xs:sequence>
                                            <xs:element name="Maximum_pedal_horizontal_displacement">
                                              <xs:complexType>
                                                <xs:complexContent>
                                                  <xs:extension base="String_and_Value">
                                                    <xs:sequence>
                                                      <xs:element name="Brake_Horizontal_displacement" type="ex_dec" nillable="true"/>
                                                      <xs:element name="Clutch_Horizontal_displacement" type="ex_dec" nillable="true"/>
                                                      <xs:element name="Accel_Horizontal_displacement" type="ex_dec" nillable="true"/>
                                                    </xs:sequence>
                                                  </xs:extension>
                                                </xs:complexContent>
                                              </xs:complexType>
                                            </xs:element>
                                            <xs:element name="Footwell_Rupture" type="ex_dec"/>
                                            <xs:element name="Pedal_Blocking" type="Sliding_Scale_Modifier"/>
                                          </xs:sequence>
                                        </xs:extension>
                                      </xs:complexContent>
                                    </xs:complexType>
                                  </xs:element>
                                </xs:sequence>
                              </xs:extension>
                            </xs:complexContent>
                          </xs:complexType>
                        </xs:element>
                        <xs:element name="SUMMARY">
                          <xs:complexType>
                            <xs:sequence>
                              <xs:element name="Head_and_Neck_assessment" type="Driver_Passenger_PointsType"/>
                              <xs:element name="Chest_and_Abdomen_assessment" type="Driver_Passenger_PointsType"/>
                              <xs:element name="Knee_Femur_and_Pelvis_assessment" type="Driver_Passenger_PointsType"/>
                              <xs:element name="Lower_Leg_Foot_and_Ankle_Assessment" type="Driver_Passenger_PointsType"/>
                            </xs:sequence>
                          </xs:complexType>
                        </xs:element>
                        <xs:element name="Door_Opening" type="ex_int"/>
                        <xs:element name="COMPATIBILITY">
                          <xs:complexType>
                            <xs:sequence>
                              <xs:element name="Standard_Deviation" type="Value_PointsType"/>
                              <xs:element name="OLC_g" type="Value_PointsType"/>
                              <xs:element name="Bottoming_Out">
                                <xs:complexType>
                                  <xs:attribute name="Yes_No" type="xs:string"/>
                                  <xs:attribute name="Value" type="xs:decimal"/>
                                </xs:complexType>
                              </xs:element>
                              <xs:element name="Veh_LHS_B_Pill_OLC" type="Value_PointsType"/>
                              <xs:element name="Veh_RHS_B_Pill_OLC" type="Value_PointsType"/>
                            </xs:sequence>
                            <xs:attribute name="Compatibility_Assessment" type="ex_dec"/>
                          </xs:complexType>
                        </xs:element>
                        <xs:element name="TOTAL" type="Driver_Passenger_PointsType"/>
                        <xs:element name="DUMMY_MEASUREMENTS" nillable="true" minOccurs="0">
                          <xs:complexType>
                            <xs:sequence>
                              <xs:element name="Head">
                                <xs:complexType>
                                  <xs:sequence>
                                    <xs:element name="Ax_Max" type="Driver_Passenger_ValueType"/>
                                    <xs:element name="Ax_Min" type="Driver_Passenger_ValueType"/>
                                    <xs:element name="Ay_Max" type="Driver_Passenger_ValueType"/>
                                    <xs:element name="Ay_Min" type="Driver_Passenger_ValueType"/>
                                    <xs:element name="Az_Max" type="Driver_Passenger_ValueType"/>
                                    <xs:element name="Az_Min" type="Driver_Passenger_ValueType"/>
                                    <xs:element name="Wx_Max" type="Driver_Passenger_ValueType"/>
                                    <xs:element name="Wx_Min" type="Driver_Passenger_ValueType"/>
                                    <xs:element name="Wy_Max" type="Driver_Passenger_ValueType"/>
                                    <xs:element name="Wy_Min" type="Driver_Passenger_ValueType"/>
                                    <xs:element name="Wz_Max" type="Driver_Passenger_ValueType"/>
                                    <xs:element name="Wz_Min" type="Driver_Passenger_ValueType"/>
                                  </xs:sequence>
                                </xs:complexType>
                              </xs:element>
                              <xs:element name="Skull_Spring">
                                <xs:complexType>
                                  <xs:sequence>
                                    <xs:element name="Fz_Front_Max" type="Driver_Passenger_ValueType"/>
                                    <xs:element name="Fz_Front_Min" type="Driver_Passenger_ValueType"/>
                                    <xs:element name="Fz_Rear_Max" type="Driver_Passenger_ValueType"/>
                                    <xs:element name="Fz_Rear_Min" type="Driver_Passenger_ValueType"/>
                                  </xs:sequence>
                                </xs:complexType>
                              </xs:element>
                              <xs:element name="Brain_Injury">
                                <xs:complexType>
                                  <xs:sequence>
                                    <xs:element name="SUFEHM" type="Driver_Passenger_ValueType"/>
                                    <xs:element name="BrIC" type="Driver_Passenger_ValueType"/>
                                  </xs:sequence>
                                </xs:complexType>
                              </xs:element>
                              <xs:element name="Neck">
                                <xs:complexType>
                                  <xs:sequence>
                                    <xs:element name="Fx_Max" type="Driver_Passenger_ValueType"/>
                                    <xs:element name="Fx_Min" type="Driver_Passenger_ValueType"/>
                                    <xs:element name="Fy_Max" type="Driver_Passenger_ValueType"/>
                                    <xs:element name="Fy_Min" type="Driver_Passenger_ValueType"/>
                                    <xs:element name="Fz_Max" type="Driver_Passenger_ValueType"/>
                                    <xs:element name="Fz_Min" type="Driver_Passenger_ValueType"/>
                                    <xs:element name="Mx_Max" type="Driver_Passenger_ValueType"/>
                                    <xs:element name="Mx_Min" type="Driver_Passenger_ValueType"/>
                                    <xs:element name="My_Max" type="Driver_Passenger_ValueType"/>
                                    <xs:element name="My_Min" type="Driver_Passenger_ValueType"/>
                                    <xs:element name="Mz_Max" type="Driver_Passenger_ValueType"/>
                                    <xs:element name="Mz_Min" type="Driver_Passenger_ValueType"/>
                                  </xs:sequence>
                                </xs:complexType>
                              </xs:element>
                              <xs:element name="Clavicle_Left_Inner">
                                <xs:complexType>
                                  <xs:sequence>
                                    <xs:element name="Fx_Max" type="Driver_Passenger_ValueType"/>
                                    <xs:element name="Fx_Min" type="Driver_Passenger_ValueType"/>
                                    <xs:element name="Fy_Max" type="Driver_Passenger_ValueType"/>
                                    <xs:element name="Fy_Min" type="Driver_Passenger_ValueType"/>
                                    <xs:element name="Fz_Max" type="Driver_Passenger_ValueType"/>
                                  </xs:sequence>
                                </xs:complexType>
                              </xs:element>
                              <xs:element name="Clavicle_Left_Outer">
                                <xs:complexType>
                                  <xs:sequence>
                                    <xs:element name="Fx_Max" type="Driver_Passenger_ValueType"/>
                                    <xs:element name="Fx_Min" type="Driver_Passenger_ValueType"/>
                                    <xs:element name="Fy_Max" type="Driver_Passenger_ValueType"/>
                                    <xs:element name="Fy_Min" type="Driver_Passenger_ValueType"/>
                                    <xs:element name="Fz_Max" type="Driver_Passenger_ValueType"/>
                                  </xs:sequence>
                                </xs:complexType>
                              </xs:element>
                              <xs:element name="Clavicle_Right_Inner">
                                <xs:complexType>
                                  <xs:sequence>
                                    <xs:element name="Fx_Max" type="Driver_Passenger_ValueType"/>
                                    <xs:element name="Fx_Min" type="Driver_Passenger_ValueType"/>
                                    <xs:element name="Fy_Max" type="Driver_Passenger_ValueType"/>
                                    <xs:element name="Fy_Min" type="Driver_Passenger_ValueType"/>
                                    <xs:element name="Fz_Max" type="Driver_Passenger_ValueType"/>
                                  </xs:sequence>
                                </xs:complexType>
                              </xs:element>
                              <xs:element name="Clavicle_Right_Outer">
                                <xs:complexType>
                                  <xs:sequence>
                                    <xs:element name="Fx_Max" type="Driver_Passenger_ValueType"/>
                                    <xs:element name="Fx_Min" type="Driver_Passenger_ValueType"/>
                                    <xs:element name="Fy_Max" type="Driver_Passenger_ValueType"/>
                                    <xs:element name="Fy_Min" type="Driver_Passenger_ValueType"/>
                                    <xs:element name="Fz_Max" type="Driver_Passenger_ValueType"/>
                                  </xs:sequence>
                                </xs:complexType>
                              </xs:element>
                              <xs:element name="Chest_Left_Upper">
                                <xs:complexType>
                                  <xs:sequence>
                                    <xs:element name="Dx_Max" type="Driver_Passenger_ValueType"/>
                                    <xs:element name="Dx_Min" type="Driver_Passenger_ValueType"/>
                                    <xs:element name="Dy_Max" type="Driver_Passenger_ValueType"/>
                                    <xs:element name="Dy_Min" type="Driver_Passenger_ValueType"/>
                                    <xs:element name="Dz_Max" type="Driver_Passenger_ValueType"/>
                                    <xs:element name="Dz_Min" type="Driver_Passenger_ValueType"/>
                                    <xs:element name="Dchest_Max" type="Driver_Passenger_ValueType"/>
                                    <xs:element name="Dchest_Min" type="Driver_Passenger_ValueType"/>
                                    <xs:element name="Alph-y_Max" type="Driver_Passenger_ValueType"/>
                                    <xs:element name="Alph_y_Min" type="Driver_Passenger_ValueType"/>
                                    <xs:element name="Alph_z_Max" type="Driver_Passenger_ValueType"/>
                                    <xs:element name="Alph_z_Min" type="Driver_Passenger_ValueType"/>
                                  </xs:sequence>
                                </xs:complexType>
                              </xs:element>
                              <xs:element name="Chest_Right_Upper">
                                <xs:complexType>
                                  <xs:sequence>
                                    <xs:element name="Dx_Max" type="Driver_Passenger_ValueType"/>
                                    <xs:element name="Dx_Min" type="Driver_Passenger_ValueType"/>
                                    <xs:element name="Dy_Max" type="Driver_Passenger_ValueType"/>
                                    <xs:element name="Dy_Min" type="Driver_Passenger_ValueType"/>
                                    <xs:element name="Dz_Max" type="Driver_Passenger_ValueType"/>
                                    <xs:element name="Dz_Min" type="Driver_Passenger_ValueType"/>
                                    <xs:element name="Dchest_Max" type="Driver_Passenger_ValueType"/>
                                    <xs:element name="Dchest_Min" type="Driver_Passenger_ValueType"/>
                                    <xs:element name="Alph-y_Max" type="Driver_Passenger_ValueType"/>
                                    <xs:element name="Alph_y_Min" type="Driver_Passenger_ValueType"/>
                                    <xs:element name="Alph_z_Max" type="Driver_Passenger_ValueType"/>
                                    <xs:element name="Alph_z_Min" type="Driver_Passenger_ValueType"/>
                                  </xs:sequence>
                                </xs:complexType>
                              </xs:element>
                              <xs:element name="Chest_Left_Lower">
                                <xs:complexType>
                                  <xs:sequence>
                                    <xs:element name="Dx_Max" type="Driver_Passenger_ValueType"/>
                                    <xs:element name="Dx_Min" type="Driver_Passenger_ValueType"/>
                                    <xs:element name="Dy_Max" type="Driver_Passenger_ValueType"/>
                                    <xs:element name="Dy_Min" type="Driver_Passenger_ValueType"/>
                                    <xs:element name="Dz_Max" type="Driver_Passenger_ValueType"/>
                                    <xs:element name="Dz_Min" type="Driver_Passenger_ValueType"/>
                                    <xs:element name="Dchest_Max" type="Driver_Passenger_ValueType"/>
                                    <xs:element name="Dchest_Min" type="Driver_Passenger_ValueType"/>
                                    <xs:element name="Alph-y_Max" type="Driver_Passenger_ValueType"/>
                                    <xs:element name="Alph_y_Min" type="Driver_Passenger_ValueType"/>
                                    <xs:element name="Alph_z_Max" type="Driver_Passenger_ValueType"/>
                                    <xs:element name="Alph_z_Min" type="Driver_Passenger_ValueType"/>
                                  </xs:sequence>
                                </xs:complexType>
                              </xs:element>
                              <xs:element name="Chest_Right_Lower">
                                <xs:complexType>
                                  <xs:sequence>
                                    <xs:element name="Dx_Max" type="Driver_Passenger_ValueType"/>
                                    <xs:element name="Dx_Min" type="Driver_Passenger_ValueType"/>
                                    <xs:element name="Dy_Max" type="Driver_Passenger_ValueType"/>
                                    <xs:element name="Dy_Min" type="Driver_Passenger_ValueType"/>
                                    <xs:element name="Dz_Max" type="Driver_Passenger_ValueType"/>
                                    <xs:element name="Dz_Min" type="Driver_Passenger_ValueType"/>
                                    <xs:element name="Dchest_Max" type="Driver_Passenger_ValueType"/>
                                    <xs:element name="Dchest_Min" type="Driver_Passenger_ValueType"/>
                                    <xs:element name="Alph-y_Max" type="Driver_Passenger_ValueType"/>
                                    <xs:element name="Alph_y_Min" type="Driver_Passenger_ValueType"/>
                                    <xs:element name="Alph_z_Max" type="Driver_Passenger_ValueType"/>
                                    <xs:element name="Alph_z_Min" type="Driver_Passenger_ValueType"/>
                                  </xs:sequence>
                                </xs:complexType>
                              </xs:element>
                              <xs:element name="Sternum">
                                <xs:complexType>
                                  <xs:sequence>
                                    <xs:element name="Ax_Max" type="Driver_Passenger_ValueType"/>
                                    <xs:element name="Ax_Min" type="Driver_Passenger_ValueType"/>
                                  </xs:sequence>
                                </xs:complexType>
                              </xs:element>
                              <xs:element name="T1">
                                <xs:complexType>
                                  <xs:sequence>
                                    <xs:element name="Ax_Max" type="Driver_Passenger_ValueType"/>
                                    <xs:element name="Ax_Min" type="Driver_Passenger_ValueType"/>
                                    <xs:element name="Ay_Max" type="Driver_Passenger_ValueType"/>
                                    <xs:element name="Ay_Min" type="Driver_Passenger_ValueType"/>
                                    <xs:element name="Az_Max" type="Driver_Passenger_ValueType"/>
                                    <xs:element name="Az_Min" type="Driver_Passenger_ValueType"/>
                                    <xs:element name="Resultant_Max" type="Driver_Passenger_ValueType"/>
                                    <xs:element name="Resultant_Min" type="Driver_Passenger_ValueType"/>
                                  </xs:sequence>
                                </xs:complexType>
                              </xs:element>
                              <xs:element name="T4">
                                <xs:complexType>
                                  <xs:sequence>
                                    <xs:element name="Ax_Max" type="Driver_Passenger_ValueType"/>
                                    <xs:element name="Ax_Min" type="Driver_Passenger_ValueType"/>
                                    <xs:element name="Ay_Max" type="Driver_Passenger_ValueType"/>
                                    <xs:element name="Ay_Min" type="Driver_Passenger_ValueType"/>
                                    <xs:element name="Az_Max" type="Driver_Passenger_ValueType"/>
                                    <xs:element name="Az_Min" type="Driver_Passenger_ValueType"/>
                                    <xs:element name="Resultant_Max" type="Driver_Passenger_ValueType"/>
                                    <xs:element name="Resultant_Min" type="Driver_Passenger_ValueType"/>
                                  </xs:sequence>
                                </xs:complexType>
                              </xs:element>
                              <xs:element name="T12">
                                <xs:complexType>
                                  <xs:sequence>
                                    <xs:element name="Ax_Max" type="Driver_Passenger_ValueType"/>
                                    <xs:element name="Ax_Min" type="Driver_Passenger_ValueType"/>
                                    <xs:element name="Ay_Max" type="Driver_Passenger_ValueType"/>
                                    <xs:element name="Ay_Min" type="Driver_Passenger_ValueType"/>
                                    <xs:element name="Az_Max" type="Driver_Passenger_ValueType"/>
                                    <xs:element name="Az_Min" type="Driver_Passenger_ValueType"/>
                                    <xs:element name="Resultant_Max" type="Driver_Passenger_ValueType"/>
                                    <xs:element name="Resultant_Min" type="Driver_Passenger_ValueType"/>
                                    <xs:element name="Fx_Max" type="Driver_Passenger_ValueType"/>
                                    <xs:element name="Fx_Min" type="Driver_Passenger_ValueType"/>
                                    <xs:element name="Fy_Max" type="Driver_Passenger_ValueType"/>
                                    <xs:element name="Fy_Min" type="Driver_Passenger_ValueType"/>
                                    <xs:element name="Fz_Max" type="Driver_Passenger_ValueType"/>
                                    <xs:element name="Fz_Min" type="Driver_Passenger_ValueType"/>
                                    <xs:element name="Mx_Max" type="Driver_Passenger_ValueType"/>
                                    <xs:element name="Mx_Min" type="Driver_Passenger_ValueType"/>
                                    <xs:element name="My_Max" type="Driver_Passenger_ValueType"/>
                                    <xs:element name="My_Min" type="Driver_Passenger_ValueType"/>
                                  </xs:sequence>
                                </xs:complexType>
                              </xs:element>
                              <xs:element name="Abdomen">
                                <xs:complexType>
                                  <xs:sequence>
                                    <xs:element name="Ax_Max" type="Driver_Passenger_ValueType"/>
                                    <xs:element name="Ax_Min" type="Driver_Passenger_ValueType"/>
                                  </xs:sequence>
                                </xs:complexType>
                              </xs:element>
                              <xs:element name="Abdomen_Left">
                                <xs:complexType>
                                  <xs:sequence>
                                    <xs:element name="Dx_Max" type="Driver_Passenger_ValueType"/>
                                    <xs:element name="Dx_Min" type="Driver_Passenger_ValueType"/>
                                    <xs:element name="Dy_Max" type="Driver_Passenger_ValueType"/>
                                    <xs:element name="Dy_Min" type="Driver_Passenger_ValueType"/>
                                    <xs:element name="Dz_Max" type="Driver_Passenger_ValueType"/>
                                    <xs:element name="Dz_Min" type="Driver_Passenger_ValueType"/>
                                    <xs:element name="Dabdomen_Max" type="Driver_Passenger_ValueType"/>
                                    <xs:element name="Dabdomen_Min" type="Driver_Passenger_ValueType"/>
                                    <xs:element name="Alph-y_Max" type="Driver_Passenger_ValueType"/>
                                    <xs:element name="Alph_y_Min" type="Driver_Passenger_ValueType"/>
                                    <xs:element name="Alph_z_Max" type="Driver_Passenger_ValueType"/>
                                    <xs:element name="Alph_z_Min" type="Driver_Passenger_ValueType"/>
                                  </xs:sequence>
                                </xs:complexType>
                              </xs:element>
                              <xs:element name="Abdomen_Right">
                                <xs:complexType>
                                  <xs:sequence>
                                    <xs:element name="Dx_Max" type="Driver_Passenger_ValueType"/>
                                    <xs:element name="Dx_Min" type="Driver_Passenger_ValueType"/>
                                    <xs:element name="Dy_Max" type="Driver_Passenger_ValueType"/>
                                    <xs:element name="Dy_Min" type="Driver_Passenger_ValueType"/>
                                    <xs:element name="Dz_Max" type="Driver_Passenger_ValueType"/>
                                    <xs:element name="Dz_Min" type="Driver_Passenger_ValueType"/>
                                    <xs:element name="Dabdomen_Max" type="Driver_Passenger_ValueType"/>
                                    <xs:element name="Dabdomen_Min" type="Driver_Passenger_ValueType"/>
                                    <xs:element name="Alph-y_Max" type="Driver_Passenger_ValueType"/>
                                    <xs:element name="Alph_y_Min" type="Driver_Passenger_ValueType"/>
                                    <xs:element name="Alph_z_Max" type="Driver_Passenger_ValueType"/>
                                    <xs:element name="Alph_z_Min" type="Driver_Passenger_ValueType"/>
                                  </xs:sequence>
                                </xs:complexType>
                              </xs:element>
                              <xs:element name="Pelvis">
                                <xs:complexType>
                                  <xs:sequence>
                                    <xs:element name="Ax_Max" type="Driver_Passenger_ValueType"/>
                                    <xs:element name="Ax_Min" type="Driver_Passenger_ValueType"/>
                                    <xs:element name="Ay_Max" type="Driver_Passenger_ValueType"/>
                                    <xs:element name="Ay_Min" type="Driver_Passenger_ValueType"/>
                                    <xs:element name="Az_Max" type="Driver_Passenger_ValueType"/>
                                    <xs:element name="Az_Min" type="Driver_Passenger_ValueType"/>
                                  </xs:sequence>
                                </xs:complexType>
                              </xs:element>
                              <xs:element name="Iliac_Left">
                                <xs:complexType>
                                  <xs:sequence>
                                    <xs:element name="Fx_Max" type="Driver_Passenger_ValueType"/>
                                    <xs:element name="Fx_Min" type="Driver_Passenger_ValueType"/>
                                    <xs:element name="My_Max" type="Driver_Passenger_ValueType"/>
                                    <xs:element name="My_Min" type="Driver_Passenger_ValueType"/>
                                  </xs:sequence>
                                </xs:complexType>
                              </xs:element>
                              <xs:element name="Iliac_Right">
                                <xs:complexType>
                                  <xs:sequence>
                                    <xs:element name="Fx_Max" type="Driver_Passenger_ValueType"/>
                                    <xs:element name="Fx_Min" type="Driver_Passenger_ValueType"/>
                                    <xs:element name="My_Max" type="Driver_Passenger_ValueType"/>
                                    <xs:element name="My_Min" type="Driver_Passenger_ValueType"/>
                                  </xs:sequence>
                                </xs:complexType>
                              </xs:element>
                              <xs:element name="Acetabulum_Left">
                                <xs:complexType>
                                  <xs:sequence>
                                    <xs:element name="Fx_Max" type="Driver_Passenger_ValueType"/>
                                    <xs:element name="Fx_Min" type="Driver_Passenger_ValueType"/>
                                    <xs:element name="Fy_Max" type="Driver_Passenger_ValueType"/>
                                    <xs:element name="Fy_Min" type="Driver_Passenger_ValueType"/>
                                    <xs:element name="Fz_Max" type="Driver_Passenger_ValueType"/>
                                    <xs:element name="Fz_Min" type="Driver_Passenger_ValueType"/>
                                  </xs:sequence>
                                </xs:complexType>
                              </xs:element>
                              <xs:element name="Acetabulum_Right">
                                <xs:complexType>
                                  <xs:sequence>
                                    <xs:element name="Fx_Max" type="Driver_Passenger_ValueType"/>
                                    <xs:element name="Fx_Min" type="Driver_Passenger_ValueType"/>
                                    <xs:element name="Fy_Max" type="Driver_Passenger_ValueType"/>
                                    <xs:element name="Fy_Min" type="Driver_Passenger_ValueType"/>
                                    <xs:element name="Fz_Max" type="Driver_Passenger_ValueType"/>
                                    <xs:element name="Fz_Min" type="Driver_Passenger_ValueType"/>
                                  </xs:sequence>
                                </xs:complexType>
                              </xs:element>
                              <xs:element name="Femur_left">
                                <xs:complexType>
                                  <xs:sequence>
                                    <xs:element name="Fz_Max" type="Driver_Passenger_ValueType"/>
                                    <xs:element name="Fz_Min" type="Driver_Passenger_ValueType"/>
                                  </xs:sequence>
                                </xs:complexType>
                              </xs:element>
                              <xs:element name="Femur_right">
                                <xs:complexType>
                                  <xs:sequence>
                                    <xs:element name="Fz_Max" type="Driver_Passenger_ValueType"/>
                                    <xs:element name="Fz_Min" type="Driver_Passenger_ValueType"/>
                                  </xs:sequence>
                                </xs:complexType>
                              </xs:element>
                              <xs:element name="Knee_left">
                                <xs:complexType>
                                  <xs:sequence>
                                    <xs:element name="Dknee_Max" type="Driver_Passenger_ValueType"/>
                                    <xs:element name="Dknee_Min" type="Driver_Passenger_ValueType"/>
                                  </xs:sequence>
                                </xs:complexType>
                              </xs:element>
                              <xs:element name="Knee_right">
                                <xs:complexType>
                                  <xs:sequence>
                                    <xs:element name="Dknee_Max" type="Driver_Passenger_ValueType"/>
                                    <xs:element name="Dknee_Min" type="Driver_Passenger_ValueType"/>
                                  </xs:sequence>
                                </xs:complexType>
                              </xs:element>
                              <xs:element name="Upper_Tibia_left">
                                <xs:complexType>
                                  <xs:sequence>
                                    <xs:element name="Fx_Max" type="Driver_Passenger_ValueType"/>
                                    <xs:element name="Fx_Min" type="Driver_Passenger_ValueType"/>
                                    <xs:element name="Fz_Max" type="Driver_Passenger_ValueType"/>
                                    <xs:element name="Fz_Min" type="Driver_Passenger_ValueType"/>
                                    <xs:element name="Mx_Max" type="Driver_Passenger_ValueType"/>
                                    <xs:element name="Mx_Min" type="Driver_Passenger_ValueType"/>
                                    <xs:element name="My_Max" type="Driver_Passenger_ValueType"/>
                                    <xs:element name="My_Min" type="Driver_Passenger_ValueType"/>
                                  </xs:sequence>
                                </xs:complexType>
                              </xs:element>
                              <xs:element name="Upper_Tibia_right">
                                <xs:complexType>
                                  <xs:sequence>
                                    <xs:element name="Fx_Max" type="Driver_Passenger_ValueType"/>
                                    <xs:element name="Fx_Min" type="Driver_Passenger_ValueType"/>
                                    <xs:element name="Fz_Max" type="Driver_Passenger_ValueType"/>
                                    <xs:element name="Fz_Min" type="Driver_Passenger_ValueType"/>
                                    <xs:element name="Mx_Max" type="Driver_Passenger_ValueType"/>
                                    <xs:element name="Mx_Min" type="Driver_Passenger_ValueType"/>
                                    <xs:element name="My_Max" type="Driver_Passenger_ValueType"/>
                                    <xs:element name="My_Min" type="Driver_Passenger_ValueType"/>
                                  </xs:sequence>
                                </xs:complexType>
                              </xs:element>
                              <xs:element name="Lower_Tibia_left">
                                <xs:complexType>
                                  <xs:sequence>
                                    <xs:element name="Fx_Max" type="Driver_Passenger_ValueType"/>
                                    <xs:element name="Fx_Min" type="Driver_Passenger_ValueType"/>
                                    <xs:element name="Fy_Max" type="Driver_Passenger_ValueType"/>
                                    <xs:element name="Fy_Min" type="Driver_Passenger_ValueType"/>
                                    <xs:element name="Fz_Max" type="Driver_Passenger_ValueType"/>
                                    <xs:element name="Fz_Min" type="Driver_Passenger_ValueType"/>
                                    <xs:element name="Mx_Max" type="Driver_Passenger_ValueType"/>
                                    <xs:element name="Mx_Min" type="Driver_Passenger_ValueType"/>
                                    <xs:element name="My_Max" type="Driver_Passenger_ValueType"/>
                                    <xs:element name="My_Min" type="Driver_Passenger_ValueType"/>
                                  </xs:sequence>
                                </xs:complexType>
                              </xs:element>
                              <xs:element name="Lower_Tibia_right">
                                <xs:complexType>
                                  <xs:sequence>
                                    <xs:element name="Fx_Max" type="Driver_Passenger_ValueType"/>
                                    <xs:element name="Fx_Min" type="Driver_Passenger_ValueType"/>
                                    <xs:element name="Fy_Max" type="Driver_Passenger_ValueType"/>
                                    <xs:element name="Fy_Min" type="Driver_Passenger_ValueType"/>
                                    <xs:element name="Fz_Max" type="Driver_Passenger_ValueType"/>
                                    <xs:element name="Fz_Min" type="Driver_Passenger_ValueType"/>
                                    <xs:element name="Mx_Max" type="Driver_Passenger_ValueType"/>
                                    <xs:element name="Mx_Min" type="Driver_Passenger_ValueType"/>
                                    <xs:element name="My_Max" type="Driver_Passenger_ValueType"/>
                                    <xs:element name="My_Min" type="Driver_Passenger_ValueType"/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  <xs:element name="VEHICLE_MEASUREMENTS" nillable="true" minOccurs="0">
                          <xs:complexType>
                            <xs:sequence>
                              <xs:element name="B_post">
                                <xs:complexType>
                                  <xs:sequence>
                                    <xs:element name="Ax_Max" type="Driver_Passenger_ValueType"/>
                                    <xs:element name="Ax_Min" type="Driver_Passenger_ValueType"/>
                                  </xs:sequence>
                                </xs:complexType>
                              </xs:element>
                              <xs:element name="Seatbelt">
                                <xs:complexType>
                                  <xs:sequence>
                                    <xs:element name="Fseatbelt_Max" type="Driver_Passenger_ValueType"/>
                                    <xs:element name="Fseatbelt_Min" type="Driver_Passenger_ValueType"/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  <xs:element name="TEST_DETAILS" minOccurs="0">
                          <xs:complexType>
                            <xs:sequence>
                              <xs:element name="Vehicle">
                                <xs:complexType>
                                  <xs:sequence>
                                    <xs:element name="VIN_number" type="xs:string"/>
                                    <xs:element name="Test_weight_kg" type="ex_dec" nillable="true"/>
                                  </xs:sequence>
                                </xs:complexType>
                              </xs:element>
                              <xs:element name="Test">
                                <xs:complexType>
                                  <xs:sequence>
                                    <xs:element name="Impact_speed_kmh" type="ex_dec" nillable="true"/>
                                    <xs:element name="Impact_location" type="ex_dec" nillable="true" minOccurs="0"/>
                                    <xs:element name="Vertical" type="ex_dec" nillable="true"/>
                                    <xs:element name="Horizontal" type="ex_dec" nillable="true"/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  <xs:element name="Barrier_Deformation">
                          <xs:complexType>
                            <xs:sequence>
                              <xs:element name="Colours">
                                <xs:complexType>
                                  <xs:sequence>
                                    <xs:element name="Row_1">
                                      <xs:complexType>
                                        <xs:attribute name="Col_1" type="xs:string"/>
                                        <xs:attribute name="Col_2" type="xs:string"/>
                                        <xs:attribute name="Col_3" type="xs:string"/>
                                        <xs:attribute name="Col_4" type="xs:string"/>
                                        <xs:attribute name="Col_5" type="xs:string"/>
                                        <xs:attribute name="Col_6" type="xs:string"/>
                                      </xs:complexType>
                                    </xs:element>
                                    <xs:element name="Row_2">
                                      <xs:complexType>
                                        <xs:attribute name="Col_1" type="xs:string"/>
                                        <xs:attribute name="Col_2" type="xs:string"/>
                                        <xs:attribute name="Col_3" type="xs:string"/>
                                        <xs:attribute name="Col_4" type="xs:string"/>
                                        <xs:attribute name="Col_5" type="xs:string"/>
                                        <xs:attribute name="Col_6" type="xs:string"/>
                                      </xs:complexType>
                                    </xs:element>
                                    <xs:element name="Row_3">
                                      <xs:complexType>
                                        <xs:attribute name="Col_1" type="xs:string"/>
                                        <xs:attribute name="Col_2" type="xs:string"/>
                                        <xs:attribute name="Col_3" type="xs:string"/>
                                        <xs:attribute name="Col_4" type="xs:string"/>
                                        <xs:attribute name="Col_5" type="xs:string"/>
                                        <xs:attribute name="Col_6" type="xs:string"/>
                                      </xs:complexType>
                                    </xs:element>
                                    <xs:element name="Row_4">
                                      <xs:complexType>
                                        <xs:attribute name="Col_1" type="xs:string"/>
                                        <xs:attribute name="Col_2" type="xs:string"/>
                                        <xs:attribute name="Col_3" type="xs:string"/>
                                        <xs:attribute name="Col_4" type="xs:string"/>
                                        <xs:attribute name="Col_5" type="xs:string"/>
                                        <xs:attribute name="Col_6" type="xs:string"/>
                                      </xs:complexType>
                                    </xs:element>
                                    <xs:element name="Row_5">
                                      <xs:complexType>
                                        <xs:attribute name="Col_1" type="xs:string"/>
                                        <xs:attribute name="Col_2" type="xs:string"/>
                                        <xs:attribute name="Col_3" type="xs:string"/>
                                        <xs:attribute name="Col_4" type="xs:string"/>
                                        <xs:attribute name="Col_5" type="xs:string"/>
                                        <xs:attribute name="Col_6" type="xs:string"/>
                                      </xs:complexType>
                                    </xs:element>
                                    <xs:element name="Row_6">
                                      <xs:complexType>
                                        <xs:attribute name="Col_1" type="xs:string"/>
                                        <xs:attribute name="Col_2" type="xs:string"/>
                                        <xs:attribute name="Col_3" type="xs:string"/>
                                        <xs:attribute name="Col_4" type="xs:string"/>
                                        <xs:attribute name="Col_5" type="xs:string"/>
                                        <xs:attribute name="Col_6" type="xs:string"/>
                                      </xs:complexType>
                                    </xs:element>
                                    <xs:element name="Row_7">
                                      <xs:complexType>
                                        <xs:attribute name="Col_1" type="xs:string"/>
                                        <xs:attribute name="Col_2" type="xs:string"/>
                                        <xs:attribute name="Col_3" type="xs:string"/>
                                        <xs:attribute name="Col_4" type="xs:string"/>
                                        <xs:attribute name="Col_5" type="xs:string"/>
                                        <xs:attribute name="Col_6" type="xs:string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</xs:sequence>
                      <xs:attribute name="TOTAL_FRONTAL_MPDB" type="ex_dec"/>
                      <xs:attribute name="ROUNDED_FRONTAL_MPDB" type="ex_dec"/>
                      <xs:attribute name="MAX_POINTS" type="xs:integer"/>
                      <xs:attribute name="MPDB_Car_Image_Type" type="xs:string"/>
                      <xs:attribute name="Capping" type="xs:string"/>
                    </xs:complexType>
                  </xs:element>
                  <xs:element name="AOP_Frontal_FW" minOccurs="0">
                    <xs:complexType>
                      <xs:sequence>
                        <xs:element name="Head_Assessment">
                          <xs:complexType>
                            <xs:complexContent>
                              <xs:extension base="Driver_Passenger_Points_Colour_Type">
                                <xs:sequence>
                                  <xs:element name="Steering_wheel_airbag_present" type="xs:string"/>
                                  <xs:element name="Contact" type="xs:string"/>
                                  <xs:element name="Peak_resultant_acceleration_g">
                                    <xs:complexType>
                                      <xs:complexContent>
                                        <xs:extension base="Driver_Passenger_Value_PointsType">
                                          <xs:attribute name="OEM_Pass_Value" type="ex_dec" use="optional"/>
                                          <xs:attribute name="OEM_Pass_Points" type="ex_dec" use="optional"/>
                                        </xs:extension>
                                      </xs:complexContent>
                                    </xs:complexType>
                                  </xs:element>
                                  <xs:element name="HIC15">
                                    <xs:complexType>
                                      <xs:complexContent>
                                        <xs:extension base="Driver_Passenger_Value_PointsType">
                                          <xs:attribute name="OEM_Pass_Points" type="ex_dec"/>
                                          <xs:attribute name="OEM_Pass_Value" type="ex_dec" use="optional"/>
                                        </xs:extension>
                                      </xs:complexContent>
                                    </xs:complexType>
                                  </xs:element>
                                  <xs:element name="Resultant_Acc_3_msec_exeedence_g">
                                    <xs:complexType>
                                      <xs:complexContent>
                                        <xs:extension base="Driver_Passenger_Value_PointsType">
                                          <xs:attribute name="OEM_Pass_Points" type="ex_dec"/>
                                          <xs:attribute name="OEM_Pass_Value" type="ex_dec" use="optional"/>
                                        </xs:extension>
                                      </xs:complexContent>
                                    </xs:complexType>
                                  </xs:element>
                                  <xs:element name="Airbag_contact_modifier">
                                    <xs:complexType>
                                      <xs:complexContent>
                                        <xs:extension base="Driver_Passenger_PointsType">
                                          <xs:attribute name="OEM_Pass_Points" type="ex_dec"/>
                                          <xs:attribute name="OEM_Pass_Value" type="ex_dec" use="optional"/>
                                        </xs:extension>
                                      </xs:complexContent>
                                    </xs:complexType>
                                  </xs:element>
                                  <xs:element name="Hazardous_airbag_deployment_modifier">
                                    <xs:complexType>
                                      <xs:complexContent>
                                        <xs:extension base="Driver_Passenger_PointsType">
                                          <xs:attribute name="OEM_Pass_Points" type="ex_dec"/>
                                          <xs:attribute name="OEM_Pass_Value" type="ex_dec" use="optional"/>
                                        </xs:extension>
                                      </xs:complexContent>
                                    </xs:complexType>
                                  </xs:element>
                                  <xs:element name="Incorrect_airbag_deployment_modifier">
                                    <xs:complexType>
                                      <xs:complexContent>
                                        <xs:extension base="Driver_Passenger_PointsType">
                                          <xs:attribute name="OEM_Pass_Points" type="ex_dec"/>
                                          <xs:attribute name="OEM_Pass_Value" type="ex_dec" use="optional"/>
                                        </xs:extension>
                                      </xs:complexContent>
                                    </xs:complexType>
                                  </xs:element>
                                  <xs:element name="Head_Excursion" type="xs:integer"/>
                                </xs:sequence>
                                <xs:attribute name="OEM_Pass_Points" type="ex_dec"/>
                                <xs:attribute name="OEM_Pass_Colour" type="xs:string"/>
                              </xs:extension>
                            </xs:complexContent>
                          </xs:complexType>
                        </xs:element>
                        <xs:element name="Neck_assessment">
                          <xs:complexType>
                            <xs:complexContent>
                              <xs:extension base="Driver_Passenger_Points_Colour_Type">
                                <xs:sequence>
                                  <xs:element name="Shear_level_exceeded_kN">
                                    <xs:complexType>
                                      <xs:complexContent>
                                        <xs:extension base="Driver_Passenger_Value_PointsType">
                                          <xs:attribute name="OEM_Pass_Points" type="ex_dec"/>
                                          <xs:attribute name="OEM_Pass_Value" type="ex_dec" use="optional"/>
                                        </xs:extension>
                                      </xs:complexContent>
                                    </xs:complexType>
                                  </xs:element>
                                  <xs:element name="Tension_level_exceeded_kN">
                                    <xs:complexType>
                                      <xs:complexContent>
                                        <xs:extension base="Driver_Passenger_Value_PointsType">
                                          <xs:attribute name="OEM_Pass_Points" type="ex_dec"/>
                                          <xs:attribute name="OEM_Pass_Value" type="ex_dec" use="optional"/>
                                        </xs:extension>
                                      </xs:complexContent>
                                    </xs:complexType>
                                  </xs:element>
                                  <xs:element name="Extension_Nm">
                                    <xs:complexType>
                                      <xs:complexContent>
                                        <xs:extension base="Driver_Passenger_Value_PointsType">
                                          <xs:attribute name="OEM_Pass_Points" type="ex_dec"/>
                                          <xs:attribute name="OEM_Pass_Value" type="ex_dec" use="optional"/>
                                        </xs:extension>
                                      </xs:complexContent>
                                    </xs:complexType>
                                  </xs:element>
                                </xs:sequence>
                                <xs:attribute name="OEM_Pass_Points" type="ex_dec"/>
                                <xs:attribute name="OEM_Pass_Colour" type="xs:string"/>
                              </xs:extension>
                            </xs:complexContent>
                          </xs:complexType>
                        </xs:element>
                        <xs:element name="Chest_assessment">
                          <xs:complexType>
                            <xs:complexContent>
                              <xs:extension base="Driver_Passenger_Points_Colour_Type">
                                <xs:sequence>
                                  <xs:element name="Compression_mm">
                                    <xs:complexType>
                                      <xs:complexContent>
                                        <xs:extension base="Driver_Passenger_Value_PointsType">
                                          <xs:attribute name="OEM_Pass_Points" type="ex_dec"/>
                                          <xs:attribute name="OEM_Pass_Value" type="ex_dec" use="optional"/>
                                        </xs:extension>
                                      </xs:complexContent>
                                    </xs:complexType>
                                  </xs:element>
                                  <xs:element name="Viscous_criterion_ms">
                                    <xs:complexType>
                                      <xs:complexContent>
                                        <xs:extension base="Driver_Passenger_Value_PointsType">
                                          <xs:attribute name="OEM_Pass_Points" type="ex_dec"/>
                                          <xs:attribute name="OEM_Pass_Value" type="ex_dec" use="optional"/>
                                        </xs:extension>
                                      </xs:complexContent>
                                    </xs:complexType>
                                  </xs:element>
                                  <xs:element name="Shoulder_belt_load_kN">
                                    <xs:complexType>
                                      <xs:complexContent>
                                        <xs:extension base="Driver_Passenger_Value_PointsType">
                                          <xs:attribute name="OEM_Pass_Points" type="ex_dec"/>
                                          <xs:attribute name="OEM_Pass_Value" type="ex_dec" use="optional"/>
                                        </xs:extension>
                                      </xs:complexContent>
                                    </xs:complexType>
                                  </xs:element>
                                  <xs:element name="Incorrect_airbag_deployment_modifier">
                                    <xs:complexType>
                                      <xs:complexContent>
                                        <xs:extension base="Driver_Passenger_PointsType">
                                          <xs:attribute name="OEM_Pass_Points" type="ex_dec"/>
                                          <xs:attribute name="OEM_Pass_Value" type="ex_dec" use="optional"/>
                                        </xs:extension>
                                      </xs:complexContent>
                                    </xs:complexType>
                                  </xs:element>
                                  <xs:element name="Steering_wheel_contact">
                                    <xs:complexType>
                                      <xs:complexContent>
                                        <xs:extension base="Driver_PointsType">
                                          <xs:attribute name="OEM_Pass_Points" type="ex_dec"/>
                                          <xs:attribute name="OEM_Pass_Value" type="ex_dec" use="optional"/>
                                        </xs:extension>
                                      </xs:complexContent>
                                    </xs:complexType>
                                  </xs:element>
                                </xs:sequence>
                                <xs:attribute name="OEM_Pass_Points" type="ex_dec"/>
                                <xs:attribute name="OEM_Pass_Colour" type="xs:string"/>
                              </xs:extension>
                            </xs:complexContent>
                          </xs:complexType>
                        </xs:element>
                        <xs:element name="Knee_Femur_and_Pelvis_assessment">
                          <xs:complexType>
                            <xs:complexContent>
                              <xs:extension base="Driver_Passenger_PointsType">
                                <xs:sequence>
                                  <xs:element name="Left_Knee_Femur_and_Pelvis_assessment">
                                    <xs:complexType>
                                      <xs:complexContent>
                                        <xs:extension base="Driver_Passenger_Points_Colour_Type">
                                          <xs:sequence>
                                            <xs:element name="Left_Knee_Slide_mm">
                                              <xs:complexType>
                                                <xs:complexContent>
                                                  <xs:extension base="Driver_Passenger_Value_PointsType">
                                                    <xs:attribute name="OEM_Pass_Value" type="ex_dec" use="optional"/>
                                                    <xs:attribute name="OEM_Pass_Points" type="ex_dec" use="optional"/>
                                                  </xs:extension>
                                                </xs:complexContent>
                                              </xs:complexType>
                                            </xs:element>
                                            <xs:element name="Left_Femur_Compression_level_exceeded_kN">
                                              <xs:complexType>
                                                <xs:complexContent>
                                                  <xs:extension base="Driver_Passenger_Value_PointsType">
                                                    <xs:attribute name="OEM_Pass_Value" type="ex_dec" use="optional"/>
                                                    <xs:attribute name="OEM_Pass_Points" type="ex_dec" use="optional"/>
                                                  </xs:extension>
                                                </xs:complexContent>
                                              </xs:complexType>
                                            </xs:element>
                                            <xs:element name="Incorrect_Airbag_Deployment" type="Driver_Passenger_PointsType" minOccurs="0"/>
                                          </xs:sequence>
                                          <xs:attribute name="OEM_Pass_Points" type="ex_dec"/>
                                          <xs:attribute name="OEM_Pass_Colour" type="xs:string"/>
                                        </xs:extension>
                                      </xs:complexContent>
                                    </xs:complexType>
                                  </xs:element>
                                  <xs:element name="Right_Knee_Femur_and_Pelvis_assessment">
                                    <xs:complexType>
                                      <xs:complexContent>
                                        <xs:extension base="Driver_Passenger_Points_Colour_Type">
                                          <xs:sequence>
                                            <xs:element name="Right_Knee_Slide_mm">
                                              <xs:complexType>
                                                <xs:complexContent>
                                                  <xs:extension base="Driver_Passenger_Value_PointsType">
                                                    <xs:attribute name="OEM_Pass_Value" type="ex_dec" use="optional"/>
                                                    <xs:attribute name="OEM_Pass_Points" type="ex_dec" use="optional"/>
                                                  </xs:extension>
                                                </xs:complexContent>
                                              </xs:complexType>
                                            </xs:element>
                                            <xs:element name="Right_Femur_Compression_level_exceeded_kN">
                                              <xs:complexType>
                                                <xs:complexContent>
                                                  <xs:extension base="Driver_Passenger_Value_PointsType">
                                                    <xs:attribute name="OEM_Pass_Value" type="ex_dec" use="optional"/>
                                                    <xs:attribute name="OEM_Pass_Points" type="ex_dec" use="optional"/>
                                                  </xs:extension>
                                                </xs:complexContent>
                                              </xs:complexType>
                                            </xs:element>
                                            <xs:element name="Incorrect_Airbag_Deployment" type="Driver_Passenger_PointsType" minOccurs="0"/>
                                          </xs:sequence>
                                          <xs:attribute name="OEM_Pass_Points" type="ex_dec"/>
                                          <xs:attribute name="OEM_Pass_Colour" type="xs:string"/>
                                        </xs:extension>
                                      </xs:complexContent>
                                    </xs:complexType>
                                  </xs:element>
                                  <xs:element name="Pelvis_assessment">
                                    <xs:complexType>
                                      <xs:complexContent>
                                        <xs:extension base="Driver_Passenger_Points_Colour_Type">
                                          <xs:sequence>
                                            <xs:element name="Submarining_Modifier">
                                              <xs:complexType>
                                                <xs:complexContent>
                                                  <xs:extension base="Driver_Passenger_Value_PointsType">
                                                    <xs:attribute name="OEM_Pass_Value" type="ex_dec" use="optional"/>
                                                    <xs:attribute name="OEM_Pass_Points" type="ex_dec" use="optional"/>
                                                  </xs:extension>
                                                </xs:complexContent>
                                              </xs:complexType>
                                            </xs:element>
                                          </xs:sequence>
                                          <xs:attribute name="OEM_Pass_Points" type="ex_dec"/>
                                          <xs:attribute name="OEM_Pass_Value" type="ex_dec" use="optional"/>
                                        </xs:extension>
                                      </xs:complexContent>
                                    </xs:complexType>
                                  </xs:element>
                                </xs:sequence>
                                <xs:attribute name="OEM_Pass_Points" type="ex_dec"/>
                                <xs:attribute name="OEM_Pass_Colour" type="xs:string"/>
                              </xs:extension>
                            </xs:complexContent>
                          </xs:complexType>
                        </xs:element>
                        <xs:element name="LOWER_LEG">
                          <xs:complexType>
                            <xs:sequence>
                              <xs:element name="Left_compression_kN" nillable="true">
                                <xs:complexType>
                                  <xs:simpleContent>
                                    <xs:extension base="xs:decimal">
                                      <xs:attribute name="OEM_Pass_Points" type="ex_dec"/>
                                      <xs:attribute name="OEM_Pass_Value" type="ex_dec" use="optional"/>
                                    </xs:extension>
                                  </xs:simpleContent>
                                </xs:complexType>
                              </xs:element>
                              <xs:element name="Left_Upper_Tibia_Index" nillable="true">
                                <xs:complexType>
                                  <xs:simpleContent>
                                    <xs:extension base="xs:decimal">
                                      <xs:attribute name="OEM_Pass_Points" type="ex_dec"/>
                                      <xs:attribute name="OEM_Pass_Value" type="ex_dec" use="optional"/>
                                    </xs:extension>
                                  </xs:simpleContent>
                                </xs:complexType>
                              </xs:element>
                              <xs:element name="Left_Lower_Tibia_Index" nillable="true">
                                <xs:complexType>
                                  <xs:simpleContent>
                                    <xs:extension base="xs:decimal">
                                      <xs:attribute name="OEM_Pass_Points" type="ex_dec"/>
                                      <xs:attribute name="OEM_Pass_Value" type="ex_dec" use="optional"/>
                                    </xs:extension>
                                  </xs:simpleContent>
                                </xs:complexType>
                              </xs:element>
                              <xs:element name="Right_compression_kN" nillable="true">
                                <xs:complexType>
                                  <xs:simpleContent>
                                    <xs:extension base="xs:decimal">
                                      <xs:attribute name="OEM_Pass_Points" type="ex_dec"/>
                                      <xs:attribute name="OEM_Pass_Value" type="ex_dec" use="optional"/>
                                    </xs:extension>
                                  </xs:simpleContent>
                                </xs:complexType>
                              </xs:element>
                              <xs:element name="Right_Upper_Tibia_Index" nillable="true">
                                <xs:complexType>
                                  <xs:simpleContent>
                                    <xs:extension base="xs:decimal">
                                      <xs:attribute name="OEM_Pass_Points" type="ex_dec"/>
                                      <xs:attribute name="OEM_Pass_Value" type="ex_dec" use="optional"/>
                                    </xs:extension>
                                  </xs:simpleContent>
                                </xs:complexType>
                              </xs:element>
                              <xs:element name="Right_Lower_Tibia_Index" nillable="true">
                                <xs:complexType>
                                  <xs:simpleContent>
                                    <xs:extension base="xs:decimal">
                                      <xs:attribute name="OEM_Pass_Points" type="ex_dec"/>
                                      <xs:attribute name="OEM_Pass_Value" type="ex_dec" use="optional"/>
                                    </xs:extension>
                                  </xs:simpleContent>
                                </xs:complexType>
                              </xs:element>
                            </xs:sequence>
                          </xs:complexType>
                        </xs:element>
                        <xs:element name="SUMMARY">
                          <xs:complexType>
                            <xs:sequence>
                              <xs:element name="Head_assessment" type="Driver_Passenger_PointsType"/>
                              <xs:element name="Neck_assessment" type="Driver_Passenger_PointsType"/>
                              <xs:element name="Chest_assessment" type="Driver_Passenger_PointsType"/>
                              <xs:element name="Knee_Femur_and_Pelvis_assessment" type="Driver_Passenger_PointsType"/>
                            </xs:sequence>
                          </xs:complexType>
                        </xs:element>
                        <xs:element name="Door_Opening" type="ex_int"/>
                        <xs:element name="TOTAL" type="Driver_Passenger_PointsType"/>
                        <xs:element name="DUMMY_MEASUREMENTS" nillable="true">
                          <xs:complexType>
                            <xs:sequence>
                              <xs:element name="Head">
                                <xs:complexType>
                                  <xs:sequence>
                                    <xs:element name="Ax_Max" type="Driver_Passenger_ValueType"/>
                                    <xs:element name="Ax_Min" type="Driver_Passenger_ValueType"/>
                                    <xs:element name="Ay_Max" type="Driver_Passenger_ValueType"/>
                                    <xs:element name="Ay_Min" type="Driver_Passenger_ValueType"/>
                                    <xs:element name="Az_Max" type="Driver_Passenger_ValueType"/>
                                    <xs:element name="Az_Min" type="Driver_Passenger_ValueType"/>
                                  </xs:sequence>
                                </xs:complexType>
                              </xs:element>
                              <xs:element name="Neck">
                                <xs:complexType>
                                  <xs:sequence>
                                    <xs:element name="Fx_Max" type="Driver_Passenger_ValueType"/>
                                    <xs:element name="Fx_Min" type="Driver_Passenger_ValueType"/>
                                    <xs:element name="Fy_Max" type="Driver_Passenger_ValueType"/>
                                    <xs:element name="Fy_Min" type="Driver_Passenger_ValueType"/>
                                    <xs:element name="Fz_Max" type="Driver_Passenger_ValueType"/>
                                    <xs:element name="Fz_Min" type="Driver_Passenger_ValueType"/>
                                    <xs:element name="Mx_Max" type="Driver_Passenger_ValueType"/>
                                    <xs:element name="Mx_Min" type="Driver_Passenger_ValueType"/>
                                    <xs:element name="My_Max" type="Driver_Passenger_ValueType"/>
                                    <xs:element name="My_Min" type="Driver_Passenger_ValueType"/>
                                    <xs:element name="Mz_Max" type="Driver_Passenger_ValueType"/>
                                    <xs:element name="Mz_Min" type="Driver_Passenger_ValueType"/>
                                  </xs:sequence>
                                </xs:complexType>
                              </xs:element>
                              <xs:element name="Chest">
                                <xs:complexType>
                                  <xs:sequence>
                                    <xs:element name="Ax_Max" type="Driver_Passenger_ValueType"/>
                                    <xs:element name="Ax_Min" type="Driver_Passenger_ValueType"/>
                                    <xs:element name="Ay_Max" type="Driver_Passenger_ValueType"/>
                                    <xs:element name="Ay_Min" type="Driver_Passenger_ValueType"/>
                                    <xs:element name="Az_Max" type="Driver_Passenger_ValueType"/>
                                    <xs:element name="Az_Min" type="Driver_Passenger_ValueType"/>
                                    <xs:element name="Dchest_Max" type="Driver_Passenger_ValueType"/>
                                    <xs:element name="Dchest_Min" type="Driver_Passenger_ValueType"/>
                                  </xs:sequence>
                                </xs:complexType>
                              </xs:element>
                              <xs:element name="Pelvis">
                                <xs:complexType>
                                  <xs:sequence>
                                    <xs:element name="Ax_Max" type="Driver_Passenger_ValueType"/>
                                    <xs:element name="Ax_Min" type="Driver_Passenger_ValueType"/>
                                    <xs:element name="Ay_Max" type="Driver_Passenger_ValueType"/>
                                    <xs:element name="Ay_Min" type="Driver_Passenger_ValueType"/>
                                    <xs:element name="Az_Max" type="Driver_Passenger_ValueType"/>
                                    <xs:element name="Az_Min" type="Driver_Passenger_ValueType"/>
                                  </xs:sequence>
                                </xs:complexType>
                              </xs:element>
                              <xs:element name="Iliac_left">
                                <xs:complexType>
                                  <xs:sequence>
                                    <xs:element name="Fx_Max" type="Driver_Passenger_ValueType"/>
                                    <xs:element name="Fx_Min" type="Driver_Passenger_ValueType"/>
                                    <xs:element name="My_Max" type="Driver_Passenger_ValueType"/>
                                    <xs:element name="My_Min" type="Driver_Passenger_ValueType"/>
                                  </xs:sequence>
                                </xs:complexType>
                              </xs:element>
                              <xs:element name="Iliac_right">
                                <xs:complexType>
                                  <xs:sequence>
                                    <xs:element name="Fx_Max" type="Driver_Passenger_ValueType"/>
                                    <xs:element name="Fx_Min" type="Driver_Passenger_ValueType"/>
                                    <xs:element name="My_Max" type="Driver_Passenger_ValueType"/>
                                    <xs:element name="My_Min" type="Driver_Passenger_ValueType"/>
                                  </xs:sequence>
                                </xs:complexType>
                              </xs:element>
                              <xs:element name="Lumbar_Spine">
                                <xs:complexType>
                                  <xs:sequence>
                                    <xs:element name="Fx_Max" type="Driver_Passenger_ValueType"/>
                                    <xs:element name="Fx_Min" type="Driver_Passenger_ValueType"/>
                                    <xs:element name="Fz_Max" type="Driver_Passenger_ValueType"/>
                                    <xs:element name="Fz_Min" type="Driver_Passenger_ValueType"/>
                                    <xs:element name="My_Max" type="Driver_Passenger_ValueType"/>
                                    <xs:element name="My_Min" type="Driver_Passenger_ValueType"/>
                                  </xs:sequence>
                                </xs:complexType>
                              </xs:element>
                              <xs:element name="Femur_left">
                                <xs:complexType>
                                  <xs:sequence>
                                    <xs:element name="Fz_Max" type="Driver_Passenger_ValueType"/>
                                    <xs:element name="Fz_Min" type="Driver_Passenger_ValueType"/>
                                  </xs:sequence>
                                </xs:complexType>
                              </xs:element>
                              <xs:element name="Femur_right">
                                <xs:complexType>
                                  <xs:sequence>
                                    <xs:element name="Fz_Max" type="Driver_Passenger_ValueType"/>
                                    <xs:element name="Fz_Min" type="Driver_Passenger_ValueType"/>
                                  </xs:sequence>
                                </xs:complexType>
                              </xs:element>
                              <xs:element name="Knee_left">
                                <xs:complexType>
                                  <xs:sequence>
                                    <xs:element name="Dknee_Max" type="Driver_Passenger_ValueType"/>
                                    <xs:element name="Dknee_Min" type="Driver_Passenger_ValueType"/>
                                  </xs:sequence>
                                </xs:complexType>
                              </xs:element>
                              <xs:element name="Knee_right">
                                <xs:complexType>
                                  <xs:sequence>
                                    <xs:element name="Dknee_Max" type="Driver_Passenger_ValueType"/>
                                    <xs:element name="Dknee_Min" type="Driver_Passenger_ValueType"/>
                                  </xs:sequence>
                                </xs:complexType>
                              </xs:element>
                              <xs:element name="Upper_Tibia_left">
                                <xs:complexType>
                                  <xs:sequence>
                                    <xs:element name="Fx_Max" type="Driver_Passenger_ValueType"/>
                                    <xs:element name="Fx_Min" type="Driver_Passenger_ValueType"/>
                                    <xs:element name="Fz_Max" type="Driver_Passenger_ValueType"/>
                                    <xs:element name="Fz_Min" type="Driver_Passenger_ValueType"/>
                                    <xs:element name="Mx_Max" type="Driver_Passenger_ValueType"/>
                                    <xs:element name="Mx_Min" type="Driver_Passenger_ValueType"/>
                                    <xs:element name="My_Max" type="Driver_Passenger_ValueType"/>
                                    <xs:element name="My_Min" type="Driver_Passenger_ValueType"/>
                                  </xs:sequence>
                                </xs:complexType>
                              </xs:element>
                              <xs:element name="Upper_Tibia_right">
                                <xs:complexType>
                                  <xs:sequence>
                                    <xs:element name="Fx_Max" type="Driver_Passenger_ValueType"/>
                                    <xs:element name="Fx_Min" type="Driver_Passenger_ValueType"/>
                                    <xs:element name="Fz_Max" type="Driver_Passenger_ValueType"/>
                                    <xs:element name="Fz_Min" type="Driver_Passenger_ValueType"/>
                                    <xs:element name="Mx_Max" type="Driver_Passenger_ValueType"/>
                                    <xs:element name="Mx_Min" type="Driver_Passenger_ValueType"/>
                                    <xs:element name="My_Max" type="Driver_Passenger_ValueType"/>
                                    <xs:element name="My_Min" type="Driver_Passenger_ValueType"/>
                                  </xs:sequence>
                                </xs:complexType>
                              </xs:element>
                              <xs:element name="Lower_Tibia_left">
                                <xs:complexType>
                                  <xs:sequence>
                                    <xs:element name="Fx_Max" type="Driver_Passenger_ValueType"/>
                                    <xs:element name="Fx_Min" type="Driver_Passenger_ValueType"/>
                                    <xs:element name="Fy_Max" type="Driver_Passenger_ValueType"/>
                                    <xs:element name="Fy_Min" type="Driver_Passenger_ValueType"/>
                                    <xs:element name="Fz_Max" type="Driver_Passenger_ValueType"/>
                                    <xs:element name="Fz_Min" type="Driver_Passenger_ValueType"/>
                                    <xs:element name="Mx_Max" type="Driver_Passenger_ValueType"/>
                                    <xs:element name="Mx_Min" type="Driver_Passenger_ValueType"/>
                                    <xs:element name="My_Max" type="Driver_Passenger_ValueType"/>
                                    <xs:element name="My_Min" type="Driver_Passenger_ValueType"/>
                                  </xs:sequence>
                                </xs:complexType>
                              </xs:element>
                              <xs:element name="Lower_Tibia_right">
                                <xs:complexType>
                                  <xs:sequence>
                                    <xs:element name="Fx_Max" type="Driver_Passenger_ValueType"/>
                                    <xs:element name="Fx_Min" type="Driver_Passenger_ValueType"/>
                                    <xs:element name="Fy_Max" type="Driver_Passenger_ValueType"/>
                                    <xs:element name="Fy_Min" type="Driver_Passenger_ValueType"/>
                                    <xs:element name="Fz_Max" type="Driver_Passenger_ValueType"/>
                                    <xs:element name="Fz_Min" type="Driver_Passenger_ValueType"/>
                                    <xs:element name="Mx_Max" type="Driver_Passenger_ValueType"/>
                                    <xs:element name="Mx_Min" type="Driver_Passenger_ValueType"/>
                                    <xs:element name="My_Max" type="Driver_Passenger_ValueType"/>
                                    <xs:element name="My_Min" type="Driver_Passenger_ValueType"/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  <xs:element name="VEHICLE_MEASUREMENTS" nillable="true">
                          <xs:complexType>
                            <xs:sequence>
                              <xs:element name="B_post">
                                <xs:complexType>
                                  <xs:sequence>
                                    <xs:element name="Ax_Max" type="Driver_Passenger_ValueType"/>
                                    <xs:element name="Ax_Min" type="Driver_Passenger_ValueType"/>
                                  </xs:sequence>
                                </xs:complexType>
                              </xs:element>
                              <xs:element name="Seatbelt">
                                <xs:complexType>
                                  <xs:sequence>
                                    <xs:element name="Fseatbelt_Max" type="Driver_Passenger_ValueType"/>
                                    <xs:element name="Fseatbelt_Min" type="Driver_Passenger_ValueType"/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  <xs:element name="TEST_DETAILS">
                          <xs:complexType>
                            <xs:sequence>
                              <xs:element name="Vehicle">
                                <xs:complexType>
                                  <xs:sequence>
                                    <xs:element name="VIN_number" type="xs:string"/>
                                    <xs:element name="Test_weight_kg" type="ex_dec" nillable="true"/>
                                  </xs:sequence>
                                </xs:complexType>
                              </xs:element>
                              <xs:element name="Test">
                                <xs:complexType>
                                  <xs:sequence>
                                    <xs:element name="Impact_speed_kmh" type="ex_dec" nillable="true"/>
                                    <xs:element name="Impact_location" type="ex_dec" nillable="true" minOccurs="0"/>
                                    <xs:element name="Vertical" type="ex_dec" nillable="true"/>
                                    <xs:element name="Horizontal" type="ex_dec" nillable="true"/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  <xs:element name="Static_Measurements">
                          <xs:complexType>
                            <xs:sequence>
                              <xs:element name="Steering_Wheel">
                                <xs:complexType>
                                  <xs:sequence>
                                    <xs:element name="Fore_Aft" type="xs:decimal"/>
                                    <xs:element name="Vertical" type="xs:decimal"/>
                                    <xs:element name="Lateral" type="xs:decimal"/>
                                  </xs:sequence>
                                </xs:complexType>
                              </xs:element>
                              <xs:element name="A_Pillar">
                                <xs:complexType>
                                  <xs:sequence>
                                    <xs:element name="Displacement" type="xs:decimal"/>
                                  </xs:sequence>
                                </xs:complexType>
                              </xs:element>
                              <xs:element name="Brake">
                                <xs:complexType>
                                  <xs:sequence>
                                    <xs:element name="Fore_Aft" type="xs:decimal"/>
                                    <xs:element name="Vertical" type="xs:decimal"/>
                                  </xs:sequence>
                                </xs:complexType>
                              </xs:element>
                              <xs:element name="Clutch">
                                <xs:complexType>
                                  <xs:sequence>
                                    <xs:element name="Fore_Aft" type="xs:decimal"/>
                                    <xs:element name="Vertical" type="xs:decimal"/>
                                  </xs:sequence>
                                </xs:complexType>
                              </xs:element>
                              <xs:element name="Accelerator">
                                <xs:complexType>
                                  <xs:sequence>
                                    <xs:element name="Fore_Aft" type="xs:decimal"/>
                                    <xs:element name="Vertical" type="xs:decimal"/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</xs:sequence>
                      <xs:attribute name="TOTAL_FRONTAL_FW" type="ex_dec"/>
                      <xs:attribute name="ROUNDED_FRONTAL_FW" type="ex_dec"/>
                      <xs:attribute name="MAX_POINTS" type="xs:integer"/>
                      <xs:attribute name="Capping" type="xs:string"/>
                    </xs:complexType>
                  </xs:element>
                  <xs:element name="AOP_Side_MDB">
                    <xs:complexType>
                      <xs:sequence>
                        <xs:element name="Head_assessment">
                          <xs:complexType>
                            <xs:complexContent>
                              <xs:extension base="Driver_Points_Colour_Type">
                                <xs:sequence>
                                  <xs:element name="Peak_resultant_acceleration_g" type="Driver_Value_PointsType"/>
                                  <xs:element name="HIC15" type="Driver_Value_PointsType"/>
                                  <xs:element name="Resultant_Acc_3_msec_exeedence_g" type="Driver_Value_PointsType"/>
                                  <xs:element name="Incorrect_airbag_deployment_modifier" type="ex_int"/>
                                </xs:sequence>
                              </xs:extension>
                            </xs:complexContent>
                          </xs:complexType>
                        </xs:element>
                        <xs:element name="Chest_assessment">
                          <xs:complexType>
                            <xs:complexContent>
                              <xs:extension base="Driver_Points_Colour_Type">
                                <xs:sequence>
                                  <xs:element ref="Chest_rib_assessment"/>
                                  <xs:element name="Other" minOccurs="0">
                                    <xs:complexType>
                                      <xs:sequence>
                                        <xs:element name="Shoulder_Force_modifier">
                                          <xs:complexType>
                                            <xs:complexContent>
                                              <xs:extension base="Driver_PointsType">
                                                <xs:sequence>
                                                  <xs:element name="Shoulder_Force_Fy" type="ex_dec" nillable="true"/>
                                                </xs:sequence>
                                              </xs:extension>
                                            </xs:complexContent>
                                          </xs:complexType>
                                        </xs:element>
                                        <xs:element name="Viscous_Criterion_modifier">
                                          <xs:complexType>
                                            <xs:complexContent>
                                              <xs:extension base="Driver_PointsType">
                                                <xs:sequence>
                                                  <xs:element name="Top_Rib_VC" type="ex_dec" nillable="true"/>
                                                  <xs:element name="Mid_Rib_VC" type="ex_dec" nillable="true"/>
                                                  <xs:element name="Bottom_Rib_VC" type="ex_dec" nillable="true"/>
                                                </xs:sequence>
                                              </xs:extension>
                                            </xs:complexContent>
                                          </xs:complexType>
                                        </xs:element>
                                        <xs:element name="Incorrect_airbag_deployment_modifier" type="Driver_Value_PointsType"/>
                                      </xs:sequence>
                                    </xs:complexType>
                                  </xs:element>
                                </xs:sequence>
                              </xs:extension>
                            </xs:complexContent>
                          </xs:complexType>
                        </xs:element>
                        <xs:element name="Abdomen_assessment" minOccurs="0">
                          <xs:complexType>
                            <xs:complexContent>
                              <xs:extension base="Driver_Points_Colour_Type">
                                <xs:sequence minOccurs="0">
                                  <xs:element name="Abdomen_rib_assessment" minOccurs="0">
                                    <xs:complexType>
                                      <xs:complexContent>
                                        <xs:extension base="Driver_PointsType">
                                          <xs:sequence>
                                            <xs:element name="Lateral_compression_mm">
                                              <xs:complexType>
                                                <xs:sequence>
                                                  <xs:element name="Top" type="Driver_Value_PointsType"/>
                                                  <xs:element name="Bottom" type="Driver_Value_PointsType"/>
                                                </xs:sequence>
                                              </xs:complexType>
                                            </xs:element>
                                          </xs:sequence>
                                        </xs:extension>
                                      </xs:complexContent>
                                    </xs:complexType>
                                  </xs:element>
                                  <xs:element name="Other" minOccurs="0">
                                    <xs:complexType>
                                      <xs:sequence>
                                        <xs:element name="Viscous_Criterion_modifier">
                                          <xs:complexType>
                                            <xs:complexContent>
                                              <xs:extension base="Driver_Value_PointsType">
                                                <xs:sequence>
                                                  <xs:element name="Top_rib_Viscous_Criterion_ms" type="Driver_Value_PointsType"/>
                                                  <xs:element name="Bottom_rib_Viscous_Criterion_ms" type="Driver_Value_PointsType"/>
                                                </xs:sequence>
                                              </xs:extension>
                                            </xs:complexContent>
                                          </xs:complexType>
                                        </xs:element>
                                        <xs:element name="Incorrect_airbag_deployment_modifier" type="ex_int"/>
                                      </xs:sequence>
                                    </xs:complexType>
                                  </xs:element>
                                </xs:sequence>
                              </xs:extension>
                            </xs:complexContent>
                          </xs:complexType>
                        </xs:element>
                        <xs:element name="Pelvis_assessment">
                          <xs:complexType>
                            <xs:complexContent>
                              <xs:extension base="Driver_Points_Colour_Type">
                                <xs:sequence>
                                  <xs:element name="Pubic_Symphysis_force_kN" type="Driver_Value_PointsType"/>
                                  <xs:element name="Incorrect_airbag_deployment_modifier" type="ex_int"/>
                                </xs:sequence>
                              </xs:extension>
                            </xs:complexContent>
                          </xs:complexType>
                        </xs:element>
                        <xs:element name="SUMMARY">
                          <xs:complexType>
                            <xs:sequence>
                              <xs:element name="Head_assessment" type="Driver_PointsType"/>
                              <xs:element name="Chest_assessment" type="Driver_PointsType"/>
                              <xs:element name="Abdomen_assessment" type="Driver_PointsType"/>
                              <xs:element name="Pelvis_assessment" type="Driver_PointsType"/>
                            </xs:sequence>
                          </xs:complexType>
                        </xs:element>
                        <xs:element name="Door_Opening" type="ex_int"/>
                        <xs:element name="TOTAL" type="ex_dec" nillable="true"/>
                        <xs:element name="DUMMY_MEASUREMENTS" nillable="true" minOccurs="0">
                          <xs:complexType>
                            <xs:sequence>
                              <xs:element name="Head" minOccurs="0">
                                <xs:complexType>
                                  <xs:sequence>
                                    <xs:element name="Ax_Max" type="Driver_Passenger_ValueType" minOccurs="0"/>
                                    <xs:element name="Ax_Min" type="Driver_Passenger_ValueType" minOccurs="0"/>
                                    <xs:element name="Ay_Max" type="Driver_Passenger_ValueType" minOccurs="0"/>
                                    <xs:element name="Ay_Min" type="Driver_Passenger_ValueType" minOccurs="0"/>
                                    <xs:element name="Az_Max" type="Driver_Passenger_ValueType" minOccurs="0"/>
                                    <xs:element name="Az_Min" type="Driver_Passenger_ValueType" minOccurs="0"/>
                                  </xs:sequence>
                                </xs:complexType>
                              </xs:element>
                              <xs:element name="Neck" minOccurs="0">
                                <xs:complexType>
                                  <xs:sequence>
                                    <xs:element name="Fx_Max" type="Driver_Passenger_ValueType" minOccurs="0"/>
                                    <xs:element name="Fx_Min" type="Driver_Passenger_ValueType" minOccurs="0"/>
                                    <xs:element name="Fy_Max" type="Driver_Passenger_ValueType" minOccurs="0"/>
                                    <xs:element name="Fy_Min" type="Driver_Passenger_ValueType" minOccurs="0"/>
                                    <xs:element name="Fz_Max" type="Driver_Passenger_ValueType" minOccurs="0"/>
                                    <xs:element name="Fz_Min" type="Driver_Passenger_ValueType" minOccurs="0"/>
                                    <xs:element name="Mx_Max" type="Driver_Passenger_ValueType" minOccurs="0"/>
                                    <xs:element name="Mx_Min" type="Driver_Passenger_ValueType" minOccurs="0"/>
                                    <xs:element name="My_Max" type="Driver_Passenger_ValueType" minOccurs="0"/>
                                    <xs:element name="My_Min" type="Driver_Passenger_ValueType" minOccurs="0"/>
                                    <xs:element name="Mz_Max" type="Driver_Passenger_ValueType" minOccurs="0"/>
                                    <xs:element name="Mz_Min" type="Driver_Passenger_ValueType" minOccurs="0"/>
                                  </xs:sequence>
                                </xs:complexType>
                              </xs:element>
                              <xs:element name="Shoulder" minOccurs="0">
                                <xs:complexType>
                                  <xs:sequence>
                                    <xs:element name="Fx_Max" type="Driver_Passenger_ValueType" minOccurs="0"/>
                                    <xs:element name="Fx_Min" type="Driver_Passenger_ValueType" minOccurs="0"/>
                                    <xs:element name="Fy_Max" type="Driver_Passenger_ValueType" minOccurs="0"/>
                                    <xs:element name="Fy_Min" type="Driver_Passenger_ValueType" minOccurs="0"/>
                                    <xs:element name="Fz_Max" type="Driver_Passenger_ValueType" minOccurs="0"/>
                                    <xs:element name="Fz_Min" type="Driver_Passenger_ValueType" minOccurs="0"/>
                                    <xs:element name="D_Max" type="Driver_Passenger_ValueType" minOccurs="0"/>
                                    <xs:element name="D_Min" type="Driver_Passenger_ValueType" minOccurs="0"/>
                                    <xs:element name="α_Max" type="Driver_Passenger_ValueType" minOccurs="0"/>
                                    <xs:element name="α_Min" type="Driver_Passenger_ValueType" minOccurs="0"/>
                                  </xs:sequence>
                                </xs:complexType>
                              </xs:element>
                              <xs:element name="Thorax" minOccurs="0">
                                <xs:complexType>
                                  <xs:sequence>
                                    <xs:element name="D01_Max" type="Driver_Passenger_ValueType" minOccurs="0"/>
                                    <xs:element name="D01_Min" type="Driver_Passenger_ValueType" minOccurs="0"/>
                                    <xs:element name="α01_Max" type="Driver_Passenger_ValueType" minOccurs="0"/>
                                    <xs:element name="α01_Min" type="Driver_Passenger_ValueType" minOccurs="0"/>
                                    <xs:element name="D02_Max" type="Driver_Passenger_ValueType" minOccurs="0"/>
                                    <xs:element name="D02_Min" type="Driver_Passenger_ValueType" minOccurs="0"/>
                                    <xs:element name="α02_Max" type="Driver_Passenger_ValueType" minOccurs="0"/>
                                    <xs:element name="α02_Min" type="Driver_Passenger_ValueType" minOccurs="0"/>
                                    <xs:element name="D03_Max" type="Driver_Passenger_ValueType" minOccurs="0"/>
                                    <xs:element name="D03_Min" type="Driver_Passenger_ValueType" minOccurs="0"/>
                                    <xs:element name="α03_Max" type="Driver_Passenger_ValueType" minOccurs="0"/>
                                    <xs:element name="α03_Min" type="Driver_Passenger_ValueType" minOccurs="0"/>
                                  </xs:sequence>
                                </xs:complexType>
                              </xs:element>
                              <xs:element name="Abdomen" minOccurs="0">
                                <xs:complexType>
                                  <xs:sequence>
                                    <xs:element name="D01_Max" type="Driver_Passenger_ValueType" minOccurs="0"/>
                                    <xs:element name="D01_Min" type="Driver_Passenger_ValueType" minOccurs="0"/>
                                    <xs:element name="α01_Max" type="Driver_Passenger_ValueType" minOccurs="0"/>
                                    <xs:element name="α01_Min" type="Driver_Passenger_ValueType" minOccurs="0"/>
                                    <xs:element name="D02_Max" type="Driver_Passenger_ValueType" minOccurs="0"/>
                                    <xs:element name="D02_Min" type="Driver_Passenger_ValueType" minOccurs="0"/>
                                    <xs:element name="α02_Max" type="Driver_Passenger_ValueType" minOccurs="0"/>
                                    <xs:element name="α02_Min" type="Driver_Passenger_ValueType" minOccurs="0"/>
                                  </xs:sequence>
                                </xs:complexType>
                              </xs:element>
                              <xs:element name="T12" minOccurs="0">
                                <xs:complexType>
                                  <xs:sequence>
                                    <xs:element name="Ax_Max" type="Driver_Passenger_ValueType" minOccurs="0"/>
                                    <xs:element name="Ax_Min" type="Driver_Passenger_ValueType" minOccurs="0"/>
                                    <xs:element name="Ay_Max" type="Driver_Passenger_ValueType" minOccurs="0"/>
                                    <xs:element name="Ay_Min" type="Driver_Passenger_ValueType" minOccurs="0"/>
                                    <xs:element name="Az_Max" type="Driver_Passenger_ValueType" minOccurs="0"/>
                                    <xs:element name="Az_Min" type="Driver_Passenger_ValueType" minOccurs="0"/>
                                    <xs:element name="Fx_Max" type="Driver_Passenger_ValueType" minOccurs="0"/>
                                    <xs:element name="Fx_Min" type="Driver_Passenger_ValueType" minOccurs="0"/>
                                    <xs:element name="Fy_Max" type="Driver_Passenger_ValueType" minOccurs="0"/>
                                    <xs:element name="Fy_Min" type="Driver_Passenger_ValueType" minOccurs="0"/>
                                    <xs:element name="Fz_Max" type="Driver_Passenger_ValueType" minOccurs="0"/>
                                    <xs:element name="Fz_Min" type="Driver_Passenger_ValueType" minOccurs="0"/>
                                    <xs:element name="Mx_Max" type="Driver_Passenger_ValueType" minOccurs="0"/>
                                    <xs:element name="Mx_Min" type="Driver_Passenger_ValueType" minOccurs="0"/>
                                    <xs:element name="My_Max" type="Driver_Passenger_ValueType" minOccurs="0"/>
                                    <xs:element name="My_Min" type="Driver_Passenger_ValueType" minOccurs="0"/>
                                    <xs:element name="Mz_Max" type="Driver_Passenger_ValueType" minOccurs="0"/>
                                    <xs:element name="Mz_Min" type="Driver_Passenger_ValueType" minOccurs="0"/>
                                  </xs:sequence>
                                </xs:complexType>
                              </xs:element>
                              <xs:element name="Pelvis" minOccurs="0">
                                <xs:complexType>
                                  <xs:sequence>
                                    <xs:element name="Ax_Max" type="Driver_Passenger_ValueType" minOccurs="0"/>
                                    <xs:element name="Ax_Min" type="Driver_Passenger_ValueType" minOccurs="0"/>
                                    <xs:element name="Ay_Max" type="Driver_Passenger_ValueType" minOccurs="0"/>
                                    <xs:element name="Ay_Min" type="Driver_Passenger_ValueType" minOccurs="0"/>
                                    <xs:element name="Az_Max" type="Driver_Passenger_ValueType" minOccurs="0"/>
                                    <xs:element name="Az_Min" type="Driver_Passenger_ValueType" minOccurs="0"/>
                                    <xs:element name="Fy_Max" type="Driver_Passenger_ValueType" minOccurs="0"/>
                                    <xs:element name="Fy_Min" type="Driver_Passenger_ValueType" minOccurs="0"/>
                                  </xs:sequence>
                                </xs:complexType>
                              </xs:element>
                              <xs:element name="Femur_left" minOccurs="0">
                                <xs:complexType>
                                  <xs:sequence>
                                    <xs:element name="Fx_Max" type="Driver_Passenger_ValueType" minOccurs="0"/>
                                    <xs:element name="Fx_Min" type="Driver_Passenger_ValueType" minOccurs="0"/>
                                    <xs:element name="Fy_Max" type="Driver_Passenger_ValueType" minOccurs="0"/>
                                    <xs:element name="Fy_Min" type="Driver_Passenger_ValueType" minOccurs="0"/>
                                    <xs:element name="Fz_Max" type="Driver_Passenger_ValueType" minOccurs="0"/>
                                    <xs:element name="Fz_Min" type="Driver_Passenger_ValueType" minOccurs="0"/>
                                  </xs:sequence>
                                </xs:complexType>
                              </xs:element>
                              <xs:element name="Femur_right" minOccurs="0">
                                <xs:complexType>
                                  <xs:sequence>
                                    <xs:element name="Fx_Max" type="Driver_Passenger_ValueType" minOccurs="0"/>
                                    <xs:element name="Fx_Min" type="Driver_Passenger_ValueType" minOccurs="0"/>
                                    <xs:element name="Fy_Max" type="Driver_Passenger_ValueType" minOccurs="0"/>
                                    <xs:element name="Fy_Min" type="Driver_Passenger_ValueType" minOccurs="0"/>
                                    <xs:element name="Fz_Max" type="Driver_Passenger_ValueType" minOccurs="0"/>
                                    <xs:element name="Fz_Min" type="Driver_Passenger_ValueType" minOccurs="0"/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  <xs:element name="VEHICLE_MEASUREMENTS" nillable="true">
                          <xs:complexType>
                            <xs:sequence>
                              <xs:element name="B_post">
                                <xs:complexType>
                                  <xs:sequence>
                                    <xs:element name="Ay_Max" type="Driver_Passenger_ValueType"/>
                                    <xs:element name="Ay_Min" type="Driver_Passenger_ValueType"/>
                                  </xs:sequence>
                                </xs:complexType>
                              </xs:element>
                              <xs:element name="Trolley">
                                <xs:complexType>
                                  <xs:sequence>
                                    <xs:element name="Ax_Max" type="Driver_Passenger_ValueType"/>
                                    <xs:element name="Ax_Min" type="Driver_Passenger_ValueType"/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  <xs:element name="TEST_DETAILS">
                          <xs:complexType>
                            <xs:sequence>
                              <xs:element name="Vehicle">
                                <xs:complexType>
                                  <xs:sequence>
                                    <xs:element name="VIN_number" type="xs:string"/>
                                    <xs:element name="Test_weight_kg" type="ex_dec" nillable="true"/>
                                  </xs:sequence>
                                </xs:complexType>
                              </xs:element>
                              <xs:element name="Test">
                                <xs:complexType>
                                  <xs:sequence>
                                    <xs:element name="Impact_speed_kmh" type="ex_dec" nillable="true"/>
                                    <xs:element name="Impact_location" type="ex_dec" nillable="true" minOccurs="0"/>
                                    <xs:element name="Vertical" type="ex_dec" nillable="true"/>
                                    <xs:element name="Horizontal" type="ex_dec" nillable="true"/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</xs:sequence>
                      <xs:attribute name="TOTAL_SIDE_MDB" type="ex_dec"/>
                      <xs:attribute name="ROUNDED_SIDE_MDB" type="ex_dec"/>
                      <xs:attribute name="MAX_POINTS" type="xs:integer"/>
                      <xs:attribute name="Capping" type="xs:string"/>
                    </xs:complexType>
                  </xs:element>
                  <xs:element name="AOP_Side_Pole">
                    <xs:complexType>
                      <xs:sequence>
                        <xs:element name="Head_assessment">
                          <xs:complexType>
                            <xs:complexContent>
                              <xs:extension base="Driver_Points_Colour_Type">
                                <xs:sequence>
                                  <xs:element name="Direct_head_contact_with_pole" minOccurs="0">
                                    <xs:complexType>
                                      <xs:attribute name="DriverValue" type="xs:string"/>
                                      <xs:attribute name="DriverPoints" type="ex_dec"/>
                                    </xs:complexType>
                                  </xs:element>
                                  <xs:element name="Peak_resultant_acceleration_g" type="Driver_Value_PointsType" minOccurs="0"/>
                                  <xs:element name="HIC15" type="Driver_Value_PointsType" minOccurs="0"/>
                                  <xs:element name="Resultant_Acc_3_msec_exeedence_g" type="Driver_Value_PointsType" minOccurs="0"/>
                                  <xs:element name="Incorrect_airbag_deployment_modifier" type="xs:decimal" minOccurs="0"/>
                                </xs:sequence>
                              </xs:extension>
                            </xs:complexContent>
                          </xs:complexType>
                        </xs:element>
                        <xs:element name="Chest_assessment">
                          <xs:complexType>
                            <xs:complexContent>
                              <xs:extension base="Driver_Points_Colour_Type">
                                <xs:sequence>
                                  <xs:element name="Other" minOccurs="0">
                                    <xs:complexType>
                                      <xs:sequence>
                                        <xs:element name="Shoulder_Force_modifier">
                                          <xs:complexType>
                                            <xs:complexContent>
                                              <xs:extension base="Driver_Value_PointsType">
                                                <xs:sequence>
                                                  <xs:element name="Shoulder_Fy_kN" type="Driver_Value_PointsType"/>
                                                </xs:sequence>
                                              </xs:extension>
                                            </xs:complexContent>
                                          </xs:complexType>
                                        </xs:element>
                                        <xs:element name="Viscous_Criterion_modifier">
                                          <xs:complexType>
                                            <xs:complexContent>
                                              <xs:extension base="Driver_PointsType">
                                                <xs:sequence>
                                                  <xs:element name="Top_rib_Viscous_Criterion_ms" type="ex_dec" nillable="true"/>
                                                  <xs:element name="Middle_rib_Viscous_Criterion_ms" type="ex_dec" nillable="true"/>
                                                  <xs:element name="Bottom_rib_Viscous_Criterion_ms" type="ex_dec" nillable="true"/>
                                                </xs:sequence>
                                              </xs:extension>
                                            </xs:complexContent>
                                          </xs:complexType>
                                        </xs:element>
                                        <xs:element name="Incorrect_airbag_deployment_modifier" type="Driver_Value_PointsType"/>
                                      </xs:sequence>
                                    </xs:complexType>
                                  </xs:element>
                                  <xs:element ref="Chest_rib_assessment" minOccurs="0"/>
                                </xs:sequence>
                              </xs:extension>
                            </xs:complexContent>
                          </xs:complexType>
                        </xs:element>
                        <xs:element name="Abdomen_assessment">
                          <xs:complexType>
                            <xs:complexContent>
                              <xs:extension base="Driver_Points_Colour_Type">
                                <xs:sequence>
                                  <xs:element name="Abdomen_rib_assessment" minOccurs="0">
                                    <xs:complexType>
                                      <xs:complexContent>
                                        <xs:extension base="Driver_PointsType">
                                          <xs:sequence>
                                            <xs:element name="Lateral_compression_mm">
                                              <xs:complexType>
                                                <xs:sequence>
                                                  <xs:element name="Top" type="Driver_Value_PointsType"/>
                                                  <xs:element name="Bottom" type="Driver_Value_PointsType"/>
                                                </xs:sequence>
                                              </xs:complexType>
                                            </xs:element>
                                          </xs:sequence>
                                        </xs:extension>
                                      </xs:complexContent>
                                    </xs:complexType>
                                  </xs:element>
                                  <xs:element name="Other" minOccurs="0">
                                    <xs:complexType>
                                      <xs:sequence>
                                        <xs:element name="Viscous_Criterion_modifier">
                                          <xs:complexType>
                                            <xs:complexContent>
                                              <xs:extension base="Driver_Value_PointsType">
                                                <xs:sequence>
                                                  <xs:element name="Top_rib_Viscous_Criterion_ms" type="Driver_Value_PointsType"/>
                                                  <xs:element name="Bottom_rib_Viscous_Criterion_ms" type="Driver_Value_PointsType"/>
                                                </xs:sequence>
                                              </xs:extension>
                                            </xs:complexContent>
                                          </xs:complexType>
                                        </xs:element>
                                        <xs:element name="Incorrect_airbag_deployment_modifier" type="ex_int"/>
                                      </xs:sequence>
                                    </xs:complexType>
                                  </xs:element>
                                </xs:sequence>
                              </xs:extension>
                            </xs:complexContent>
                          </xs:complexType>
                        </xs:element>
                        <xs:element name="Pelvis_assessment">
                          <xs:complexType>
                            <xs:complexContent>
                              <xs:extension base="Driver_Points_Colour_Type">
                                <xs:sequence>
                                  <xs:element name="Pubic_Symphysis_force_kN" type="Driver_Value_PointsType" minOccurs="0"/>
                                  <xs:element name="Incorrect_airbag_deployment_modifier" type="ex_int" minOccurs="0"/>
                                </xs:sequence>
                              </xs:extension>
                            </xs:complexContent>
                          </xs:complexType>
                        </xs:element>
                        <xs:element name="SUMMARY">
                          <xs:complexType>
                            <xs:sequence>
                              <xs:element name="Head_assessment" type="Driver_PointsType"/>
                              <xs:element name="Chest_assessment" type="Driver_PointsType"/>
                              <xs:element name="Abdomen_assessment" type="Driver_PointsType"/>
                              <xs:element name="Pelvis_assessment" type="Driver_PointsType"/>
                            </xs:sequence>
                          </xs:complexType>
                        </xs:element>
                        <xs:element name="HPD_Assessment">
                          <xs:complexType>
                            <xs:sequence>
                              <xs:element name="H-Point">
                                <xs:complexType>
                                  <xs:sequence>
                                    <xs:element name="H-point_x">
                                      <xs:complexType>
                                        <xs:attribute name="Row1" type="xs:decimal"/>
                                        <xs:attribute name="Row2" type="xs:decimal"/>
                                        <xs:attribute name="Row3" type="xs:decimal"/>
                                      </xs:complexType>
                                    </xs:element>
                                    <xs:element name="H-point_z">
                                      <xs:complexType>
                                        <xs:attribute name="Row1" type="xs:decimal"/>
                                        <xs:attribute name="Row2" type="xs:decimal"/>
                                        <xs:attribute name="Row3" type="xs:decimal"/>
                                      </xs:complexType>
                                    </xs:element>
                                    <xs:element name="Seat_Travel_5_50">
                                      <xs:complexType>
                                        <xs:attribute name="Row1" type="xs:decimal"/>
                                        <xs:attribute name="Row2" type="xs:decimal"/>
                                        <xs:attribute name="Row3" type="xs:decimal"/>
                                      </xs:complexType>
                                    </xs:element>
                                    <xs:element name="Seat_Travel_50_95">
                                      <xs:complexType>
                                        <xs:attribute name="Row1" type="xs:decimal"/>
                                        <xs:attribute name="Row2" type="xs:decimal"/>
                                        <xs:attribute name="Row3" type="xs:decimal"/>
                                      </xs:complexType>
                                    </xs:element>
                                    <xs:element name="Rear_Seat_Travel">
                                      <xs:complexType>
                                        <xs:attribute name="Row1" type="xs:decimal"/>
                                        <xs:attribute name="Row2" type="xs:decimal"/>
                                        <xs:attribute name="Row3" type="xs:decimal"/>
                                      </xs:complexType>
                                    </xs:element>
                                    <xs:element name="Xcog_5th">
                                      <xs:complexType>
                                        <xs:attribute name="Row1" type="xs:decimal"/>
                                        <xs:attribute name="Row2" type="xs:decimal"/>
                                        <xs:attribute name="Row3" type="xs:decimal"/>
                                      </xs:complexType>
                                    </xs:element>
                                    <xs:element name="Zcog_5th">
                                      <xs:complexType>
                                        <xs:attribute name="Row1" type="xs:decimal"/>
                                        <xs:attribute name="Row2" type="xs:decimal"/>
                                        <xs:attribute name="Row3" type="xs:decimal"/>
                                      </xs:complexType>
                                    </xs:element>
                                    <xs:element name="Xcog_95th">
                                      <xs:complexType>
                                        <xs:attribute name="Row1" type="xs:decimal"/>
                                        <xs:attribute name="Row2" type="xs:decimal"/>
                                        <xs:attribute name="Row3" type="xs:decimal"/>
                                      </xs:complexType>
                                    </xs:element>
                                    <xs:element name="Zcog_95th">
                                      <xs:complexType>
                                        <xs:attribute name="Row1" type="xs:decimal"/>
                                        <xs:attribute name="Row2" type="xs:decimal"/>
                                        <xs:attribute name="Row3" type="xs:decimal"/>
                                      </xs:complexType>
                                    </xs:element>
                                    <xs:element name="Meets_Exemption" type="xs:string"/>
                                  </xs:sequence>
                                </xs:complexType>
                              </xs:element>
                              <xs:element name="HPD_Modifier">
                                <xs:complexType>
                                  <xs:sequence>
                                    <xs:element name="HPD_Modifier">
                                      <xs:complexType>
                                        <xs:attribute name="Row1" type="xs:decimal"/>
                                        <xs:attribute name="Row2" type="xs:decimal"/>
                                        <xs:attribute name="Row3" type="xs:decimal"/>
                                      </xs:complexType>
                                    </xs:element>
                                    <xs:element name="HPD_Zone_Coverage">
                                      <xs:complexType>
                                        <xs:attribute name="Row1" type="xs:string"/>
                                        <xs:attribute name="Row2" type="xs:string"/>
                                        <xs:attribute name="Row3" type="xs:string"/>
                                      </xs:complexType>
                                    </xs:element>
                                    <xs:element name="Within_HPD">
                                      <xs:complexType>
                                        <xs:attribute name="Row1" type="xs:string"/>
                                        <xs:attribute name="Row2" type="xs:string"/>
                                        <xs:attribute name="Row3" type="xs:string"/>
                                      </xs:complexType>
                                    </xs:element>
                                    <xs:element name="Uninflated_Areas">
                                      <xs:complexType>
                                        <xs:attribute name="Row1" type="xs:string"/>
                                        <xs:attribute name="Row2" type="xs:string"/>
                                        <xs:attribute name="Row3" type="xs:string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</xs:sequence>
                            <xs:attribute name="HPD_Score" type="xs:decimal"/>
                          </xs:complexType>
                        </xs:element>
                        <xs:element name="Door_Opening" type="ex_dec" nillable="true"/>
                        <xs:element name="TOTAL" type="ex_dec" nillable="true"/>
                        <xs:element name="DUMMY_MEASUREMENTS" nillable="true" minOccurs="0">
                          <xs:complexType>
                            <xs:sequence>
                              <xs:element name="Head" minOccurs="0">
                                <xs:complexType>
                                  <xs:sequence>
                                    <xs:element name="Ax_Max" type="Driver_Passenger_ValueType" minOccurs="0"/>
                                    <xs:element name="Ax_Min" type="Driver_Passenger_ValueType" minOccurs="0"/>
                                    <xs:element name="Ay_Max" type="Driver_Passenger_ValueType" minOccurs="0"/>
                                    <xs:element name="Ay_Min" type="Driver_Passenger_ValueType" minOccurs="0"/>
                                    <xs:element name="Az_Max" type="Driver_Passenger_ValueType" minOccurs="0"/>
                                    <xs:element name="Az_Min" type="Driver_Passenger_ValueType" minOccurs="0"/>
                                  </xs:sequence>
                                </xs:complexType>
                              </xs:element>
                              <xs:element name="Neck" minOccurs="0">
                                <xs:complexType>
                                  <xs:sequence>
                                    <xs:element name="Fx_Max" type="Driver_Passenger_ValueType" minOccurs="0"/>
                                    <xs:element name="Fx_Min" type="Driver_Passenger_ValueType" minOccurs="0"/>
                                    <xs:element name="Fy_Max" type="Driver_Passenger_ValueType" minOccurs="0"/>
                                    <xs:element name="Fy_Min" type="Driver_Passenger_ValueType" minOccurs="0"/>
                                    <xs:element name="Fz_Max" type="Driver_Passenger_ValueType" minOccurs="0"/>
                                    <xs:element name="Fz_Min" type="Driver_Passenger_ValueType" minOccurs="0"/>
                                    <xs:element name="Mx_Max" type="Driver_Passenger_ValueType" minOccurs="0"/>
                                    <xs:element name="Mx_Min" type="Driver_Passenger_ValueType" minOccurs="0"/>
                                    <xs:element name="My_Max" type="Driver_Passenger_ValueType" minOccurs="0"/>
                                    <xs:element name="My_Min" type="Driver_Passenger_ValueType" minOccurs="0"/>
                                    <xs:element name="Mz_Max" type="Driver_Passenger_ValueType" minOccurs="0"/>
                                    <xs:element name="Mz_Min" type="Driver_Passenger_ValueType" minOccurs="0"/>
                                  </xs:sequence>
                                </xs:complexType>
                              </xs:element>
                              <xs:element name="Shoulder" minOccurs="0">
                                <xs:complexType>
                                  <xs:sequence>
                                    <xs:element name="Fx_Max" type="Driver_Passenger_ValueType" minOccurs="0"/>
                                    <xs:element name="Fx_Min" type="Driver_Passenger_ValueType" minOccurs="0"/>
                                    <xs:element name="Fy_Max" type="Driver_Passenger_ValueType" minOccurs="0"/>
                                    <xs:element name="Fy_Min" type="Driver_Passenger_ValueType" minOccurs="0"/>
                                    <xs:element name="Fz_Max" type="Driver_Passenger_ValueType" minOccurs="0"/>
                                    <xs:element name="Fz_Min" type="Driver_Passenger_ValueType" minOccurs="0"/>
                                    <xs:element name="D_Max" type="Driver_Passenger_ValueType" minOccurs="0"/>
                                    <xs:element name="D_Min" type="Driver_Passenger_ValueType" minOccurs="0"/>
                                    <xs:element name="α_Max" type="Driver_Passenger_ValueType" minOccurs="0"/>
                                    <xs:element name="α_Min" type="Driver_Passenger_ValueType" minOccurs="0"/>
                                  </xs:sequence>
                                </xs:complexType>
                              </xs:element>
                              <xs:element name="Thorax" minOccurs="0">
                                <xs:complexType>
                                  <xs:sequence>
                                    <xs:element name="D01_Max" type="Driver_Passenger_ValueType" minOccurs="0"/>
                                    <xs:element name="D01_Min" type="Driver_Passenger_ValueType" minOccurs="0"/>
                                    <xs:element name="α01_Max" type="Driver_Passenger_ValueType" minOccurs="0"/>
                                    <xs:element name="α01_Min" type="Driver_Passenger_ValueType" minOccurs="0"/>
                                    <xs:element name="D02_Max" type="Driver_Passenger_ValueType" minOccurs="0"/>
                                    <xs:element name="D02_Min" type="Driver_Passenger_ValueType" minOccurs="0"/>
                                    <xs:element name="α02_Max" type="Driver_Passenger_ValueType" minOccurs="0"/>
                                    <xs:element name="α02_Min" type="Driver_Passenger_ValueType" minOccurs="0"/>
                                    <xs:element name="D03_Max" type="Driver_Passenger_ValueType" minOccurs="0"/>
                                    <xs:element name="D03_Min" type="Driver_Passenger_ValueType" minOccurs="0"/>
                                    <xs:element name="α03_Max" type="Driver_Passenger_ValueType" minOccurs="0"/>
                                    <xs:element name="α03_Min" type="Driver_Passenger_ValueType" minOccurs="0"/>
                                  </xs:sequence>
                                </xs:complexType>
                              </xs:element>
                              <xs:element name="Abdomen" minOccurs="0">
                                <xs:complexType>
                                  <xs:sequence>
                                    <xs:element name="D01_Max" type="Driver_Passenger_ValueType" minOccurs="0"/>
                                    <xs:element name="D01_Min" type="Driver_Passenger_ValueType" minOccurs="0"/>
                                    <xs:element name="α01_Max" type="Driver_Passenger_ValueType" minOccurs="0"/>
                                    <xs:element name="α01_Min" type="Driver_Passenger_ValueType" minOccurs="0"/>
                                    <xs:element name="D02_Max" type="Driver_Passenger_ValueType" minOccurs="0"/>
                                    <xs:element name="D02_Min" type="Driver_Passenger_ValueType" minOccurs="0"/>
                                    <xs:element name="α02_Max" type="Driver_Passenger_ValueType" minOccurs="0"/>
                                    <xs:element name="α02_Min" type="Driver_Passenger_ValueType" minOccurs="0"/>
                                  </xs:sequence>
                                </xs:complexType>
                              </xs:element>
                              <xs:element name="T12" minOccurs="0">
                                <xs:complexType>
                                  <xs:sequence>
                                    <xs:element name="Ax_Max" type="Driver_Passenger_ValueType" minOccurs="0"/>
                                    <xs:element name="Ax_Min" type="Driver_Passenger_ValueType" minOccurs="0"/>
                                    <xs:element name="Ay_Max" type="Driver_Passenger_ValueType" minOccurs="0"/>
                                    <xs:element name="Ay_Min" type="Driver_Passenger_ValueType" minOccurs="0"/>
                                    <xs:element name="Az_Max" type="Driver_Passenger_ValueType" minOccurs="0"/>
                                    <xs:element name="Az_Min" type="Driver_Passenger_ValueType" minOccurs="0"/>
                                    <xs:element name="Fx_Max" type="Driver_Passenger_ValueType" minOccurs="0"/>
                                    <xs:element name="Fx_Min" type="Driver_Passenger_ValueType" minOccurs="0"/>
                                    <xs:element name="Fy_Max" type="Driver_Passenger_ValueType" minOccurs="0"/>
                                    <xs:element name="Fy_Min" type="Driver_Passenger_ValueType" minOccurs="0"/>
                                    <xs:element name="Fz_Max" type="Driver_Passenger_ValueType" minOccurs="0"/>
                                    <xs:element name="Fz_Min" type="Driver_Passenger_ValueType" minOccurs="0"/>
                                    <xs:element name="Mx_Max" type="Driver_Passenger_ValueType" minOccurs="0"/>
                                    <xs:element name="Mx_Min" type="Driver_Passenger_ValueType" minOccurs="0"/>
                                    <xs:element name="My_Max" type="Driver_Passenger_ValueType" minOccurs="0"/>
                                    <xs:element name="My_Min" type="Driver_Passenger_ValueType" minOccurs="0"/>
                                    <xs:element name="Mz_Max" type="Driver_Passenger_ValueType" minOccurs="0"/>
                                    <xs:element name="Mz_Min" type="Driver_Passenger_ValueType" minOccurs="0"/>
                                  </xs:sequence>
                                </xs:complexType>
                              </xs:element>
                              <xs:element name="Pelvis" minOccurs="0">
                                <xs:complexType>
                                  <xs:sequence>
                                    <xs:element name="Ax_Max" type="Driver_Passenger_ValueType" minOccurs="0"/>
                                    <xs:element name="Ax_Min" type="Driver_Passenger_ValueType" minOccurs="0"/>
                                    <xs:element name="Ay_Max" type="Driver_Passenger_ValueType" minOccurs="0"/>
                                    <xs:element name="Ay_Min" type="Driver_Passenger_ValueType" minOccurs="0"/>
                                    <xs:element name="Az_Max" type="Driver_Passenger_ValueType" minOccurs="0"/>
                                    <xs:element name="Az_Min" type="Driver_Passenger_ValueType" minOccurs="0"/>
                                    <xs:element name="Fy_Max" type="Driver_Passenger_ValueType" minOccurs="0"/>
                                    <xs:element name="Fy_Min" type="Driver_Passenger_ValueType" minOccurs="0"/>
                                  </xs:sequence>
                                </xs:complexType>
                              </xs:element>
                              <xs:element name="Femur_left" minOccurs="0">
                                <xs:complexType>
                                  <xs:sequence>
                                    <xs:element name="Fx_Max" type="Driver_Passenger_ValueType" minOccurs="0"/>
                                    <xs:element name="Fx_Min" type="Driver_Passenger_ValueType" minOccurs="0"/>
                                    <xs:element name="Fy_Max" type="Driver_Passenger_ValueType" minOccurs="0"/>
                                    <xs:element name="Fy_Min" type="Driver_Passenger_ValueType" minOccurs="0"/>
                                    <xs:element name="Fz_Max" type="Driver_Passenger_ValueType" minOccurs="0"/>
                                    <xs:element name="Fz_Min" type="Driver_Passenger_ValueType" minOccurs="0"/>
                                  </xs:sequence>
                                </xs:complexType>
                              </xs:element>
                              <xs:element name="Femur_right" minOccurs="0">
                                <xs:complexType>
                                  <xs:sequence>
                                    <xs:element name="Fx_Max" type="Driver_Passenger_ValueType" minOccurs="0"/>
                                    <xs:element name="Fx_Min" type="Driver_Passenger_ValueType" minOccurs="0"/>
                                    <xs:element name="Fy_Max" type="Driver_Passenger_ValueType" minOccurs="0"/>
                                    <xs:element name="Fy_Min" type="Driver_Passenger_ValueType" minOccurs="0"/>
                                    <xs:element name="Fz_Max" type="Driver_Passenger_ValueType" minOccurs="0"/>
                                    <xs:element name="Fz_Min" type="Driver_Passenger_ValueType" minOccurs="0"/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  <xs:element name="VEHICLE_MEASUREMENTS" nillable="true" minOccurs="0">
                          <xs:complexType>
                            <xs:sequence>
                              <xs:element name="B_post">
                                <xs:complexType>
                                  <xs:sequence>
                                    <xs:element name="Ay_Max" type="Driver_Passenger_ValueType"/>
                                    <xs:element name="Ay_Min" type="Driver_Passenger_ValueType"/>
                                  </xs:sequence>
                                </xs:complexType>
                              </xs:element>
                              <xs:element name="Trolley">
                                <xs:complexType>
                                  <xs:sequence>
                                    <xs:element name="Ax_Max" type="Driver_Passenger_ValueType"/>
                                    <xs:element name="Ax_Min" type="Driver_Passenger_ValueType"/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  <xs:element name="TEST_DETAILS" minOccurs="0">
                          <xs:complexType>
                            <xs:sequence>
                              <xs:element name="Vehicle">
                                <xs:complexType>
                                  <xs:sequence>
                                    <xs:element name="VIN_number" type="xs:string"/>
                                    <xs:element name="Test_weight_kg" type="ex_dec" nillable="true"/>
                                  </xs:sequence>
                                </xs:complexType>
                              </xs:element>
                              <xs:element name="Test">
                                <xs:complexType>
                                  <xs:sequence>
                                    <xs:element name="Impact_speed_kmh" type="ex_dec" nillable="true"/>
                                    <xs:element name="Impact_location" type="ex_dec" nillable="true" minOccurs="0"/>
                                    <xs:element name="Vertical" type="ex_dec" nillable="true"/>
                                    <xs:element name="Horizontal" type="ex_dec" nillable="true"/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</xs:sequence>
                      <xs:attribute name="TOTAL_SIDE_POLE" type="ex_dec"/>
                      <xs:attribute name="ROUNDED_SIDE_POLE" type="ex_dec"/>
                      <xs:attribute name="MAX_POINTS" type="xs:integer"/>
                      <xs:attribute name="Capping" type="xs:string"/>
                    </xs:complexType>
                  </xs:element>
                  <xs:element name="AOP_Far_Side">
                    <xs:complexType>
                      <xs:sequence>
                        <xs:element name="AE-MDB">
                          <xs:complexType>
                            <xs:sequence>
                              <xs:element name="Prerequisites">
                                <xs:complexType>
                                  <xs:sequence>
                                    <xs:element name="Structural_Failue" type="xs:string"/>
                                    <xs:element name="Restraint_Failue" type="xs:string"/>
                                  </xs:sequence>
                                </xs:complexType>
                              </xs:element>
                              <xs:element name="Excursion_Zone">
                                <xs:complexType>
                                  <xs:sequence>
                                    <xs:element name="Excursion_Zone" type="xs:string"/>
                                    <xs:element name="Red_line_125mm" type="xs:string"/>
                                  </xs:sequence>
                                  <xs:attribute name="Scaling_Factor"/>
                                </xs:complexType>
                              </xs:element>
                              <xs:element name="Head">
                                <xs:complexType>
                                  <xs:complexContent>
                                    <xs:extension base="Driver_Points_Colour_Type">
                                      <xs:sequence>
                                        <xs:element name="Hard_Contact" type="xs:string"/>
                                        <xs:element name="HIC15" type="xs:decimal"/>
                                        <xs:element name="Resultant_3_msec" type="Driver_Value_PointsType"/>
                                      </xs:sequence>
                                    </xs:extension>
                                  </xs:complexContent>
                                </xs:complexType>
                              </xs:element>
                              <xs:element name="Neck">
                                <xs:complexType>
                                  <xs:complexContent>
                                    <xs:extension base="Driver_Points_Colour_Type">
                                      <xs:sequence>
                                        <xs:element name="Tension_Fz">
                                          <xs:complexType>
                                            <xs:sequence>
                                              <xs:element name="Upper_Neck" type="Driver_Value_PointsType"/>
                                              <xs:element name="Lower_Neck" type="Driver_Value_PointsType"/>
                                            </xs:sequence>
                                          </xs:complexType>
                                        </xs:element>
                                        <xs:element name="Lateral_Flexion">
                                          <xs:complexType>
                                            <xs:sequence>
                                              <xs:element name="MxOC" type="Driver_Value_PointsType"/>
                                              <xs:element name="Mx_neck_base" type="Driver_Value_PointsType"/>
                                            </xs:sequence>
                                          </xs:complexType>
                                        </xs:element>
                                        <xs:element name="Extension">
                                          <xs:complexType>
                                            <xs:sequence>
                                              <xs:element name="MyOC" type="Driver_Value_PointsType"/>
                                              <xs:element name="My_neck_base" type="Driver_Value_PointsType"/>
                                            </xs:sequence>
                                          </xs:complexType>
                                        </xs:element>
                                      </xs:sequence>
                                    </xs:extension>
                                  </xs:complexContent>
                                </xs:complexType>
                              </xs:element>
                              <xs:element name="Chest_and_Abdomen">
                                <xs:complexType>
                                  <xs:complexContent>
                                    <xs:extension base="Driver_Points_Colour_Type">
                                      <xs:sequence>
                                        <xs:element name="Lateral_Compression">
                                          <xs:complexType>
                                            <xs:sequence>
                                              <xs:element name="Top" type="Driver_Value_PointsType"/>
                                              <xs:element name="Middle" type="Driver_Value_PointsType"/>
                                              <xs:element name="Bottom" type="Driver_Value_PointsType"/>
                                            </xs:sequence>
                                          </xs:complexType>
                                        </xs:element>
                                        <xs:element name="Abdom_Rib_Lat_Compress">
                                          <xs:complexType>
                                            <xs:sequence>
                                              <xs:element name="Top" type="Driver_Value_PointsType"/>
                                              <xs:element name="Bottom" type="Driver_Value_PointsType"/>
                                            </xs:sequence>
                                          </xs:complexType>
                                        </xs:element>
                                      </xs:sequence>
                                    </xs:extension>
                                  </xs:complexContent>
                                </xs:complexType>
                              </xs:element>
                              <xs:element name="Pelvis">
                                <xs:complexType>
                                  <xs:complexContent>
                                    <xs:extension base="Driver_Points_Colour_Type">
                                      <xs:sequence>
                                        <xs:element name="Pubic_Symph" type="Driver_Value_PointsType"/>
                                        <xs:element name="Lumbar_Fy" type="Driver_Value_PointsType"/>
                                        <xs:element name="Lumbar_Fz" type="Driver_Value_PointsType"/>
                                        <xs:element name="Lumbar_Mx" type="Driver_Value_PointsType"/>
                                      </xs:sequence>
                                    </xs:extension>
                                  </xs:complexContent>
                                </xs:complexType>
                              </xs:element>
                              <xs:element name="SUMMARY">
                                <xs:complexType>
                                  <xs:sequence>
                                    <xs:element name="Head_assessment" type="Driver_PointsType"/>
                                    <xs:element name="Neck_assessment" type="Driver_PointsType"/>
                                    <xs:element name="Chest_abdomen_assessment" type="Driver_PointsType"/>
                                    <xs:element name="Pelvis_assessment" type="Driver_PointsType"/>
                                  </xs:sequence>
                                </xs:complexType>
                              </xs:element>
                              <xs:element name="TEST_SCORE" type="xs:decimal"/>
                              <xs:element name="Occupant_to_Occupant" minOccurs="0">
                                <xs:complexType>
                                  <xs:sequence>
                                    <xs:element name="Head_to_Head">
                                      <xs:complexType>
                                        <xs:attribute name="Assessment" type="xs:string"/>
                                        <xs:attribute name="Score" type="ex_dec"/>
                                      </xs:complexType>
                                    </xs:element>
                                    <xs:element name="HIC15" type="Driver_Value_PointsType"/>
                                    <xs:element name="Res_3msec_exceed" type="Driver_Value_PointsType"/>
                                    <xs:element name="Symmetrical_Performance">
                                      <xs:complexType>
                                        <xs:attribute name="Assessment" type="xs:string"/>
                                        <xs:attribute name="Score" type="ex_dec"/>
                                      </xs:complexType>
                                    </xs:element>
                                    <xs:element name="Protection_Zone">
                                      <xs:complexType>
                                        <xs:attribute name="Assessment" type="xs:string"/>
                                        <xs:attribute name="Score" type="ex_dec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</xs:sequence>
                            <xs:attribute name="Total_Far_Side_AE_MDB"/>
                            <xs:attribute name="Rounded_Far_Side_AE_MDB" type="ex_dec"/>
                          </xs:complexType>
                        </xs:element>
                        <xs:element name="POLE">
                          <xs:complexType>
                            <xs:sequence>
                              <xs:element name="Prerequisites">
                                <xs:complexType>
                                  <xs:sequence>
                                    <xs:element name="Structural_Failue" type="xs:string"/>
                                    <xs:element name="Restraint_Failue" type="xs:string"/>
                                  </xs:sequence>
                                </xs:complexType>
                              </xs:element>
                              <xs:element name="Excursion_Zone">
                                <xs:complexType>
                                  <xs:sequence>
                                    <xs:element name="Excursion_Zone" type="xs:string"/>
                                    <xs:element name="Red_line_125mm" type="xs:string"/>
                                  </xs:sequence>
                                  <xs:attribute name="Scaling_Factor"/>
                                </xs:complexType>
                              </xs:element>
                              <xs:element name="Head">
                                <xs:complexType>
                                  <xs:complexContent>
                                    <xs:extension base="Driver_Points_Colour_Type">
                                      <xs:sequence>
                                        <xs:element name="Hard_Contact" type="xs:string"/>
                                        <xs:element name="HIC15" type="xs:decimal"/>
                                        <xs:element name="Resultant_3_msec" type="Driver_Value_PointsType"/>
                                      </xs:sequence>
                                    </xs:extension>
                                  </xs:complexContent>
                                </xs:complexType>
                              </xs:element>
                              <xs:element name="Neck">
                                <xs:complexType>
                                  <xs:complexContent>
                                    <xs:extension base="Driver_Points_Colour_Type">
                                      <xs:sequence>
                                        <xs:element name="Tension_Fz">
                                          <xs:complexType>
                                            <xs:sequence>
                                              <xs:element name="Upper_Neck" type="Driver_Value_PointsType"/>
                                              <xs:element name="Lower_Neck" type="Driver_Value_PointsType"/>
                                            </xs:sequence>
                                          </xs:complexType>
                                        </xs:element>
                                        <xs:element name="Lateral_Flexion">
                                          <xs:complexType>
                                            <xs:sequence>
                                              <xs:element name="MxOC" type="Driver_Value_PointsType"/>
                                              <xs:element name="Mx_neck_base" type="Driver_Value_PointsType"/>
                                            </xs:sequence>
                                          </xs:complexType>
                                        </xs:element>
                                        <xs:element name="Extension">
                                          <xs:complexType>
                                            <xs:sequence>
                                              <xs:element name="MyOC" type="Driver_Value_PointsType"/>
                                              <xs:element name="My_neck_base" type="Driver_Value_PointsType"/>
                                            </xs:sequence>
                                          </xs:complexType>
                                        </xs:element>
                                      </xs:sequence>
                                    </xs:extension>
                                  </xs:complexContent>
                                </xs:complexType>
                              </xs:element>
                              <xs:element name="Chest_and_Abdomen">
                                <xs:complexType>
                                  <xs:complexContent>
                                    <xs:extension base="Driver_Points_Colour_Type">
                                      <xs:sequence>
                                        <xs:element name="Lateral_Compression">
                                          <xs:complexType>
                                            <xs:sequence>
                                              <xs:element name="Top" type="Driver_Value_PointsType"/>
                                              <xs:element name="Middle" type="Driver_Value_PointsType"/>
                                              <xs:element name="Bottom" type="Driver_Value_PointsType"/>
                                            </xs:sequence>
                                          </xs:complexType>
                                        </xs:element>
                                        <xs:element name="Abdom_Rib_Lat_Compress">
                                          <xs:complexType>
                                            <xs:sequence>
                                              <xs:element name="Top" type="Driver_Value_PointsType"/>
                                              <xs:element name="Bottom" type="Driver_Value_PointsType"/>
                                            </xs:sequence>
                                          </xs:complexType>
                                        </xs:element>
                                      </xs:sequence>
                                    </xs:extension>
                                  </xs:complexContent>
                                </xs:complexType>
                              </xs:element>
                              <xs:element name="Pelvis">
                                <xs:complexType>
                                  <xs:complexContent>
                                    <xs:extension base="Driver_Points_Colour_Type">
                                      <xs:sequence>
                                        <xs:element name="Pubic_Symph" type="Driver_Value_PointsType"/>
                                        <xs:element name="Lumbar_Fy" type="Driver_Value_PointsType"/>
                                        <xs:element name="Lumbar_Fz" type="Driver_Value_PointsType"/>
                                        <xs:element name="Lumbar_Mx" type="Driver_Value_PointsType"/>
                                      </xs:sequence>
                                    </xs:extension>
                                  </xs:complexContent>
                                </xs:complexType>
                              </xs:element>
                              <xs:element name="SUMMARY">
                                <xs:complexType>
                                  <xs:sequence>
                                    <xs:element name="Head_assessment" type="Driver_PointsType"/>
                                    <xs:element name="Neck_assessment" type="Driver_PointsType"/>
                                    <xs:element name="Chest_abdomen_assessment" type="Driver_PointsType"/>
                                    <xs:element name="Pelvis_assessment" type="Driver_PointsType"/>
                                  </xs:sequence>
                                </xs:complexType>
                              </xs:element>
                              <xs:element name="TEST_SCORE" type="xs:decimal"/>
                              <xs:element name="Occupant_to_Occupant" minOccurs="0">
                                <xs:complexType>
                                  <xs:sequence>
                                    <xs:element name="Head_to_Head">
                                      <xs:complexType>
                                        <xs:attribute name="Assessment" type="xs:string"/>
                                        <xs:attribute name="Score" type="ex_dec"/>
                                      </xs:complexType>
                                    </xs:element>
                                    <xs:element name="HIC15" type="Driver_Value_PointsType"/>
                                    <xs:element name="Res_3msec_exceed" type="Driver_Value_PointsType"/>
                                    <xs:element name="Symmetrical_Performance">
                                      <xs:complexType>
                                        <xs:attribute name="Assessment" type="xs:string"/>
                                        <xs:attribute name="Score" type="ex_dec"/>
                                      </xs:complexType>
                                    </xs:element>
                                    <xs:element name="Protection_Zone">
                                      <xs:complexType>
                                        <xs:attribute name="Assessment" type="xs:string"/>
                                        <xs:attribute name="Score" type="ex_dec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</xs:sequence>
                            <xs:attribute name="Total_Far_Side_POLE" type="ex_dec"/>
                            <xs:attribute name="Rounded_Far_Side_POLE" type="ex_dec"/>
                          </xs:complexType>
                        </xs:element>
                      </xs:sequence>
                      <xs:attribute name="Total_Far_Side_Score" type="xs:decimal"/>
                      <xs:attribute name="Rounded_Far_Side_Score" type="xs:decimal"/>
                      <xs:attribute name="MAX_POINTS" type="xs:integer"/>
                      <xs:attribute name="Excursion_Zone" type="xs:string"/>
                      <xs:attribute name="Head_Colour" type="xs:string"/>
                      <xs:attribute name="Neck_Colour" type="xs:string"/>
                      <xs:attribute name="Chest_Colour" type="xs:string"/>
                      <xs:attribute name="Pelvis_Colour" type="xs:string"/>
                      <xs:attribute name="O2O_Driver_Head_Colour" type="xs:string"/>
                      <xs:attribute name="O2O_Pass_Head_Colour" type="xs:string"/>
                      <xs:attribute name="Capping" type="xs:string"/>
                    </xs:complexType>
                  </xs:element>
                  <xs:element name="AOP_Whiplash">
                    <xs:complexType>
                      <xs:sequence>
                        <xs:element name="Static_assessment">
                          <xs:complexType>
                            <xs:sequence>
                              <xs:element name="Geometric_assessment_test_position">
                                <xs:complexType>
                                  <xs:sequence>
                                    <xs:element name="Test_position">
                                      <xs:complexType>
                                        <xs:sequence>
                                          <xs:element name="Backset_HRMD_mm" type="Pulse_Value_PointsType"/>
                                          <xs:element name="Height_HRMD_mm" type="Pulse_Value_PointsType"/>
                                        </xs:sequence>
                                      </xs:complexType>
                                    </xs:element>
                                  </xs:sequence>
                                  <xs:attribute name="Total" type="ex_dec"/>
                                </xs:complexType>
                              </xs:element>
                              <xs:element name="Ease_of_Adjustment">
                                <xs:complexType>
                                  <xs:sequence>
                                    <xs:element name="Down_Back">
                                      <xs:complexType>
                                        <xs:sequence>
                                          <xs:element name="Backset_HRMD_mm">
                                            <xs:complexType>
                                              <xs:attribute name="Mid_Value" type="xs:decimal"/>
                                              <xs:attribute name="Mid_Pass_Fail" type="xs:string"/>
                                              <xs:attribute name="High_Value" type="xs:decimal"/>
                                              <xs:attribute name="High_Pass_Fail" type="xs:string"/>
                                            </xs:complexType>
                                          </xs:element>
                                          <xs:element name="Height_HRMD_mm">
                                            <xs:complexType>
                                              <xs:attribute name="Mid_Value" type="xs:decimal"/>
                                              <xs:attribute name="Mid_Pass_Fail" type="xs:string"/>
                                              <xs:attribute name="High_Value" type="xs:decimal"/>
                                              <xs:attribute name="High_Pass_Fail" type="xs:string"/>
                                            </xs:complexType>
                                          </xs:element>
                                        </xs:sequence>
                                      </xs:complexType>
                                    </xs:element>
                                    <xs:element name="Passenger_Seat_Backset_HRMD_mm">
                                      <xs:complexType>
                                        <xs:attribute name="Mid_Value" type="xs:decimal"/>
                                        <xs:attribute name="Mid_Pass_Fail" type="xs:string"/>
                                        <xs:attribute name="High_Value" type="xs:decimal"/>
                                        <xs:attribute name="High_Pass_Fail" type="xs:string"/>
                                      </xs:complexType>
                                    </xs:element>
                                    <xs:element name="Passenger_Seat_Height_HRMD_mm">
                                      <xs:complexType>
                                        <xs:attribute name="Mid_Value" type="xs:decimal"/>
                                        <xs:attribute name="Mid_Pass_Fail" type="xs:string"/>
                                        <xs:attribute name="High_Value" type="xs:decimal"/>
                                        <xs:attribute name="High_Pass_Fail" type="xs:string"/>
                                      </xs:complexType>
                                    </xs:element>
                                  </xs:sequence>
                                  <xs:attribute name="Total" type="ex_dec"/>
                                </xs:complexType>
                              </xs:element>
                            </xs:sequence>
                            <xs:attribute name="Total" type="ex_dec"/>
                            <xs:attribute name="Rounded_Static_Total" type="ex_dec"/>
                          </xs:complexType>
                        </xs:element>
                        <xs:element name="Dynamic_assessment">
                          <xs:complexType>
                            <xs:sequence>
                              <xs:element name="NIC_max_m2s2">
                                <xs:complexType>
                                  <xs:attribute name="Row1_Value" type="xs:decimal"/>
                                  <xs:attribute name="Row1_Points" type="xs:decimal"/>
                                  <xs:attribute name="Row2_Value" type="xs:decimal"/>
                                  <xs:attribute name="Row2_Points" type="xs:decimal"/>
                                </xs:complexType>
                              </xs:element>
                              <xs:element name="Upper_Neck_ShearP_Pos_Fx">
                                <xs:complexType>
                                  <xs:attribute name="Row1_Value" type="xs:decimal"/>
                                  <xs:attribute name="Row1_Points" type="xs:decimal"/>
                                  <xs:attribute name="Row2_Value" type="xs:decimal"/>
                                  <xs:attribute name="Row2_Points" type="xs:decimal"/>
                                </xs:complexType>
                              </xs:element>
                              <xs:element name="Upper_Neck_Tension">
                                <xs:complexType>
                                  <xs:attribute name="Row1_Value" type="xs:decimal"/>
                                  <xs:attribute name="Row1_Points" type="xs:decimal"/>
                                  <xs:attribute name="Row2_Value" type="xs:decimal"/>
                                  <xs:attribute name="Row2_Points" type="xs:decimal"/>
                                </xs:complexType>
                              </xs:element>
                              <xs:element name="Nkm" type="Pulse_Value_PointsType"/>
                              <xs:element name="Rebound_head_vel_rel_sled_ms" type="Pulse_Value_PointsType"/>
                              <xs:element name="UPPER_Neck_Shear_Neg_Fx" type="Pulse_Value_PointsType"/>
                              <xs:element name="UPPER_Neck_Extension_Flexion_My" type="Pulse_Value_PointsType"/>
                              <xs:element name="LOWER_Neck_Shear_Abs_Fx" type="Pulse_Value_PointsType"/>
                              <xs:element name="LOWER_Neck_Extension_Flexion_My" type="Pulse_Value_PointsType"/>
                              <xs:element name="T1_x_acc_g" type="Pulse_Value_PointsType"/>
                              <xs:element name="Head_contact_start_ms" type="Pulse_Value_PointsType"/>
                              <xs:element name="Max_Seat_Back_Dynamic_Deflection_degree" type="Pulse_Value_PointsType"/>
                            </xs:sequence>
                            <xs:attribute name="Total1" type="ex_dec"/>
                            <xs:attribute name="Total2" type="ex_dec"/>
                            <xs:attribute name="Total3" type="ex_dec"/>
                            <xs:attribute name="Rounded_Total1" type="ex_dec"/>
                            <xs:attribute name="Rounded_Total2" type="ex_dec"/>
                            <xs:attribute name="Rounded_Total3" type="ex_dec"/>
                          </xs:complexType>
                        </xs:element>
                        <xs:element name="Rear_Whiplash_assessment" minOccurs="0">
                          <xs:complexType>
                            <xs:sequence>
                              <xs:element name="Rear_Effective_Height_assessment" minOccurs="0">
                                <xs:complexType>
                                  <xs:sequence minOccurs="0">
                                    <xs:element name="Effective_Height" minOccurs="0">
                                      <xs:complexType>
                                        <xs:sequence>
                                          <xs:element name="Lowest_position_mm">
                                            <xs:complexType>
                                              <xs:attribute name="Value" type="ex_dec"/>
                                              <xs:attribute name="Pass_Fail" type="xs:string"/>
                                              <xs:attribute name="Row3_Value" type="ex_dec"/>
                                              <xs:attribute name="Row3_Pass_Fail" type="xs:string"/>
                                            </xs:complexType>
                                          </xs:element>
                                          <xs:element name="Highest_position_mm" minOccurs="0">
                                            <xs:complexType>
                                              <xs:attribute name="Value" type="ex_dec"/>
                                              <xs:attribute name="Pass_Fail" type="xs:string"/>
                                              <xs:attribute name="fiftymm_from_interior" type="xs:string"/>
                                              <xs:attribute name="Row3_Value" type="ex_dec"/>
                                              <xs:attribute name="Row3_Pass_Fail" type="xs:string"/>
                                            </xs:complexType>
                                          </xs:element>
                                          <xs:element name="Less_than_50mm" type="xs:string"/>
                                        </xs:sequence>
                                      </xs:complexType>
                                    </xs:element>
                                  </xs:sequence>
                                  <xs:attribute name="Total" type="ex_dec"/>
                                </xs:complexType>
                              </xs:element>
                              <xs:element name="Rear_Backset_Assessment" minOccurs="0">
                                <xs:complexType>
                                  <xs:sequence minOccurs="0">
                                    <xs:element name="Torso_angle_deg" minOccurs="0">
                                      <xs:complexType>
                                        <xs:attribute name="Value1" type="ex_dec"/>
                                        <xs:attribute name="Value2" type="ex_dec"/>
                                        <xs:attribute name="Row3_Value1" type="ex_dec"/>
                                      </xs:complexType>
                                    </xs:element>
                                    <xs:element name="ΔCP_X_mid_position_mm" minOccurs="0">
                                      <xs:complexType>
                                        <xs:attribute name="Value1" type="ex_dec"/>
                                        <xs:attribute name="Value2" type="ex_dec"/>
                                        <xs:attribute name="Row3_Value1" type="ex_dec"/>
                                        <xs:attribute name="Row3_Value2" type="ex_dec"/>
                                      </xs:complexType>
                                    </xs:element>
                                    <xs:element name="ΔCP_X_worst_case_position_mm" minOccurs="0">
                                      <xs:complexType>
                                        <xs:attribute name="Value1" type="ex_dec"/>
                                        <xs:attribute name="Value2" type="ex_dec"/>
                                        <xs:attribute name="Row3_Value1" type="ex_dec"/>
                                        <xs:attribute name="Row3_Value2" type="ex_dec"/>
                                      </xs:complexType>
                                    </xs:element>
                                  </xs:sequence>
                                  <xs:attribute name="Total" type="ex_dec"/>
                                </xs:complexType>
                              </xs:element>
                              <xs:element name="Rear_NonUse_Position_Assessment" minOccurs="0">
                                <xs:complexType>
                                  <xs:sequence minOccurs="0">
                                    <xs:element name="NonUse_position" minOccurs="0">
                                      <xs:complexType>
                                        <xs:simpleContent>
                                          <xs:extension base="xs:string">
                                            <xs:attribute name="Row3_NonUse" type="xs:string"/>
                                          </xs:extension>
                                        </xs:simpleContent>
                                      </xs:complexType>
                                    </xs:element>
                                    <xs:element name="Automatic_return_head_restraints" minOccurs="0">
                                      <xs:complexType>
                                        <xs:simpleContent>
                                          <xs:extension base="xs:string">
                                            <xs:attribute name="Row3_Auto_return" type="xs:string"/>
                                          </xs:extension>
                                        </xs:simpleContent>
                                      </xs:complexType>
                                    </xs:element>
                                    <xs:element name="Rotation_evaluation" minOccurs="0">
                                      <xs:complexType>
                                        <xs:simpleContent>
                                          <xs:extension base="xs:string">
                                            <xs:attribute name="Row3_Rotation" type="xs:string"/>
                                          </xs:extension>
                                        </xs:simpleContent>
                                      </xs:complexType>
                                    </xs:element>
                                    <xs:element name="Torso_line_change" minOccurs="0">
                                      <xs:complexType>
                                        <xs:simpleContent>
                                          <xs:extension base="xs:string">
                                            <xs:attribute name="Row3_Torsoline" type="xs:string"/>
                                          </xs:extension>
                                        </xs:simpleContent>
                                      </xs:complexType>
                                    </xs:element>
                                    <xs:element name="Discomfort_metric" minOccurs="0">
                                      <xs:complexType>
                                        <xs:simpleContent>
                                          <xs:extension base="xs:string">
                                            <xs:attribute name="Row3_Discomfort" type="xs:string"/>
                                          </xs:extension>
                                        </xs:simpleContent>
                                      </xs:complexType>
                                    </xs:element>
                                  </xs:sequence>
                                  <xs:attribute name="Total" type="ex_dec"/>
                                </xs:complexType>
                              </xs:element>
                              <xs:element name="Head_Rest_All_Pos">
                                <xs:complexType>
                                  <xs:attribute name="Row2" type="xs:string"/>
                                  <xs:attribute name="Row3" type="xs:string"/>
                                </xs:complexType>
                              </xs:element>
                              <xs:element name="R17-08_Compliant">
                                <xs:complexType>
                                  <xs:attribute name="Row2" type="xs:string"/>
                                  <xs:attribute name="Row3" type="xs:string"/>
                                </xs:complexType>
                              </xs:element>
                            </xs:sequence>
                            <xs:attribute name="Total" type="ex_dec"/>
                            <xs:attribute name="Rounded_Total" type="ex_dec"/>
                          </xs:complexType>
                        </xs:element>
                        <xs:element name="SUMMARY">
                          <xs:complexType>
                            <xs:sequence>
                              <xs:element name="Static_assessment" type="ex_dec" nillable="true"/>
                              <xs:element name="Dynamic_assessment" type="ex_dec" nillable="true"/>
                              <xs:element name="Dummy_Artifact_Loading" type="ex_dec" nillable="true"/>
                            </xs:sequence>
                          </xs:complexType>
                        </xs:element>
                        <xs:element name="TOTAL_FRONT_WHIPLASH">
                          <xs:complexType>
                            <xs:simpleContent>
                              <xs:extension base="ex_dec">
                                <xs:attribute name="Points" type="ex_dec"/>
                                <xs:attribute name="Colour" type="xs:string"/>
                              </xs:extension>
                            </xs:simpleContent>
                          </xs:complexType>
                        </xs:element>
                        <xs:element name="TOTAL_REAR_WHIPLASH">
                          <xs:complexType>
                            <xs:simpleContent>
                              <xs:extension base="ex_dec">
                                <xs:attribute name="Points" type="ex_dec"/>
                                <xs:attribute name="Colour" type="xs:string"/>
                              </xs:extension>
                            </xs:simpleContent>
                          </xs:complexType>
                        </xs:element>
                        <xs:element name="DUMMY_MEASUREMENTS" nillable="true" minOccurs="0">
                          <xs:complexType>
                            <xs:sequence>
                              <xs:element name="Head" minOccurs="0">
                                <xs:complexType>
                                  <xs:sequence>
                                    <xs:element name="Ax_Max" type="Pulse_ValueType" minOccurs="0"/>
                                    <xs:element name="Ax_Min" type="Pulse_ValueType" minOccurs="0"/>
                                    <xs:element name="Ay_Max" type="Pulse_ValueType" minOccurs="0"/>
                                    <xs:element name="Ay_Min" type="Pulse_ValueType" minOccurs="0"/>
                                    <xs:element name="Az_Max" type="Pulse_ValueType" minOccurs="0"/>
                                    <xs:element name="Az_Min" type="Pulse_ValueType" minOccurs="0"/>
                                    <xs:element name="Vx_Max" type="Pulse_ValueType" minOccurs="0"/>
                                    <xs:element name="Vx_Min" type="Pulse_ValueType" minOccurs="0"/>
                                    <xs:element name="HRCT_Max" type="Pulse_ValueType" minOccurs="0"/>
                                    <xs:element name="HRCT_Min" type="Pulse_ValueType" minOccurs="0"/>
                                  </xs:sequence>
                                </xs:complexType>
                              </xs:element>
                              <xs:element name="Cervical_Spine" minOccurs="0">
                                <xs:complexType>
                                  <xs:sequence>
                                    <xs:element name="Ax_Max" type="Pulse_ValueType" minOccurs="0"/>
                                    <xs:element name="Ax_Min" type="Pulse_ValueType" minOccurs="0"/>
                                    <xs:element name="Az_Max" type="Pulse_ValueType" minOccurs="0"/>
                                    <xs:element name="Az_Min" type="Pulse_ValueType" minOccurs="0"/>
                                  </xs:sequence>
                                </xs:complexType>
                              </xs:element>
                              <xs:element name="Neck_Upper" minOccurs="0">
                                <xs:complexType>
                                  <xs:sequence>
                                    <xs:element name="Fx_Max" type="Pulse_ValueType" minOccurs="0"/>
                                    <xs:element name="Fx_Min" type="Pulse_ValueType" minOccurs="0"/>
                                    <xs:element name="Fy_Max" type="Pulse_ValueType" minOccurs="0"/>
                                    <xs:element name="Fy_Min" type="Pulse_ValueType" minOccurs="0"/>
                                    <xs:element name="Fz_Max" type="Pulse_ValueType" minOccurs="0"/>
                                    <xs:element name="Fz_Min" type="Pulse_ValueType" minOccurs="0"/>
                                    <xs:element name="Mx_Max" type="Pulse_ValueType" minOccurs="0"/>
                                    <xs:element name="Mx_Min" type="Pulse_ValueType" minOccurs="0"/>
                                    <xs:element name="My_Max" type="Pulse_ValueType" minOccurs="0"/>
                                    <xs:element name="My_Min" type="Pulse_ValueType" minOccurs="0"/>
                                    <xs:element name="Mz_Max" type="Pulse_ValueType" minOccurs="0"/>
                                    <xs:element name="Mz_Min" type="Pulse_ValueType" minOccurs="0"/>
                                  </xs:sequence>
                                </xs:complexType>
                              </xs:element>
                              <xs:element name="Neck_Lower" minOccurs="0">
                                <xs:complexType>
                                  <xs:sequence>
                                    <xs:element name="Fx_Max" type="Pulse_ValueType" minOccurs="0"/>
                                    <xs:element name="Fx_Min" type="Pulse_ValueType" minOccurs="0"/>
                                    <xs:element name="Fy_Max" type="Pulse_ValueType" minOccurs="0"/>
                                    <xs:element name="Fy_Min" type="Pulse_ValueType" minOccurs="0"/>
                                    <xs:element name="Fz_Max" type="Pulse_ValueType" minOccurs="0"/>
                                    <xs:element name="Fz_Min" type="Pulse_ValueType" minOccurs="0"/>
                                    <xs:element name="Mx_Max" type="Pulse_ValueType" minOccurs="0"/>
                                    <xs:element name="Mx_Min" type="Pulse_ValueType" minOccurs="0"/>
                                    <xs:element name="My_Max" type="Pulse_ValueType" minOccurs="0"/>
                                    <xs:element name="My_Min" type="Pulse_ValueType" minOccurs="0"/>
                                    <xs:element name="Mz_Max" type="Pulse_ValueType" minOccurs="0"/>
                                    <xs:element name="Mz_Min" type="Pulse_ValueType" minOccurs="0"/>
                                  </xs:sequence>
                                </xs:complexType>
                              </xs:element>
                              <xs:element name="Thoracic_Spine_left" minOccurs="0">
                                <xs:complexType>
                                  <xs:sequence>
                                    <xs:element name="Ax_Max" type="Pulse_ValueType" minOccurs="0"/>
                                    <xs:element name="Ax_Min" type="Pulse_ValueType" minOccurs="0"/>
                                    <xs:element name="Az_Max" type="Pulse_ValueType" minOccurs="0"/>
                                    <xs:element name="Az_Min" type="Pulse_ValueType" minOccurs="0"/>
                                  </xs:sequence>
                                </xs:complexType>
                              </xs:element>
                              <xs:element name="Thoracic_Spine_right" minOccurs="0">
                                <xs:complexType>
                                  <xs:sequence>
                                    <xs:element name="Ax_Max" type="Pulse_ValueType" minOccurs="0"/>
                                    <xs:element name="Ax_Min" type="Pulse_ValueType" minOccurs="0"/>
                                    <xs:element name="Az_Max" type="Pulse_ValueType" minOccurs="0"/>
                                    <xs:element name="Az_Min" type="Pulse_ValueType" minOccurs="0"/>
                                  </xs:sequence>
                                </xs:complexType>
                              </xs:element>
                              <xs:element name="Thoracic_Spine_T_eight" minOccurs="0">
                                <xs:complexType>
                                  <xs:sequence>
                                    <xs:element name="Ax_Max" type="Pulse_ValueType" minOccurs="0"/>
                                    <xs:element name="Ax_Min" type="Pulse_ValueType" minOccurs="0"/>
                                    <xs:element name="Az_Max" type="Pulse_ValueType" minOccurs="0"/>
                                    <xs:element name="Az_Min" type="Pulse_ValueType" minOccurs="0"/>
                                  </xs:sequence>
                                </xs:complexType>
                              </xs:element>
                              <xs:element name="Lumbar_Spine" minOccurs="0">
                                <xs:complexType>
                                  <xs:sequence>
                                    <xs:element name="Ax_Max" type="Pulse_ValueType" minOccurs="0"/>
                                    <xs:element name="Ax_Min" type="Pulse_ValueType" minOccurs="0"/>
                                    <xs:element name="Az_Max" type="Pulse_ValueType" minOccurs="0"/>
                                    <xs:element name="Az_Min" type="Pulse_ValueType" minOccurs="0"/>
                                  </xs:sequence>
                                </xs:complexType>
                              </xs:element>
                              <xs:element name="Pelvis" minOccurs="0">
                                <xs:complexType>
                                  <xs:sequence>
                                    <xs:element name="Ax_Max" type="Pulse_ValueType" minOccurs="0"/>
                                    <xs:element name="Ax_Min" type="Pulse_ValueType" minOccurs="0"/>
                                    <xs:element name="Ay_Max" type="Pulse_ValueType" minOccurs="0"/>
                                    <xs:element name="Ay_Min" type="Pulse_ValueType" minOccurs="0"/>
                                    <xs:element name="Az_Max" type="Pulse_ValueType" minOccurs="0"/>
                                    <xs:element name="Az_Min" type="Pulse_ValueType" minOccurs="0"/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  <xs:element name="SLED_MEASUREMENTS" nillable="true" minOccurs="0">
                          <xs:complexType>
                            <xs:sequence>
                              <xs:element name="Sled">
                                <xs:complexType>
                                  <xs:sequence>
                                    <xs:element name="Ax_Max" type="Pulse_ValueType"/>
                                    <xs:element name="Ax_Min" type="Pulse_ValueType"/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</xs:sequence>
                      <xs:attribute name="TOTAL_WHIPLASH" type="ex_dec"/>
                      <xs:attribute name="Rounded_Total" type="ex_dec"/>
                      <xs:attribute name="MAX_POINTS" type="xs:integer"/>
                      <xs:attribute name="Capping" type="xs:string"/>
                    </xs:complexType>
                  </xs:element>
                  <xs:element name="RESCUE">
                    <xs:complexType>
                      <xs:sequence>
                        <xs:element name="Rescue_Assessment">
                          <xs:complexType>
                            <xs:sequence>
                              <xs:element name="Rescue_Sheet">
                                <xs:complexType>
                                  <xs:sequence>
                                    <xs:element name="Available_all_EAA_Languages">
                                      <xs:complexType>
                                        <xs:attribute name="Availability" type="xs:string"/>
                                        <xs:attribute name="Compliance" type="xs:string"/>
                                      </xs:complexType>
                                    </xs:element>
                                    <xs:element name="Available_all_others_2020_on">
                                      <xs:complexType>
                                        <xs:attribute name="Availability" type="xs:string"/>
                                        <xs:attribute name="Compliance" type="xs:string"/>
                                      </xs:complexType>
                                    </xs:element>
                                    <xs:element name="ERG_for_tested">
                                      <xs:complexType>
                                        <xs:attribute name="Availability" type="xs:string"/>
                                        <xs:attribute name="Compliance" type="xs:string"/>
                                      </xs:complexType>
                                    </xs:element>
                                    <xs:element name="English">
                                      <xs:complexType>
                                        <xs:attribute name="Availability"/>
                                        <xs:attribute name="Compliance"/>
                                        <xs:attribute name="Rescue_Sheet_URL_EN" type="xs:string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</xs:sequence>
                            <xs:attribute name="Rescue_Assessment_Points" type="ex_dec"/>
                            <xs:attribute name="Rescue_Assessment_Points_rounded" type="ex_dec"/>
                          </xs:complexType>
                        </xs:element>
                        <xs:element name="Extrication">
                          <xs:complexType>
                            <xs:sequence>
                              <xs:element name="Auto_Door_Locking">
                                <xs:complexType>
                                  <xs:sequence>
                                    <xs:element name="Front">
                                      <xs:complexType>
                                        <xs:attribute name="MPDB_Driver" type="xs:string"/>
                                        <xs:attribute name="MPDB_Passenger" type="xs:string"/>
                                        <xs:attribute name="FW_Driver" type="xs:string"/>
                                        <xs:attribute name="FW_Passenger" type="xs:string"/>
                                        <xs:attribute name="AEMDB_Driver" type="xs:string"/>
                                        <xs:attribute name="AEMDB_Passenger" type="xs:string"/>
                                        <xs:attribute name="Pole_Driver" type="xs:string"/>
                                        <xs:attribute name="Pole_Passenger" type="xs:string"/>
                                      </xs:complexType>
                                    </xs:element>
                                    <xs:element name="Rear">
                                      <xs:complexType>
                                        <xs:attribute name="MPDB_Driver" type="xs:string"/>
                                        <xs:attribute name="MPDB_Passenger" type="xs:string"/>
                                        <xs:attribute name="FW_Driver" type="xs:string"/>
                                        <xs:attribute name="FW_Passenger" type="xs:string"/>
                                        <xs:attribute name="AEMDB_Driver" type="xs:string"/>
                                        <xs:attribute name="AEMDB_Passenger" type="xs:string"/>
                                        <xs:attribute name="Pole_Driver" type="xs:string"/>
                                        <xs:attribute name="Pole_Passenger" type="xs:string"/>
                                      </xs:complexType>
                                    </xs:element>
                                  </xs:sequence>
                                  <xs:attribute name="Auto_Doorlock_Points" type="ex_dec"/>
                                </xs:complexType>
                              </xs:element>
                              <xs:element name="Door_Opening_Forces">
                                <xs:complexType>
                                  <xs:sequence>
                                    <xs:element name="Front">
                                      <xs:complexType>
                                        <xs:attribute name="MPDB_Driver" type="xs:string"/>
                                        <xs:attribute name="MPDB_Passenger" type="xs:string"/>
                                        <xs:attribute name="FW_Driver" type="xs:string"/>
                                        <xs:attribute name="FW_Passenger" type="xs:string"/>
                                        <xs:attribute name="AEMDB_Driver" type="xs:string"/>
                                        <xs:attribute name="AEMDB_Passenger" type="xs:string"/>
                                        <xs:attribute name="Pole_Driver" type="xs:string"/>
                                        <xs:attribute name="Pole_Passenger" type="xs:string"/>
                                      </xs:complexType>
                                    </xs:element>
                                    <xs:element name="Rear">
                                      <xs:complexType>
                                        <xs:attribute name="MPDB_Driver" type="xs:string"/>
                                        <xs:attribute name="MPDB_Passenger" type="xs:string"/>
                                        <xs:attribute name="FW_Driver" type="xs:string"/>
                                        <xs:attribute name="FW_Passenger" type="xs:string"/>
                                        <xs:attribute name="AEMDB_Driver" type="xs:string"/>
                                        <xs:attribute name="AEMDB_Passenger" type="xs:string"/>
                                        <xs:attribute name="Pole_Driver" type="xs:string"/>
                                        <xs:attribute name="Pole_Passenger" type="xs:string"/>
                                      </xs:complexType>
                                    </xs:element>
                                  </xs:sequence>
                                  <xs:attribute name="Door_opening_Points" type="ex_dec"/>
                                </xs:complexType>
                              </xs:element>
                              <xs:element name="Retracting_Door_Handles">
                                <xs:complexType>
                                  <xs:sequence>
                                    <xs:element name="Front">
                                      <xs:complexType>
                                        <xs:attribute name="MPDB_Driver" type="xs:string"/>
                                        <xs:attribute name="MPDB_Passenger" type="xs:string"/>
                                        <xs:attribute name="FW_Driver" type="xs:string"/>
                                        <xs:attribute name="FW_Passenger" type="xs:string"/>
                                        <xs:attribute name="AEMDB_Driver" type="xs:string"/>
                                        <xs:attribute name="AEMDB_Passenger" type="xs:string"/>
                                        <xs:attribute name="Pole_Driver" type="xs:string"/>
                                        <xs:attribute name="Pole_Passenger" type="xs:string"/>
                                      </xs:complexType>
                                    </xs:element>
                                    <xs:element name="Rear">
                                      <xs:complexType>
                                        <xs:attribute name="MPDB_Driver" type="xs:string"/>
                                        <xs:attribute name="MPDB_Passenger" type="xs:string"/>
                                        <xs:attribute name="FW_Driver" type="xs:string"/>
                                        <xs:attribute name="FW_Passenger" type="xs:string"/>
                                        <xs:attribute name="AEMDB_Driver" type="xs:string"/>
                                        <xs:attribute name="AEMDB_Passenger" type="xs:string"/>
                                        <xs:attribute name="Pole_Driver" type="xs:string"/>
                                        <xs:attribute name="Pole_Passenger" type="xs:string"/>
                                      </xs:complexType>
                                    </xs:element>
                                  </xs:sequence>
                                  <xs:attribute name="Retracting_Points" type="ex_dec"/>
                                </xs:complexType>
                              </xs:element>
                              <xs:element name="Seatbelt_Unlatching">
                                <xs:complexType>
                                  <xs:sequence>
                                    <xs:element name="Front">
                                      <xs:complexType>
                                        <xs:attribute name="MPDB_Driver" type="xs:string"/>
                                        <xs:attribute name="MPDB_Passenger" type="xs:string"/>
                                        <xs:attribute name="FW_Driver" type="xs:string"/>
                                        <xs:attribute name="FW_Passenger" type="xs:string"/>
                                        <xs:attribute name="AEMDB_Driver" type="xs:string"/>
                                        <xs:attribute name="AEMDB_Passenger" type="xs:string"/>
                                        <xs:attribute name="Pole_Driver" type="xs:string"/>
                                        <xs:attribute name="Pole_Passenger" type="xs:string"/>
                                      </xs:complexType>
                                    </xs:element>
                                    <xs:element name="Rear">
                                      <xs:complexType>
                                        <xs:attribute name="MPDB_Driver" type="xs:string"/>
                                        <xs:attribute name="MPDB_Passenger" type="xs:string"/>
                                        <xs:attribute name="FW_Driver" type="xs:string"/>
                                        <xs:attribute name="FW_Passenger" type="xs:string"/>
                                        <xs:attribute name="AEMDB_Driver" type="xs:string"/>
                                        <xs:attribute name="AEMDB_Passenger" type="xs:string"/>
                                        <xs:attribute name="Pole_Driver" type="xs:string"/>
                                        <xs:attribute name="Pole_Passenger" type="xs:string"/>
                                      </xs:complexType>
                                    </xs:element>
                                  </xs:sequence>
                                  <xs:attribute name="Unlatching_Points" type="ex_dec"/>
                                </xs:complexType>
                              </xs:element>
                              <xs:element name="Comply_ECE_Regs_EV" type="xs:string"/>
                              <xs:element name="ID_Direct_Haz_Disabling" type="xs:string"/>
                            </xs:sequence>
                            <xs:attribute name="Extrication_Points" type="ex_dec"/>
                            <xs:attribute name="Extrication_Points_rounded" type="ex_dec"/>
                            <xs:attribute name="Extrication_Assessment_Colour" type="xs:string"/>
                            <xs:attribute name="Extrication_Assessment_Comment" type="xs:string"/>
                          </xs:complexType>
                        </xs:element>
                        <xs:element name="Post-Crash_Tech">
                          <xs:complexType>
                            <xs:sequence>
                              <xs:element name="Advanced_eCall">
                                <xs:complexType>
                                  <xs:sequence>
                                    <xs:element name="Pot_No_Occupants">
                                      <xs:complexType>
                                        <xs:attribute name="Pass_Fail" type="xs:string"/>
                                        <xs:attribute name="Score" type="xs:decimal"/>
                                      </xs:complexType>
                                    </xs:element>
                                    <xs:element name="Recent_Veh_Locations">
                                      <xs:complexType>
                                        <xs:attribute name="Pass_Fail" type="xs:string"/>
                                        <xs:attribute name="Score" type="xs:decimal"/>
                                      </xs:complexType>
                                    </xs:element>
                                  </xs:sequence>
                                  <xs:attribute name="Score" type="xs:decimal"/>
                                </xs:complexType>
                              </xs:element>
                              <xs:element name="Third_Party_Service_eCall">
                                <xs:complexType>
                                  <xs:sequence>
                                    <xs:element name="Multi_Lang_Comm">
                                      <xs:complexType>
                                        <xs:attribute name="Pass_Fail" type="xs:string"/>
                                        <xs:attribute name="Score" type="xs:decimal"/>
                                      </xs:complexType>
                                    </xs:element>
                                    <xs:element name="Hazard_Detect">
                                      <xs:complexType>
                                        <xs:attribute name="Pass_Fail" type="xs:string"/>
                                        <xs:attribute name="Score" type="xs:decimal"/>
                                      </xs:complexType>
                                    </xs:element>
                                    <xs:element name="Transfer_Paired_Mobile">
                                      <xs:complexType>
                                        <xs:attribute name="Pass_Fail" type="xs:string"/>
                                        <xs:attribute name="Score" type="xs:decimal"/>
                                      </xs:complexType>
                                    </xs:element>
                                    <xs:element name="Transfer_Vehicle_Type">
                                      <xs:complexType>
                                        <xs:attribute name="Pass_Fail" type="xs:string"/>
                                        <xs:attribute name="Score" type="xs:decimal"/>
                                      </xs:complexType>
                                    </xs:element>
                                    <xs:element name="Any_New_Function">
                                      <xs:complexType>
                                        <xs:attribute name="Pass_Fail" type="xs:string"/>
                                        <xs:attribute name="Score" type="xs:decimal"/>
                                      </xs:complexType>
                                    </xs:element>
                                  </xs:sequence>
                                  <xs:attribute name="Score" type="xs:decimal"/>
                                </xs:complexType>
                              </xs:element>
                              <xs:element name="Vehicle_Submergence">
                                <xs:complexType>
                                  <xs:sequence>
                                    <xs:element name="Door_Opening">
                                      <xs:complexType>
                                        <xs:attribute name="Pass_Fail" type="xs:string"/>
                                        <xs:attribute name="Score" type="xs:decimal"/>
                                      </xs:complexType>
                                    </xs:element>
                                    <xs:element name="Window_Opening">
                                      <xs:complexType>
                                        <xs:attribute name="Pass_Fail" type="xs:string"/>
                                        <xs:attribute name="Score" type="xs:decimal"/>
                                      </xs:complexType>
                                    </xs:element>
                                  </xs:sequence>
                                  <xs:attribute name="Score" type="xs:decimal"/>
                                </xs:complexType>
                              </xs:element>
                              <xs:element name="MCB">
                                <xs:complexType>
                                  <xs:attribute name="Name"/>
                                  <xs:attribute name="Description_in_Manual"/>
                                  <xs:attribute name="Decel"/>
                                  <xs:attribute name="Brakelight"/>
                                  <xs:attribute name="Points" type="ex_dec"/>
                                </xs:complexType>
                              </xs:element>
                            </xs:sequence>
                            <xs:attribute name="Post_Crash_Points" type="ex_dec"/>
                            <xs:attribute name="Post_Crash_Points_rounded" type="ex_dec"/>
                            <xs:attribute name="Post_Crash_Assessment_Colour" type="xs:string"/>
                            <xs:attribute name="Post_Crash_Assessment_Comment" type="xs:string"/>
                          </xs:complexType>
                        </xs:element>
                      </xs:sequence>
                      <xs:attribute name="TOTAL_RESCUE" type="ex_dec"/>
                      <xs:attribute name="Rounded_TOTAL_RESCUE" type="ex_dec"/>
                      <xs:attribute name="Max_Points_RESCUE"/>
                      <xs:attribute name="RESCUE_Colour" type="xs:string"/>
                      <xs:attribute name="Rescue_Sheet_Comment" type="xs:string"/>
                      <xs:attribute name="Adv_eCall_Comment" type="xs:string"/>
                      <xs:attribute name="MCB_Sheet_Comment" type="xs:string"/>
                      <xs:attribute name="Submergence_Comment" type="xs:string"/>
                    </xs:complexType>
                  </xs:element>
                </xs:sequence>
                <xs:attribute name="Frontal_Points" type="xs:decimal"/>
                <xs:attribute name="Frontal_Max_Points" type="xs:decimal"/>
                <xs:attribute name="Frontal_Colour" type="xs:string"/>
                <xs:attribute name="Lateral_Points" type="xs:decimal"/>
                <xs:attribute name="Lateral_Max_Points" type="xs:decimal"/>
                <xs:attribute name="Lateral_Colour" type="xs:string"/>
                <xs:attribute name="Rear_Points" type="xs:decimal"/>
                <xs:attribute name="Rear_Max_Points" type="xs:decimal"/>
                <xs:attribute name="Rear_Colour" type="xs:string"/>
              </xs:complexType>
            </xs:element>
            <xs:element name="COP">
              <xs:complexType>
                <xs:sequence>
                  <xs:element name="COPDynamic">
                    <xs:complexType>
                      <xs:sequence>
                        <xs:element name="ELIGIBILITY_FOR_SCORING">
                          <xs:complexType>
                            <xs:sequence>
                              <xs:element name="Child_restraint">
                                <xs:complexType>
                                  <xs:sequence>
                                    <xs:element name="CRS_Name">
                                      <xs:complexType>
                                        <xs:attribute name="Q6" type="xs:string"/>
                                        <xs:attribute name="Q10" type="xs:string"/>
                                      </xs:complexType>
                                    </xs:element>
                                    <xs:element name="CRS_Type">
                                      <xs:complexType>
                                        <xs:attribute name="Q6" type="xs:string"/>
                                        <xs:attribute name="Q10" type="xs:string"/>
                                      </xs:complexType>
                                    </xs:element>
                                    <xs:element name="Installation_method">
                                      <xs:complexType>
                                        <xs:attribute name="Q6" type="xs:string"/>
                                        <xs:attribute name="Q10" type="xs:string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Recommended_by_vehicle_manufacturer">
                                <xs:complexType>
                                  <xs:attribute name="Q6" type="xs:string"/>
                                  <xs:attribute name="Q10" type="xs:string"/>
                                </xs:complexType>
                              </xs:element>
                            </xs:sequence>
                            <xs:attribute name="Q6_Total" type="xs:string"/>
                            <xs:attribute name="Q10_Total" type="xs:string"/>
                          </xs:complexType>
                        </xs:element>
                        <xs:element name="FRONTAL">
                          <xs:complexType>
                            <xs:sequence>
                              <xs:element name="Belt_Slip" minOccurs="0">
                                <xs:complexType>
                                  <xs:attribute name="Q6" type="xs:string"/>
                                  <xs:attribute name="Q10" type="xs:string"/>
                                </xs:complexType>
                              </xs:element>
                              <xs:element name="Submarining" minOccurs="0">
                                <xs:complexType>
                                  <xs:attribute name="Q6" type="xs:string"/>
                                  <xs:attribute name="Q10" type="xs:string"/>
                                </xs:complexType>
                              </xs:element>
                              <xs:element name="CRS_Car_Anchorage_Fail" minOccurs="0">
                                <xs:complexType>
                                  <xs:attribute name="Q6" type="xs:string"/>
                                  <xs:attribute name="Q10" type="xs:string"/>
                                </xs:complexType>
                              </xs:element>
                              <xs:element name="Head_Assessment">
                                <xs:complexType>
                                  <xs:sequence>
                                    <xs:element name="Hard_Contact">
                                      <xs:complexType>
                                        <xs:attribute name="Q6"/>
                                        <xs:attribute name="Q10"/>
                                      </xs:complexType>
                                    </xs:element>
                                    <xs:element name="HIC_15" type="Q6Q10_Value_PointsType"/>
                                    <xs:element name="Head_Resultant_3msec_Exceedence_g" type="Q6Q10_Value_PointsType"/>
                                    <xs:element name="Excursion" type="Q6Q10_Value_PointsType"/>
                                  </xs:sequence>
                                  <xs:attribute name="Q6_Total" type="ex_dec"/>
                                  <xs:attribute name="Q6_Colour"/>
                                  <xs:attribute name="Q10_Total" type="ex_dec"/>
                                  <xs:attribute name="Q10_Colour"/>
                                </xs:complexType>
                              </xs:element>
                              <xs:element name="Neck_Assessment">
                                <xs:complexType>
                                  <xs:sequence>
                                    <xs:element name="Tension_Upper_neck_Fz" type="Q6Q10_Value_PointsType"/>
                                    <xs:element name="Extension_My" type="Q6Q10_Value_PointsType"/>
                                    <xs:element name="Belt_Interaction">
                                      <xs:complexType>
                                        <xs:attribute name="Q6" type="xs:string"/>
                                        <xs:attribute name="Q10" type="xs:string"/>
                                      </xs:complexType>
                                    </xs:element>
                                  </xs:sequence>
                                  <xs:attribute name="Q6_Total" type="ex_dec"/>
                                  <xs:attribute name="Q6_Colour"/>
                                  <xs:attribute name="Q10_Total" type="ex_dec"/>
                                  <xs:attribute name="Q10_Colour"/>
                                </xs:complexType>
                              </xs:element>
                              <xs:element name="Chest_Assessment">
                                <xs:complexType>
                                  <xs:sequence>
                                    <xs:element name="Chest_Resultant_3msec" type="Q6Q10_Value_PointsType"/>
                                    <xs:element name="Upper_Chest_D_res" type="Q6Q10_Value_PointsType"/>
                                    <xs:element name="Lower_Chest_D_res" type="Q6Q10_Value_PointsType"/>
                                    <xs:element name="Chest_Deflection" type="Q6Q10_Value_PointsType"/>
                                  </xs:sequence>
                                  <xs:attribute name="Q6_Total" type="ex_dec"/>
                                  <xs:attribute name="Q6_Colour"/>
                                  <xs:attribute name="Q10_Total" type="ex_dec"/>
                                  <xs:attribute name="Q10_Colour"/>
                                </xs:complexType>
                              </xs:element>
                            </xs:sequence>
                            <xs:attribute name="Q6_Total" type="ex_dec"/>
                            <xs:attribute name="Q10_Total" type="ex_dec"/>
                            <xs:attribute name="Total_Front" type="ex_dec"/>
                            <xs:attribute name="Rounded_Total_Front" type="ex_dec"/>
                          </xs:complexType>
                        </xs:element>
                        <xs:element name="SIDE">
                          <xs:complexType>
                            <xs:sequence>
                              <xs:element name="Dummy_restrained_throughout">
                                <xs:complexType>
                                  <xs:attribute name="Q6" type="xs:string"/>
                                  <xs:attribute name="Q10" type="xs:string"/>
                                </xs:complexType>
                              </xs:element>
                              <xs:element name="CRS_Car_Anchorage_Fail" minOccurs="0">
                                <xs:complexType>
                                  <xs:attribute name="Q6" type="xs:string"/>
                                  <xs:attribute name="Q10" type="xs:string"/>
                                </xs:complexType>
                              </xs:element>
                              <xs:element name="Head_Assessment">
                                <xs:complexType>
                                  <xs:sequence>
                                    <xs:element name="Hard_Contact">
                                      <xs:complexType>
                                        <xs:attribute name="Q6"/>
                                        <xs:attribute name="Q10"/>
                                      </xs:complexType>
                                    </xs:element>
                                    <xs:element name="HIC_15" type="Q6Q10_Value_PointsType"/>
                                    <xs:element name="Head_Resultant_3msec_Exceedence_g" type="Q6Q10_Value_PointsType"/>
                                  </xs:sequence>
                                  <xs:attribute name="Q6_Total" type="ex_dec"/>
                                  <xs:attribute name="Q6_Colour"/>
                                  <xs:attribute name="Q10_Total" type="ex_dec"/>
                                  <xs:attribute name="Q10_Colour"/>
                                </xs:complexType>
                              </xs:element>
                              <xs:element name="Neck_Assessment">
                                <xs:complexType>
                                  <xs:sequence>
                                    <xs:element name="Tension_Upper_neck_Fz" type="Q6Q10_Value_PointsType"/>
                                  </xs:sequence>
                                  <xs:attribute name="Q6_Total" type="ex_dec"/>
                                  <xs:attribute name="Q6_Colour"/>
                                  <xs:attribute name="Q10_Total" type="ex_dec"/>
                                  <xs:attribute name="Q10_Colour"/>
                                </xs:complexType>
                              </xs:element>
                              <xs:element name="Chest_Assessment">
                                <xs:complexType>
                                  <xs:sequence>
                                    <xs:element name="Chest_Resultant_3msec" type="Q6Q10_Value_PointsType"/>
                                  </xs:sequence>
                                  <xs:attribute name="Q6_Total" type="ex_dec"/>
                                  <xs:attribute name="Q6_Colour"/>
                                  <xs:attribute name="Q10_Total" type="ex_dec"/>
                                  <xs:attribute name="Q10_Colour"/>
                                </xs:complexType>
                              </xs:element>
                            </xs:sequence>
                            <xs:attribute name="Q6_Total" type="ex_dec"/>
                            <xs:attribute name="Q10_Total" type="ex_dec"/>
                            <xs:attribute name="Total_Side" type="ex_dec"/>
                            <xs:attribute name="Rounded_Total_Side" type="ex_dec"/>
                          </xs:complexType>
                        </xs:element>
                        <xs:element name="SUMMARY">
                          <xs:complexType>
                            <xs:sequence>
                              <xs:element name="Front_Assessment">
                                <xs:complexType>
                                  <xs:attribute name="Q6TOTAL" type="ex_dec"/>
                                  <xs:attribute name="ROUNDED_Q6TOTAL" type="ex_dec"/>
                                  <xs:attribute name="Q10TOTAL" type="ex_dec"/>
                                  <xs:attribute name="ROUNDED_Q10TOTAL" type="ex_dec"/>
                                </xs:complexType>
                              </xs:element>
                              <xs:element name="Side_Assessment">
                                <xs:complexType>
                                  <xs:attribute name="Q6TOTAL" type="ex_dec"/>
                                  <xs:attribute name="ROUNDED_Q6TOTAL" type="ex_dec"/>
                                  <xs:attribute name="Q10TOTAL" type="ex_dec"/>
                                  <xs:attribute name="ROUNDED_Q10TOTAL" type="ex_dec"/>
                                </xs:complexType>
                              </xs:element>
                            </xs:sequence>
                            <xs:attribute name="Q6TOTAL" type="ex_dec"/>
                            <xs:attribute name="ROUNDED_Q6TOTAL" type="ex_dec"/>
                            <xs:attribute name="Q10TOTAL" type="ex_dec"/>
                            <xs:attribute name="ROUNDED_Q10TOTAL" type="ex_dec"/>
                          </xs:complexType>
                        </xs:element>
                        <xs:element name="DUMMY_MEASUREMENTS" minOccurs="0">
                          <xs:complexType>
                            <xs:sequence>
                              <xs:element name="Head">
                                <xs:complexType>
                                  <xs:sequence>
                                    <xs:element name="Ax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  <xs:element name="Ay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  <xs:element name="Az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Neck">
                                <xs:complexType>
                                  <xs:sequence>
                                    <xs:element name="Fx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  <xs:element name="Fy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  <xs:element name="Fz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  <xs:element name="Mx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  <xs:element name="My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  <xs:element name="Mz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Shoulder">
                                <xs:complexType>
                                  <xs:sequence>
                                    <xs:element name="Fx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  <xs:element name="Fy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  <xs:element name="Fz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T1">
                                <xs:complexType>
                                  <xs:sequence>
                                    <xs:element name="Ay">
                                      <xs:complexType>
                                        <xs:sequence>
                                          <xs:element name="Max" type="Q6Q10Max_Min_Type"/>
                                        </xs:sequence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Chest">
                                <xs:complexType>
                                  <xs:sequence>
                                    <xs:element name="Ax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  <xs:element name="Ay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  <xs:element name="Az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  <xs:element name="Dchest">
                                      <xs:complexType>
                                        <xs:sequence>
                                          <xs:element name="Dchest">
                                            <xs:complexType>
                                              <xs:sequence>
                                                <xs:element name="Max" type="Q6Q10Max_Min_Type"/>
                                                <xs:element name="Min" type="Q6Q10Max_Min_Type"/>
                                              </xs:sequence>
                                            </xs:complexType>
                                          </xs:element>
                                          <xs:element name="LO">
                                            <xs:complexType>
                                              <xs:sequence>
                                                <xs:element name="Max" type="Q6Q10Max_Min_Type"/>
                                                <xs:element name="Min" type="Q6Q10Max_Min_Type"/>
                                              </xs:sequence>
                                            </xs:complexType>
                                          </xs:element>
                                          <xs:element name="UP">
                                            <xs:complexType>
                                              <xs:sequence>
                                                <xs:element name="Max" type="Q6Q10Max_Min_Type"/>
                                                <xs:element name="Min" type="Q6Q10Max_Min_Type"/>
                                              </xs:sequence>
                                            </xs:complexType>
                                          </xs:element>
                                        </xs:sequence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Lumbar_Spine">
                                <xs:complexType>
                                  <xs:sequence>
                                    <xs:element name="Fx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  <xs:element name="Fy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  <xs:element name="Fz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  <xs:element name="Mx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  <xs:element name="My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  <xs:element name="Mz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Pelvis_Sacrum">
                                <xs:complexType>
                                  <xs:sequence>
                                    <xs:element name="Ax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  <xs:element name="Ay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  <xs:element name="Az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Pelvis_Pubis">
                                <xs:complexType>
                                  <xs:sequence>
                                    <xs:element name="Fy">
                                      <xs:complexType>
                                        <xs:sequence>
                                          <xs:element name="Max" type="Q6Q10Max_Min_Type"/>
                                          <xs:element name="Min" type="Q6Q10Max_Min_Type"/>
                                        </xs:sequence>
                                      </xs:complexType>
                                    </xs:element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</xs:sequence>
                      <xs:attribute name="TOTAL_DYNAMIC_ASSESSMENT" type="ex_dec"/>
                      <xs:attribute name="ROUNDED_TOTAL" type="ex_dec"/>
                      <xs:attribute name="MAX_POINTS" type="xs:integer"/>
                      <xs:attribute name="Capping" type="xs:string"/>
                    </xs:complexType>
                  </xs:element>
                  <xs:element name="COPVehicleBased">
                    <xs:complexType>
                      <xs:sequence>
                        <xs:element name="Eligibility" minOccurs="0">
                          <xs:complexType>
                            <xs:sequence>
                              <xs:element name="Provision_of_three_point_belts" type="Child_Rows123"/>
                              <xs:element name="Inflatable_Rear_Airbag" type="Child_Rows123"/>
                              <xs:element name="OEM_Website_Data_provided" type="xs:string"/>
                              <xs:element name="Handbook_R16_Compliant" type="xs:string"/>
                            </xs:sequence>
                            <xs:attribute name="Pass_or_Fail" type="xs:string"/>
                          </xs:complexType>
                        </xs:element>
                        <xs:element name="Gabarit_Installation" minOccurs="0">
                          <xs:complexType>
                            <xs:sequence>
                              <xs:element name="Gabarit_Installation" type="Child_Rows123"/>
                            </xs:sequence>
                            <xs:attribute name="Score" type="ex_dec"/>
                          </xs:complexType>
                        </xs:element>
                        <xs:element name="iSize_and_Top_Tether_Marking" minOccurs="0">
                          <xs:complexType>
                            <xs:sequence>
                              <xs:element name="iSize_Marking" type="Child_Rows123"/>
                              <xs:element name="iSize_Availability" type="Child_Rows123"/>
                              <xs:element name="i-Size_Availability_Score" type="xs:decimal"/>
                              <xs:element name="Install_ISOR3" type="Child_Rows123"/>
                              <xs:element name="Three_or_more_iSize" type="xs:decimal"/>
                            </xs:sequence>
                            <xs:attribute name="Score" type="ex_dec"/>
                          </xs:complexType>
                        </xs:element>
                        <xs:element name="Passenger_Airbag_Disabling" minOccurs="0">
                          <xs:complexType>
                            <xs:sequence>
                              <xs:element name="Manual_airbag_disabling_switch" type="Child_Rows123"/>
                              <xs:element name="Automatic_airbag_disabling_switch" type="Child_Rows123"/>
                            </xs:sequence>
                            <xs:attribute name="Score" type="ex_dec"/>
                          </xs:complexType>
                        </xs:element>
                        <xs:element name="Website_Table" minOccurs="0">
                          <xs:complexType>
                            <xs:sequence>
                              <xs:element name="ISOFIX" type="Website_Table_Type"/>
                              <xs:element name="iSize" type="Website_Table_Type"/>
                              <xs:element name="Top_Tether" type="Website_Table_Type"/>
                              <xs:element name="CPD" type="Website_Table_Type"/>
                              <xs:element name="Integrated_CRS" type="Website_Table_Type"/>
                            </xs:sequence>
                          </xs:complexType>
                        </xs:element>
                        <xs:element name="Child_Presence_Detection">
                          <xs:complexType>
                            <xs:sequence>
                              <xs:element name="Sensing_Type" type="xs:string"/>
                              <xs:element name="Alert_Warning_Intervene" type="xs:string"/>
                              <xs:element name="Coverage" type="xs:string"/>
                              <xs:element name="Scenarios_Covered" type="xs:string"/>
                              <xs:element name="Occ_Space_Coverage" type="xs:string"/>
                              <xs:element name="System_Functionality" type="xs:string"/>
                              <xs:element name="Warning_Intervention_Check" type="xs:string"/>
                            </xs:sequence>
                            <xs:attribute name="Score" type="xs:decimal"/>
                          </xs:complexType>
                        </xs:element>
                      </xs:sequence>
                      <xs:attribute name="Total" type="ex_dec"/>
                      <xs:attribute name="ROUNDED_TOTAL"/>
                      <xs:attribute name="MAX_POINTS" type="xs:integer"/>
                    </xs:complexType>
                  </xs:element>
                  <xs:element name="COPCRSInstallation">
                    <xs:complexType>
                      <xs:sequence minOccurs="0">
                        <xs:element name="Vehicle_Provisions">
                          <xs:complexType>
                            <xs:attribute name="Row1_L" type="xs:string"/>
                            <xs:attribute name="Row1_C" type="xs:string"/>
                            <xs:attribute name="Row1_R" type="xs:string"/>
                            <xs:attribute name="Row2_L" type="xs:string"/>
                            <xs:attribute name="Row2_C" type="xs:string"/>
                            <xs:attribute name="Row2_R" type="xs:string"/>
                            <xs:attribute name="Row3_L" type="xs:string"/>
                            <xs:attribute name="Row3_C" type="xs:string"/>
                            <xs:attribute name="Row3_R" type="xs:string"/>
                          </xs:complexType>
                        </xs:element>
                        <xs:element name="CRS_1">
                          <xs:complexType>
                            <xs:attribute name="Stature" type="xs:string"/>
                            <xs:attribute name="Name" type="xs:string"/>
                            <xs:attribute name="Type_Code" type="xs:string"/>
                            <xs:attribute name="Size" type="xs:string"/>
                            <xs:attribute name="Row1_L" type="xs:string"/>
                            <xs:attribute name="Row1_C" type="xs:string"/>
                            <xs:attribute name="Row1_R" type="xs:string"/>
                            <xs:attribute name="Row2_L" type="xs:string"/>
                            <xs:attribute name="Row2_C" type="xs:string"/>
                            <xs:attribute name="Row2_R" type="xs:string"/>
                            <xs:attribute name="Row3_L" type="xs:string"/>
                            <xs:attribute name="Row3_C" type="xs:string"/>
                            <xs:attribute name="Row3_R" type="xs:string"/>
                            <xs:attribute name="Pass" type="xs:decimal"/>
                            <xs:attribute name="Fail" type="xs:decimal"/>
                            <xs:attribute name="Exempt" type="xs:decimal"/>
                            <xs:attribute name="Score" type="xs:decimal"/>
                            <xs:attribute name="Facing" type="xs:string"/>
                            <xs:attribute name="Description" type="xs:string"/>
                          </xs:complexType>
                        </xs:element>
                        <xs:element name="CRS_2">
                          <xs:complexType>
                            <xs:attribute name="Stature" type="xs:string"/>
                            <xs:attribute name="Name" type="xs:string"/>
                            <xs:attribute name="Type_Code" type="xs:string"/>
                            <xs:attribute name="Size" type="xs:string"/>
                            <xs:attribute name="Row1_L" type="xs:string"/>
                            <xs:attribute name="Row1_C" type="xs:string"/>
                            <xs:attribute name="Row1_R" type="xs:string"/>
                            <xs:attribute name="Row2_L" type="xs:string"/>
                            <xs:attribute name="Row2_C" type="xs:string"/>
                            <xs:attribute name="Row2_R" type="xs:string"/>
                            <xs:attribute name="Row3_L" type="xs:string"/>
                            <xs:attribute name="Row3_C" type="xs:string"/>
                            <xs:attribute name="Row3_R" type="xs:string"/>
                            <xs:attribute name="Pass" type="xs:decimal"/>
                            <xs:attribute name="Fail" type="xs:decimal"/>
                            <xs:attribute name="Exempt" type="xs:decimal"/>
                            <xs:attribute name="Score" type="xs:decimal"/>
                            <xs:attribute name="Facing" type="xs:string"/>
                            <xs:attribute name="Description" type="xs:string"/>
                          </xs:complexType>
                        </xs:element>
                        <xs:element name="CRS_3">
                          <xs:complexType>
                            <xs:attribute name="Stature" type="xs:string"/>
                            <xs:attribute name="Name" type="xs:string"/>
                            <xs:attribute name="Type_Code" type="xs:string"/>
                            <xs:attribute name="Size" type="xs:string"/>
                            <xs:attribute name="Row1_L" type="xs:string"/>
                            <xs:attribute name="Row1_C" type="xs:string"/>
                            <xs:attribute name="Row1_R" type="xs:string"/>
                            <xs:attribute name="Row2_L" type="xs:string"/>
                            <xs:attribute name="Row2_C" type="xs:string"/>
                            <xs:attribute name="Row2_R" type="xs:string"/>
                            <xs:attribute name="Row3_L" type="xs:string"/>
                            <xs:attribute name="Row3_C" type="xs:string"/>
                            <xs:attribute name="Row3_R" type="xs:string"/>
                            <xs:attribute name="Pass" type="xs:decimal"/>
                            <xs:attribute name="Fail" type="xs:decimal"/>
                            <xs:attribute name="Exempt" type="xs:decimal"/>
                            <xs:attribute name="Score" type="xs:decimal"/>
                            <xs:attribute name="Facing" type="xs:string"/>
                            <xs:attribute name="Description" type="xs:string"/>
                          </xs:complexType>
                        </xs:element>
                        <xs:element name="CRS_4">
                          <xs:complexType>
                            <xs:attribute name="Stature" type="xs:string"/>
                            <xs:attribute name="Name" type="xs:string"/>
                            <xs:attribute name="Type_Code" type="xs:string"/>
                            <xs:attribute name="Size" type="xs:string"/>
                            <xs:attribute name="Row1_L" type="xs:string"/>
                            <xs:attribute name="Row1_C" type="xs:string"/>
                            <xs:attribute name="Row1_R" type="xs:string"/>
                            <xs:attribute name="Row2_L" type="xs:string"/>
                            <xs:attribute name="Row2_C" type="xs:string"/>
                            <xs:attribute name="Row2_R" type="xs:string"/>
                            <xs:attribute name="Row3_L" type="xs:string"/>
                            <xs:attribute name="Row3_C" type="xs:string"/>
                            <xs:attribute name="Row3_R" type="xs:string"/>
                            <xs:attribute name="Pass" type="xs:decimal"/>
                            <xs:attribute name="Fail" type="xs:decimal"/>
                            <xs:attribute name="Exempt" type="xs:decimal"/>
                            <xs:attribute name="Score" type="xs:decimal"/>
                            <xs:attribute name="Facing" type="xs:string"/>
                            <xs:attribute name="Description" type="xs:string"/>
                          </xs:complexType>
                        </xs:element>
                        <xs:element name="CRS_5">
                          <xs:complexType>
                            <xs:attribute name="Stature" type="xs:string"/>
                            <xs:attribute name="Name" type="xs:string"/>
                            <xs:attribute name="Type_Code" type="xs:string"/>
                            <xs:attribute name="Size" type="xs:string"/>
                            <xs:attribute name="Row1_L" type="xs:string"/>
                            <xs:attribute name="Row1_C" type="xs:string"/>
                            <xs:attribute name="Row1_R" type="xs:string"/>
                            <xs:attribute name="Row2_L" type="xs:string"/>
                            <xs:attribute name="Row2_C" type="xs:string"/>
                            <xs:attribute name="Row2_R" type="xs:string"/>
                            <xs:attribute name="Row3_L" type="xs:string"/>
                            <xs:attribute name="Row3_C" type="xs:string"/>
                            <xs:attribute name="Row3_R" type="xs:string"/>
                            <xs:attribute name="Pass" type="xs:decimal"/>
                            <xs:attribute name="Fail" type="xs:decimal"/>
                            <xs:attribute name="Exempt" type="xs:decimal"/>
                            <xs:attribute name="Score" type="xs:decimal"/>
                            <xs:attribute name="Facing" type="xs:string"/>
                            <xs:attribute name="Description" type="xs:string"/>
                          </xs:complexType>
                        </xs:element>
                        <xs:element name="CRS_6">
                          <xs:complexType>
                            <xs:attribute name="Stature" type="xs:string"/>
                            <xs:attribute name="Name" type="xs:string"/>
                            <xs:attribute name="Type_Code" type="xs:string"/>
                            <xs:attribute name="Size" type="xs:string"/>
                            <xs:attribute name="Row1_L" type="xs:string"/>
                            <xs:attribute name="Row1_C" type="xs:string"/>
                            <xs:attribute name="Row1_R" type="xs:string"/>
                            <xs:attribute name="Row2_L" type="xs:string"/>
                            <xs:attribute name="Row2_C" type="xs:string"/>
                            <xs:attribute name="Row2_R" type="xs:string"/>
                            <xs:attribute name="Row3_L" type="xs:string"/>
                            <xs:attribute name="Row3_C" type="xs:string"/>
                            <xs:attribute name="Row3_R" type="xs:string"/>
                            <xs:attribute name="Pass" type="xs:decimal"/>
                            <xs:attribute name="Fail" type="xs:decimal"/>
                            <xs:attribute name="Exempt" type="xs:decimal"/>
                            <xs:attribute name="Score" type="xs:decimal"/>
                            <xs:attribute name="Facing" type="xs:string"/>
                            <xs:attribute name="Description" type="xs:string"/>
                          </xs:complexType>
                        </xs:element>
                        <xs:element name="CRS_7">
                          <xs:complexType>
                            <xs:attribute name="Stature" type="xs:string"/>
                            <xs:attribute name="Name" type="xs:string"/>
                            <xs:attribute name="Type_Code" type="xs:string"/>
                            <xs:attribute name="Size" type="xs:string"/>
                            <xs:attribute name="Row1_L" type="xs:string"/>
                            <xs:attribute name="Row1_C" type="xs:string"/>
                            <xs:attribute name="Row1_R" type="xs:string"/>
                            <xs:attribute name="Row2_L" type="xs:string"/>
                            <xs:attribute name="Row2_C" type="xs:string"/>
                            <xs:attribute name="Row2_R" type="xs:string"/>
                            <xs:attribute name="Row3_L" type="xs:string"/>
                            <xs:attribute name="Row3_C" type="xs:string"/>
                            <xs:attribute name="Row3_R" type="xs:string"/>
                            <xs:attribute name="Pass" type="xs:decimal"/>
                            <xs:attribute name="Fail" type="xs:decimal"/>
                            <xs:attribute name="Exempt" type="xs:decimal"/>
                            <xs:attribute name="Score" type="xs:decimal"/>
                            <xs:attribute name="Facing" type="xs:string"/>
                            <xs:attribute name="Description" type="xs:string"/>
                          </xs:complexType>
                        </xs:element>
                        <xs:element name="CRS_8">
                          <xs:complexType>
                            <xs:attribute name="Stature" type="xs:string"/>
                            <xs:attribute name="Name" type="xs:string"/>
                            <xs:attribute name="Type_Code" type="xs:string"/>
                            <xs:attribute name="Size" type="xs:string"/>
                            <xs:attribute name="Row1_L" type="xs:string"/>
                            <xs:attribute name="Row1_C" type="xs:string"/>
                            <xs:attribute name="Row1_R" type="xs:string"/>
                            <xs:attribute name="Row2_L" type="xs:string"/>
                            <xs:attribute name="Row2_C" type="xs:string"/>
                            <xs:attribute name="Row2_R" type="xs:string"/>
                            <xs:attribute name="Row3_L" type="xs:string"/>
                            <xs:attribute name="Row3_C" type="xs:string"/>
                            <xs:attribute name="Row3_R" type="xs:string"/>
                            <xs:attribute name="Pass" type="xs:decimal"/>
                            <xs:attribute name="Fail" type="xs:decimal"/>
                            <xs:attribute name="Exempt" type="xs:decimal"/>
                            <xs:attribute name="Score" type="xs:decimal"/>
                            <xs:attribute name="Facing" type="xs:string"/>
                            <xs:attribute name="Description" type="xs:string"/>
                          </xs:complexType>
                        </xs:element>
                        <xs:element name="CRS_9">
                          <xs:complexType>
                            <xs:attribute name="Stature" type="xs:string"/>
                            <xs:attribute name="Name" type="xs:string"/>
                            <xs:attribute name="Type_Code" type="xs:string"/>
                            <xs:attribute name="Size" type="xs:string"/>
                            <xs:attribute name="Row1_L" type="xs:string"/>
                            <xs:attribute name="Row1_C" type="xs:string"/>
                            <xs:attribute name="Row1_R" type="xs:string"/>
                            <xs:attribute name="Row2_L" type="xs:string"/>
                            <xs:attribute name="Row2_C" type="xs:string"/>
                            <xs:attribute name="Row2_R" type="xs:string"/>
                            <xs:attribute name="Row3_L" type="xs:string"/>
                            <xs:attribute name="Row3_C" type="xs:string"/>
                            <xs:attribute name="Row3_R" type="xs:string"/>
                            <xs:attribute name="Pass" type="xs:decimal"/>
                            <xs:attribute name="Fail" type="xs:decimal"/>
                            <xs:attribute name="Exempt" type="xs:decimal"/>
                            <xs:attribute name="Score" type="xs:decimal"/>
                            <xs:attribute name="Facing" type="xs:string"/>
                            <xs:attribute name="Description" type="xs:string"/>
                          </xs:complexType>
                        </xs:element>
                        <xs:element name="CRS_10">
                          <xs:complexType>
                            <xs:attribute name="Stature" type="xs:string"/>
                            <xs:attribute name="Name" type="xs:string"/>
                            <xs:attribute name="Type_Code" type="xs:string"/>
                            <xs:attribute name="Size" type="xs:string"/>
                            <xs:attribute name="Row1_L" type="xs:string"/>
                            <xs:attribute name="Row1_C" type="xs:string"/>
                            <xs:attribute name="Row1_R" type="xs:string"/>
                            <xs:attribute name="Row2_L" type="xs:string"/>
                            <xs:attribute name="Row2_C" type="xs:string"/>
                            <xs:attribute name="Row2_R" type="xs:string"/>
                            <xs:attribute name="Row3_L" type="xs:string"/>
                            <xs:attribute name="Row3_C" type="xs:string"/>
                            <xs:attribute name="Row3_R" type="xs:string"/>
                            <xs:attribute name="Pass" type="xs:decimal"/>
                            <xs:attribute name="Fail" type="xs:decimal"/>
                            <xs:attribute name="Exempt" type="xs:decimal"/>
                            <xs:attribute name="Score" type="xs:decimal"/>
                            <xs:attribute name="Facing" type="xs:string"/>
                            <xs:attribute name="Description" type="xs:string"/>
                          </xs:complexType>
                        </xs:element>
                        <xs:element name="Rec_1">
                          <xs:complexType>
                            <xs:attribute name="Stature" type="xs:string"/>
                            <xs:attribute name="Name" type="xs:string"/>
                            <xs:attribute name="Type_Code" type="xs:string"/>
                            <xs:attribute name="Size" type="xs:string"/>
                            <xs:attribute name="Row1_L" type="xs:string"/>
                            <xs:attribute name="Row1_C" type="xs:string"/>
                            <xs:attribute name="Row1_R" type="xs:string"/>
                            <xs:attribute name="Row2_L" type="xs:string"/>
                            <xs:attribute name="Row2_C" type="xs:string"/>
                            <xs:attribute name="Row2_R" type="xs:string"/>
                            <xs:attribute name="Row3_L" type="xs:string"/>
                            <xs:attribute name="Row3_C" type="xs:string"/>
                            <xs:attribute name="Row3_R" type="xs:string"/>
                            <xs:attribute name="Pass" type="xs:decimal"/>
                            <xs:attribute name="Fail" type="xs:decimal"/>
                            <xs:attribute name="Exempt" type="xs:decimal"/>
                            <xs:attribute name="Score" type="xs:decimal"/>
                            <xs:attribute name="Facing" type="xs:string"/>
                            <xs:attribute name="Description" type="xs:string"/>
                          </xs:complexType>
                        </xs:element>
                        <xs:element name="Rec_2">
                          <xs:complexType>
                            <xs:attribute name="Stature" type="xs:string"/>
                            <xs:attribute name="Name" type="xs:string"/>
                            <xs:attribute name="Type_Code" type="xs:string"/>
                            <xs:attribute name="Size" type="xs:string"/>
                            <xs:attribute name="Row1_L" type="xs:string"/>
                            <xs:attribute name="Row1_C" type="xs:string"/>
                            <xs:attribute name="Row1_R" type="xs:string"/>
                            <xs:attribute name="Row2_L" type="xs:string"/>
                            <xs:attribute name="Row2_C" type="xs:string"/>
                            <xs:attribute name="Row2_R" type="xs:string"/>
                            <xs:attribute name="Row3_L" type="xs:string"/>
                            <xs:attribute name="Row3_C" type="xs:string"/>
                            <xs:attribute name="Row3_R" type="xs:string"/>
                            <xs:attribute name="Pass" type="xs:decimal"/>
                            <xs:attribute name="Fail" type="xs:decimal"/>
                            <xs:attribute name="Exempt" type="xs:decimal"/>
                            <xs:attribute name="Score" type="xs:decimal"/>
                            <xs:attribute name="Facing" type="xs:string"/>
                            <xs:attribute name="Description" type="xs:string"/>
                          </xs:complexType>
                        </xs:element>
                        <xs:element name="Rec_3">
                          <xs:complexType>
                            <xs:attribute name="Stature" type="xs:string"/>
                            <xs:attribute name="Name" type="xs:string"/>
                            <xs:attribute name="Type_Code" type="xs:string"/>
                            <xs:attribute name="Size" type="xs:string"/>
                            <xs:attribute name="Row1_L" type="xs:string"/>
                            <xs:attribute name="Row1_C" type="xs:string"/>
                            <xs:attribute name="Row1_R" type="xs:string"/>
                            <xs:attribute name="Row2_L" type="xs:string"/>
                            <xs:attribute name="Row2_C" type="xs:string"/>
                            <xs:attribute name="Row2_R" type="xs:string"/>
                            <xs:attribute name="Row3_L" type="xs:string"/>
                            <xs:attribute name="Row3_C" type="xs:string"/>
                            <xs:attribute name="Row3_R" type="xs:string"/>
                            <xs:attribute name="Pass" type="xs:decimal"/>
                            <xs:attribute name="Fail" type="xs:decimal"/>
                            <xs:attribute name="Exempt" type="xs:decimal"/>
                            <xs:attribute name="Score" type="xs:decimal"/>
                            <xs:attribute name="Facing" type="xs:string"/>
                            <xs:attribute name="Description" type="xs:string"/>
                          </xs:complexType>
                        </xs:element>
                        <xs:element name="Rec_4">
                          <xs:complexType>
                            <xs:attribute name="Stature" type="xs:string"/>
                            <xs:attribute name="Name" type="xs:string"/>
                            <xs:attribute name="Type_Code" type="xs:string"/>
                            <xs:attribute name="Size" type="xs:string"/>
                            <xs:attribute name="Row1_L" type="xs:string"/>
                            <xs:attribute name="Row1_C" type="xs:string"/>
                            <xs:attribute name="Row1_R" type="xs:string"/>
                            <xs:attribute name="Row2_L" type="xs:string"/>
                            <xs:attribute name="Row2_C" type="xs:string"/>
                            <xs:attribute name="Row2_R" type="xs:string"/>
                            <xs:attribute name="Row3_L" type="xs:string"/>
                            <xs:attribute name="Row3_C" type="xs:string"/>
                            <xs:attribute name="Row3_R" type="xs:string"/>
                            <xs:attribute name="Pass" type="xs:decimal"/>
                            <xs:attribute name="Fail" type="xs:decimal"/>
                            <xs:attribute name="Exempt" type="xs:decimal"/>
                            <xs:attribute name="Score" type="xs:decimal"/>
                            <xs:attribute name="Facing" type="xs:string"/>
                            <xs:attribute name="Description" type="xs:string"/>
                          </xs:complexType>
                        </xs:element>
                        <xs:element name="Installation_Score" type="xs:decimal"/>
                        <xs:element name="OEM_Assessment" type="xs:decimal"/>
                        <xs:element name="Seat_Arrangement" type="ex_int" minOccurs="0"/>
                        <xs:element name="Website_Illustrations">
                          <xs:complexType>
                            <xs:sequence>
                              <xs:element name="iSize">
                                <xs:complexType>
                                  <xs:attribute name="Row1_L" type="xs:string"/>
                                  <xs:attribute name="Row1_C" type="xs:string"/>
                                  <xs:attribute name="Row1_R" type="xs:string"/>
                                  <xs:attribute name="Row2_L" type="xs:string"/>
                                  <xs:attribute name="Row2_C" type="xs:string"/>
                                  <xs:attribute name="Row2_R" type="xs:string"/>
                                  <xs:attribute name="Row3_L" type="xs:string"/>
                                  <xs:attribute name="Row3_C" type="xs:string"/>
                                  <xs:attribute name="Row3_R" type="xs:string"/>
                                </xs:complexType>
                              </xs:element>
                              <xs:element name="ISOFIX">
                                <xs:complexType>
                                  <xs:attribute name="Row1_L" type="xs:string"/>
                                  <xs:attribute name="Row1_C" type="xs:string"/>
                                  <xs:attribute name="Row1_R" type="xs:string"/>
                                  <xs:attribute name="Row2_L" type="xs:string"/>
                                  <xs:attribute name="Row2_C" type="xs:string"/>
                                  <xs:attribute name="Row2_R" type="xs:string"/>
                                  <xs:attribute name="Row3_L" type="xs:string"/>
                                  <xs:attribute name="Row3_C" type="xs:string"/>
                                  <xs:attribute name="Row3_R" type="xs:string"/>
                                </xs:complexType>
                              </xs:element>
                              <xs:element name="Seatbelt_Attached">
                                <xs:complexType>
                                  <xs:attribute name="Row1_L" type="xs:string"/>
                                  <xs:attribute name="Row1_C" type="xs:string"/>
                                  <xs:attribute name="Row1_R" type="xs:string"/>
                                  <xs:attribute name="Row2_L" type="xs:string"/>
                                  <xs:attribute name="Row2_C" type="xs:string"/>
                                  <xs:attribute name="Row2_R" type="xs:string"/>
                                  <xs:attribute name="Row3_L" type="xs:string"/>
                                  <xs:attribute name="Row3_C" type="xs:string"/>
                                  <xs:attribute name="Row3_R" type="xs:string"/>
                                </xs:complexType>
                              </xs:element>
                            </xs:sequence>
                          </xs:complexType>
                        </xs:element>
                        <xs:element name="Datasheet_Tables">
                          <xs:complexType>
                            <xs:sequence>
                              <xs:element name="iSize">
                                <xs:complexType>
                                  <xs:sequence>
                                    <xs:element name="Type_1">
                                      <xs:complexType>
                                        <xs:attribute name="Description"/>
                                        <xs:attribute name="Row1_Pass_AB_On" type="xs:string"/>
                                        <xs:attribute name="Row1_Pass_AB_Off" type="xs:string"/>
                                        <xs:attribute name="Row2_L" type="xs:string"/>
                                        <xs:attribute name="Row2_C" type="xs:string"/>
                                        <xs:attribute name="Row2_R" type="xs:string"/>
                                        <xs:attribute name="Row3_L" type="xs:string"/>
                                        <xs:attribute name="Row3_C" type="xs:string"/>
                                        <xs:attribute name="Row3_R" type="xs:string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ISOFIX">
                                <xs:complexType>
                                  <xs:sequence>
                                    <xs:element name="Type_1">
                                      <xs:complexType>
                                        <xs:attribute name="Description"/>
                                        <xs:attribute name="Row1_Pass_AB_On" type="xs:string"/>
                                        <xs:attribute name="Row1_Pass_AB_Off" type="xs:string"/>
                                        <xs:attribute name="Row2_L" type="xs:string"/>
                                        <xs:attribute name="Row2_C" type="xs:string"/>
                                        <xs:attribute name="Row2_R" type="xs:string"/>
                                        <xs:attribute name="Row3_L" type="xs:string"/>
                                        <xs:attribute name="Row3_C" type="xs:string"/>
                                        <xs:attribute name="Row3_R" type="xs:string"/>
                                      </xs:complexType>
                                    </xs:element>
                                    <xs:element name="Type_2">
                                      <xs:complexType>
                                        <xs:attribute name="Description"/>
                                        <xs:attribute name="Row1_Pass_AB_On" type="xs:string"/>
                                        <xs:attribute name="Row1_Pass_AB_Off" type="xs:string"/>
                                        <xs:attribute name="Row2_L" type="xs:string"/>
                                        <xs:attribute name="Row2_C" type="xs:string"/>
                                        <xs:attribute name="Row2_R" type="xs:string"/>
                                        <xs:attribute name="Row3_L" type="xs:string"/>
                                        <xs:attribute name="Row3_C" type="xs:string"/>
                                        <xs:attribute name="Row3_R" type="xs:string"/>
                                      </xs:complexType>
                                    </xs:element>
                                    <xs:element name="Type_3">
                                      <xs:complexType>
                                        <xs:attribute name="Description"/>
                                        <xs:attribute name="Row1_Pass_AB_On" type="xs:string"/>
                                        <xs:attribute name="Row1_Pass_AB_Off" type="xs:string"/>
                                        <xs:attribute name="Row2_L" type="xs:string"/>
                                        <xs:attribute name="Row2_C" type="xs:string"/>
                                        <xs:attribute name="Row2_R" type="xs:string"/>
                                        <xs:attribute name="Row3_L" type="xs:string"/>
                                        <xs:attribute name="Row3_C" type="xs:string"/>
                                        <xs:attribute name="Row3_R" type="xs:string"/>
                                      </xs:complexType>
                                    </xs:element>
                                    <xs:element name="Type_4">
                                      <xs:complexType>
                                        <xs:attribute name="Description"/>
                                        <xs:attribute name="Row1_Pass_AB_On" type="xs:string"/>
                                        <xs:attribute name="Row1_Pass_AB_Off" type="xs:string"/>
                                        <xs:attribute name="Row2_L" type="xs:string"/>
                                        <xs:attribute name="Row2_C" type="xs:string"/>
                                        <xs:attribute name="Row2_R" type="xs:string"/>
                                        <xs:attribute name="Row3_L" type="xs:string"/>
                                        <xs:attribute name="Row3_C" type="xs:string"/>
                                        <xs:attribute name="Row3_R" type="xs:string"/>
                                      </xs:complexType>
                                    </xs:element>
                                    <xs:element name="Type_5">
                                      <xs:complexType>
                                        <xs:attribute name="Description"/>
                                        <xs:attribute name="Row1_Pass_AB_On" type="xs:string"/>
                                        <xs:attribute name="Row1_Pass_AB_Off" type="xs:string"/>
                                        <xs:attribute name="Row2_L" type="xs:string"/>
                                        <xs:attribute name="Row2_C" type="xs:string"/>
                                        <xs:attribute name="Row2_R" type="xs:string"/>
                                        <xs:attribute name="Row3_L" type="xs:string"/>
                                        <xs:attribute name="Row3_C" type="xs:string"/>
                                        <xs:attribute name="Row3_R" type="xs:string"/>
                                      </xs:complexType>
                                    </xs:element>
                                    <xs:element name="Type_6">
                                      <xs:complexType>
                                        <xs:attribute name="Description"/>
                                        <xs:attribute name="Row1_Pass_AB_On" type="xs:string"/>
                                        <xs:attribute name="Row1_Pass_AB_Off" type="xs:string"/>
                                        <xs:attribute name="Row2_L" type="xs:string"/>
                                        <xs:attribute name="Row2_C" type="xs:string"/>
                                        <xs:attribute name="Row2_R" type="xs:string"/>
                                        <xs:attribute name="Row3_L" type="xs:string"/>
                                        <xs:attribute name="Row3_C" type="xs:string"/>
                                        <xs:attribute name="Row3_R" type="xs:string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Belt_Attached">
                                <xs:complexType>
                                  <xs:sequence>
                                    <xs:element name="Type_1">
                                      <xs:complexType>
                                        <xs:attribute name="Description"/>
                                        <xs:attribute name="Row1_Pass_AB_On" type="xs:string"/>
                                        <xs:attribute name="Row1_Pass_AB_Off" type="xs:string"/>
                                        <xs:attribute name="Row2_L" type="xs:string"/>
                                        <xs:attribute name="Row2_C" type="xs:string"/>
                                        <xs:attribute name="Row2_R" type="xs:string"/>
                                        <xs:attribute name="Row3_L" type="xs:string"/>
                                        <xs:attribute name="Row3_C" type="xs:string"/>
                                        <xs:attribute name="Row3_R" type="xs:string"/>
                                      </xs:complexType>
                                    </xs:element>
                                    <xs:element name="Type_2">
                                      <xs:complexType>
                                        <xs:attribute name="Description"/>
                                        <xs:attribute name="Row1_Pass_AB_On" type="xs:string"/>
                                        <xs:attribute name="Row1_Pass_AB_Off" type="xs:string"/>
                                        <xs:attribute name="Row2_L" type="xs:string"/>
                                        <xs:attribute name="Row2_C" type="xs:string"/>
                                        <xs:attribute name="Row2_R" type="xs:string"/>
                                        <xs:attribute name="Row3_L" type="xs:string"/>
                                        <xs:attribute name="Row3_C" type="xs:string"/>
                                        <xs:attribute name="Row3_R" type="xs:string"/>
                                      </xs:complexType>
                                    </xs:element>
                                    <xs:element name="Type_3">
                                      <xs:complexType>
                                        <xs:attribute name="Description"/>
                                        <xs:attribute name="Row1_Pass_AB_On" type="xs:string"/>
                                        <xs:attribute name="Row1_Pass_AB_Off" type="xs:string"/>
                                        <xs:attribute name="Row2_L" type="xs:string"/>
                                        <xs:attribute name="Row2_C" type="xs:string"/>
                                        <xs:attribute name="Row2_R" type="xs:string"/>
                                        <xs:attribute name="Row3_L" type="xs:string"/>
                                        <xs:attribute name="Row3_C" type="xs:string"/>
                                        <xs:attribute name="Row3_R" type="xs:string"/>
                                      </xs:complexType>
                                    </xs:element>
                                    <xs:element name="Type_4">
                                      <xs:complexType>
                                        <xs:attribute name="Description"/>
                                        <xs:attribute name="Row1_Pass_AB_On" type="xs:string"/>
                                        <xs:attribute name="Row1_Pass_AB_Off" type="xs:string"/>
                                        <xs:attribute name="Row2_L" type="xs:string"/>
                                        <xs:attribute name="Row2_C" type="xs:string"/>
                                        <xs:attribute name="Row2_R" type="xs:string"/>
                                        <xs:attribute name="Row3_L" type="xs:string"/>
                                        <xs:attribute name="Row3_C" type="xs:string"/>
                                        <xs:attribute name="Row3_R" type="xs:string"/>
                                      </xs:complexType>
                                    </xs:element>
                                    <xs:element name="Type_5">
                                      <xs:complexType>
                                        <xs:attribute name="Description"/>
                                        <xs:attribute name="Row1_Pass_AB_On" type="xs:string"/>
                                        <xs:attribute name="Row1_Pass_AB_Off" type="xs:string"/>
                                        <xs:attribute name="Row2_L" type="xs:string"/>
                                        <xs:attribute name="Row2_C" type="xs:string"/>
                                        <xs:attribute name="Row2_R" type="xs:string"/>
                                        <xs:attribute name="Row3_L" type="xs:string"/>
                                        <xs:attribute name="Row3_C" type="xs:string"/>
                                        <xs:attribute name="Row3_R" type="xs:string"/>
                                      </xs:complexType>
                                    </xs:element>
                                    <xs:element name="Type_6">
                                      <xs:complexType>
                                        <xs:attribute name="Description"/>
                                        <xs:attribute name="Row1_Pass_AB_On" type="xs:string"/>
                                        <xs:attribute name="Row1_Pass_AB_Off" type="xs:string"/>
                                        <xs:attribute name="Row2_L" type="xs:string"/>
                                        <xs:attribute name="Row2_C" type="xs:string"/>
                                        <xs:attribute name="Row2_R" type="xs:string"/>
                                        <xs:attribute name="Row3_L" type="xs:string"/>
                                        <xs:attribute name="Row3_C" type="xs:string"/>
                                        <xs:attribute name="Row3_R" type="xs:string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</xs:sequence>
                      <xs:attribute name="Total" type="ex_dec"/>
                      <xs:attribute name="ROUNDED_TOTAL" type="ex_dec"/>
                      <xs:attribute name="MAX_POINTS" type="xs:integer"/>
                    </xs:complexType>
                  </xs:element>
                </xs:sequence>
              </xs:complexType>
            </xs:element>
            <xs:element name="PP">
              <xs:complexType>
                <xs:sequence>
                  <xs:element name="PPHeadform">
                    <xs:complexType>
                      <xs:sequence>
                        <xs:element name="WAD_on_Centreline">
                          <xs:complexType>
                            <xs:sequence>
                              <xs:element name="v2800_18">
                                <xs:complexType>
                                  <xs:attribute name="plus10" type="xs:string"/>
                                  <xs:attribute name="plus9" type="xs:string"/>
                                  <xs:attribute name="plus8" type="xs:string"/>
                                  <xs:attribute name="plus7" type="xs:string"/>
                                  <xs:attribute name="plus6" type="xs:string"/>
                                  <xs:attribute name="plus5" type="xs:string"/>
                                  <xs:attribute name="plus4" type="xs:string"/>
                                  <xs:attribute name="plus3" type="xs:string"/>
                                  <xs:attribute name="plus2" type="xs:string"/>
                                  <xs:attribute name="plus1" type="xs:string"/>
                                  <xs:attribute name="zero" type="xs:string"/>
                                  <xs:attribute name="minus1" type="xs:string"/>
                                  <xs:attribute name="minus2" type="xs:string"/>
                                  <xs:attribute name="minus3" type="xs:string"/>
                                  <xs:attribute name="minus4" type="xs:string"/>
                                  <xs:attribute name="minus5" type="xs:string"/>
                                  <xs:attribute name="minus6" type="xs:string"/>
                                  <xs:attribute name="minus7" type="xs:string"/>
                                  <xs:attribute name="minus8" type="xs:string"/>
                                  <xs:attribute name="minus9" type="xs:string"/>
                                  <xs:attribute name="minus10" type="xs:string"/>
                                  <xs:attribute name="WindshieldStartsHere" type="xs:string"/>
                                </xs:complexType>
                              </xs:element>
                              <xs:element name="v2700_17">
                                <xs:complexType>
                                  <xs:attribute name="plus10" type="xs:string"/>
                                  <xs:attribute name="plus9" type="xs:string"/>
                                  <xs:attribute name="plus8" type="xs:string"/>
                                  <xs:attribute name="plus7" type="xs:string"/>
                                  <xs:attribute name="plus6" type="xs:string"/>
                                  <xs:attribute name="plus5" type="xs:string"/>
                                  <xs:attribute name="plus4" type="xs:string"/>
                                  <xs:attribute name="plus3" type="xs:string"/>
                                  <xs:attribute name="plus2" type="xs:string"/>
                                  <xs:attribute name="plus1" type="xs:string"/>
                                  <xs:attribute name="zero" type="xs:string"/>
                                  <xs:attribute name="minus1" type="xs:string"/>
                                  <xs:attribute name="minus2" type="xs:string"/>
                                  <xs:attribute name="minus3" type="xs:string"/>
                                  <xs:attribute name="minus4" type="xs:string"/>
                                  <xs:attribute name="minus5" type="xs:string"/>
                                  <xs:attribute name="minus6" type="xs:string"/>
                                  <xs:attribute name="minus7" type="xs:string"/>
                                  <xs:attribute name="minus8" type="xs:string"/>
                                  <xs:attribute name="minus9" type="xs:string"/>
                                  <xs:attribute name="minus10" type="xs:string"/>
                                  <xs:attribute name="WindshieldStartsHere" type="xs:string"/>
                                </xs:complexType>
                              </xs:element>
                              <xs:element name="v2600_16">
                                <xs:complexType>
                                  <xs:attribute name="plus10" type="xs:string"/>
                                  <xs:attribute name="plus9" type="xs:string"/>
                                  <xs:attribute name="plus8" type="xs:string"/>
                                  <xs:attribute name="plus7" type="xs:string"/>
                                  <xs:attribute name="plus6" type="xs:string"/>
                                  <xs:attribute name="plus5" type="xs:string"/>
                                  <xs:attribute name="plus4" type="xs:string"/>
                                  <xs:attribute name="plus3" type="xs:string"/>
                                  <xs:attribute name="plus2" type="xs:string"/>
                                  <xs:attribute name="plus1" type="xs:string"/>
                                  <xs:attribute name="zero" type="xs:string"/>
                                  <xs:attribute name="minus1" type="xs:string"/>
                                  <xs:attribute name="minus2" type="xs:string"/>
                                  <xs:attribute name="minus3" type="xs:string"/>
                                  <xs:attribute name="minus4" type="xs:string"/>
                                  <xs:attribute name="minus5" type="xs:string"/>
                                  <xs:attribute name="minus6" type="xs:string"/>
                                  <xs:attribute name="minus7" type="xs:string"/>
                                  <xs:attribute name="minus8" type="xs:string"/>
                                  <xs:attribute name="minus9" type="xs:string"/>
                                  <xs:attribute name="minus10" type="xs:string"/>
                                  <xs:attribute name="WindshieldStartsHere" type="xs:string"/>
                                </xs:complexType>
                              </xs:element>
                              <xs:element name="v2500_15">
                                <xs:complexType>
                                  <xs:attribute name="plus10" type="xs:string"/>
                                  <xs:attribute name="plus9" type="xs:string"/>
                                  <xs:attribute name="plus8" type="xs:string"/>
                                  <xs:attribute name="plus7" type="xs:string"/>
                                  <xs:attribute name="plus6" type="xs:string"/>
                                  <xs:attribute name="plus5" type="xs:string"/>
                                  <xs:attribute name="plus4" type="xs:string"/>
                                  <xs:attribute name="plus3" type="xs:string"/>
                                  <xs:attribute name="plus2" type="xs:string"/>
                                  <xs:attribute name="plus1" type="xs:string"/>
                                  <xs:attribute name="zero" type="xs:string"/>
                                  <xs:attribute name="minus1" type="xs:string"/>
                                  <xs:attribute name="minus2" type="xs:string"/>
                                  <xs:attribute name="minus3" type="xs:string"/>
                                  <xs:attribute name="minus4" type="xs:string"/>
                                  <xs:attribute name="minus5" type="xs:string"/>
                                  <xs:attribute name="minus6" type="xs:string"/>
                                  <xs:attribute name="minus7" type="xs:string"/>
                                  <xs:attribute name="minus8" type="xs:string"/>
                                  <xs:attribute name="minus9" type="xs:string"/>
                                  <xs:attribute name="minus10" type="xs:string"/>
                                  <xs:attribute name="WindshieldStartsHere" type="xs:string"/>
                                </xs:complexType>
                              </xs:element>
                              <xs:element name="v2400_14">
                                <xs:complexType>
                                  <xs:attribute name="plus10" type="xs:string"/>
                                  <xs:attribute name="plus9" type="xs:string"/>
                                  <xs:attribute name="plus8" type="xs:string"/>
                                  <xs:attribute name="plus7" type="xs:string"/>
                                  <xs:attribute name="plus6" type="xs:string"/>
                                  <xs:attribute name="plus5" type="xs:string"/>
                                  <xs:attribute name="plus4" type="xs:string"/>
                                  <xs:attribute name="plus3" type="xs:string"/>
                                  <xs:attribute name="plus2" type="xs:string"/>
                                  <xs:attribute name="plus1" type="xs:string"/>
                                  <xs:attribute name="zero" type="xs:string"/>
                                  <xs:attribute name="minus1" type="xs:string"/>
                                  <xs:attribute name="minus2" type="xs:string"/>
                                  <xs:attribute name="minus3" type="xs:string"/>
                                  <xs:attribute name="minus4" type="xs:string"/>
                                  <xs:attribute name="minus5" type="xs:string"/>
                                  <xs:attribute name="minus6" type="xs:string"/>
                                  <xs:attribute name="minus7" type="xs:string"/>
                                  <xs:attribute name="minus8" type="xs:string"/>
                                  <xs:attribute name="minus9" type="xs:string"/>
                                  <xs:attribute name="minus10" type="xs:string"/>
                                  <xs:attribute name="WindshieldStartsHere" type="xs:string"/>
                                </xs:complexType>
                              </xs:element>
                              <xs:element name="v2300_13">
                                <xs:complexType>
                                  <xs:attribute name="plus10" type="xs:string"/>
                                  <xs:attribute name="plus9" type="xs:string"/>
                                  <xs:attribute name="plus8" type="xs:string"/>
                                  <xs:attribute name="plus7" type="xs:string"/>
                                  <xs:attribute name="plus6" type="xs:string"/>
                                  <xs:attribute name="plus5" type="xs:string"/>
                                  <xs:attribute name="plus4" type="xs:string"/>
                                  <xs:attribute name="plus3" type="xs:string"/>
                                  <xs:attribute name="plus2" type="xs:string"/>
                                  <xs:attribute name="plus1" type="xs:string"/>
                                  <xs:attribute name="zero" type="xs:string"/>
                                  <xs:attribute name="minus1" type="xs:string"/>
                                  <xs:attribute name="minus2" type="xs:string"/>
                                  <xs:attribute name="minus3" type="xs:string"/>
                                  <xs:attribute name="minus4" type="xs:string"/>
                                  <xs:attribute name="minus5" type="xs:string"/>
                                  <xs:attribute name="minus6" type="xs:string"/>
                                  <xs:attribute name="minus7" type="xs:string"/>
                                  <xs:attribute name="minus8" type="xs:string"/>
                                  <xs:attribute name="minus9" type="xs:string"/>
                                  <xs:attribute name="minus10" type="xs:string"/>
                                  <xs:attribute name="WindshieldStartsHere" type="xs:string"/>
                                </xs:complexType>
                              </xs:element>
                              <xs:element name="v2200_12">
                                <xs:complexType>
                                  <xs:attribute name="plus10" type="xs:string"/>
                                  <xs:attribute name="plus9" type="xs:string"/>
                                  <xs:attribute name="plus8" type="xs:string"/>
                                  <xs:attribute name="plus7" type="xs:string"/>
                                  <xs:attribute name="plus6" type="xs:string"/>
                                  <xs:attribute name="plus5" type="xs:string"/>
                                  <xs:attribute name="plus4" type="xs:string"/>
                                  <xs:attribute name="plus3" type="xs:string"/>
                                  <xs:attribute name="plus2" type="xs:string"/>
                                  <xs:attribute name="plus1" type="xs:string"/>
                                  <xs:attribute name="zero" type="xs:string"/>
                                  <xs:attribute name="minus1" type="xs:string"/>
                                  <xs:attribute name="minus2" type="xs:string"/>
                                  <xs:attribute name="minus3" type="xs:string"/>
                                  <xs:attribute name="minus4" type="xs:string"/>
                                  <xs:attribute name="minus5" type="xs:string"/>
                                  <xs:attribute name="minus6" type="xs:string"/>
                                  <xs:attribute name="minus7" type="xs:string"/>
                                  <xs:attribute name="minus8" type="xs:string"/>
                                  <xs:attribute name="minus9" type="xs:string"/>
                                  <xs:attribute name="minus10" type="xs:string"/>
                                  <xs:attribute name="WindshieldStartsHere" type="xs:string"/>
                                </xs:complexType>
                              </xs:element>
                              <xs:element name="v2100_11">
                                <xs:complexType>
                                  <xs:attribute name="plus10" type="xs:string"/>
                                  <xs:attribute name="plus9" type="xs:string"/>
                                  <xs:attribute name="plus8" type="xs:string"/>
                                  <xs:attribute name="plus7" type="xs:string"/>
                                  <xs:attribute name="plus6" type="xs:string"/>
                                  <xs:attribute name="plus5" type="xs:string"/>
                                  <xs:attribute name="plus4" type="xs:string"/>
                                  <xs:attribute name="plus3" type="xs:string"/>
                                  <xs:attribute name="plus2" type="xs:string"/>
                                  <xs:attribute name="plus1" type="xs:string"/>
                                  <xs:attribute name="zero" type="xs:string"/>
                                  <xs:attribute name="minus1" type="xs:string"/>
                                  <xs:attribute name="minus2" type="xs:string"/>
                                  <xs:attribute name="minus3" type="xs:string"/>
                                  <xs:attribute name="minus4" type="xs:string"/>
                                  <xs:attribute name="minus5" type="xs:string"/>
                                  <xs:attribute name="minus6" type="xs:string"/>
                                  <xs:attribute name="minus7" type="xs:string"/>
                                  <xs:attribute name="minus8" type="xs:string"/>
                                  <xs:attribute name="minus9" type="xs:string"/>
                                  <xs:attribute name="minus10" type="xs:string"/>
                                  <xs:attribute name="WindshieldStartsHere" type="xs:string"/>
                                </xs:complexType>
                              </xs:element>
                              <xs:element name="v2000_10">
                                <xs:complexType>
                                  <xs:attribute name="plus10" type="xs:string"/>
                                  <xs:attribute name="plus9" type="xs:string"/>
                                  <xs:attribute name="plus8" type="xs:string"/>
                                  <xs:attribute name="plus7" type="xs:string"/>
                                  <xs:attribute name="plus6" type="xs:string"/>
                                  <xs:attribute name="plus5" type="xs:string"/>
                                  <xs:attribute name="plus4" type="xs:string"/>
                                  <xs:attribute name="plus3" type="xs:string"/>
                                  <xs:attribute name="plus2" type="xs:string"/>
                                  <xs:attribute name="plus1" type="xs:string"/>
                                  <xs:attribute name="zero" type="xs:string"/>
                                  <xs:attribute name="minus1" type="xs:string"/>
                                  <xs:attribute name="minus2" type="xs:string"/>
                                  <xs:attribute name="minus3" type="xs:string"/>
                                  <xs:attribute name="minus4" type="xs:string"/>
                                  <xs:attribute name="minus5" type="xs:string"/>
                                  <xs:attribute name="minus6" type="xs:string"/>
                                  <xs:attribute name="minus7" type="xs:string"/>
                                  <xs:attribute name="minus8" type="xs:string"/>
                                  <xs:attribute name="minus9" type="xs:string"/>
                                  <xs:attribute name="minus10" type="xs:string"/>
                                  <xs:attribute name="WindshieldStartsHere" type="xs:string"/>
                                </xs:complexType>
                              </xs:element>
                              <xs:element name="v1900_9">
                                <xs:complexType>
                                  <xs:attribute name="plus10" type="xs:string"/>
                                  <xs:attribute name="plus9" type="xs:string"/>
                                  <xs:attribute name="plus8" type="xs:string"/>
                                  <xs:attribute name="plus7" type="xs:string"/>
                                  <xs:attribute name="plus6" type="xs:string"/>
                                  <xs:attribute name="plus5" type="xs:string"/>
                                  <xs:attribute name="plus4" type="xs:string"/>
                                  <xs:attribute name="plus3" type="xs:string"/>
                                  <xs:attribute name="plus2" type="xs:string"/>
                                  <xs:attribute name="plus1" type="xs:string"/>
                                  <xs:attribute name="zero" type="xs:string"/>
                                  <xs:attribute name="minus1" type="xs:string"/>
                                  <xs:attribute name="minus2" type="xs:string"/>
                                  <xs:attribute name="minus3" type="xs:string"/>
                                  <xs:attribute name="minus4" type="xs:string"/>
                                  <xs:attribute name="minus5" type="xs:string"/>
                                  <xs:attribute name="minus6" type="xs:string"/>
                                  <xs:attribute name="minus7" type="xs:string"/>
                                  <xs:attribute name="minus8" type="xs:string"/>
                                  <xs:attribute name="minus9" type="xs:string"/>
                                  <xs:attribute name="minus10" type="xs:string"/>
                                  <xs:attribute name="WindshieldStartsHere" type="xs:string"/>
                                </xs:complexType>
                              </xs:element>
                              <xs:element name="v1800_8">
                                <xs:complexType>
                                  <xs:attribute name="plus10" type="xs:string"/>
                                  <xs:attribute name="plus9" type="xs:string"/>
                                  <xs:attribute name="plus8" type="xs:string"/>
                                  <xs:attribute name="plus7" type="xs:string"/>
                                  <xs:attribute name="plus6" type="xs:string"/>
                                  <xs:attribute name="plus5" type="xs:string"/>
                                  <xs:attribute name="plus4" type="xs:string"/>
                                  <xs:attribute name="plus3" type="xs:string"/>
                                  <xs:attribute name="plus2" type="xs:string"/>
                                  <xs:attribute name="plus1" type="xs:string"/>
                                  <xs:attribute name="zero" type="xs:string"/>
                                  <xs:attribute name="minus1" type="xs:string"/>
                                  <xs:attribute name="minus2" type="xs:string"/>
                                  <xs:attribute name="minus3" type="xs:string"/>
                                  <xs:attribute name="minus4" type="xs:string"/>
                                  <xs:attribute name="minus5" type="xs:string"/>
                                  <xs:attribute name="minus6" type="xs:string"/>
                                  <xs:attribute name="minus7" type="xs:string"/>
                                  <xs:attribute name="minus8" type="xs:string"/>
                                  <xs:attribute name="minus9" type="xs:string"/>
                                  <xs:attribute name="minus10" type="xs:string"/>
                                  <xs:attribute name="WindshieldStartsHere" type="xs:string"/>
                                </xs:complexType>
                              </xs:element>
                              <xs:element name="v1700_7">
                                <xs:complexType>
                                  <xs:attribute name="plus10" type="xs:string"/>
                                  <xs:attribute name="plus9" type="xs:string"/>
                                  <xs:attribute name="plus8" type="xs:string"/>
                                  <xs:attribute name="plus7" type="xs:string"/>
                                  <xs:attribute name="plus6" type="xs:string"/>
                                  <xs:attribute name="plus5" type="xs:string"/>
                                  <xs:attribute name="plus4" type="xs:string"/>
                                  <xs:attribute name="plus3" type="xs:string"/>
                                  <xs:attribute name="plus2" type="xs:string"/>
                                  <xs:attribute name="plus1" type="xs:string"/>
                                  <xs:attribute name="zero" type="xs:string"/>
                                  <xs:attribute name="minus1" type="xs:string"/>
                                  <xs:attribute name="minus2" type="xs:string"/>
                                  <xs:attribute name="minus3" type="xs:string"/>
                                  <xs:attribute name="minus4" type="xs:string"/>
                                  <xs:attribute name="minus5" type="xs:string"/>
                                  <xs:attribute name="minus6" type="xs:string"/>
                                  <xs:attribute name="minus7" type="xs:string"/>
                                  <xs:attribute name="minus8" type="xs:string"/>
                                  <xs:attribute name="minus9" type="xs:string"/>
                                  <xs:attribute name="minus10" type="xs:string"/>
                                  <xs:attribute name="WindshieldStartsHere" type="xs:string"/>
                                </xs:complexType>
                              </xs:element>
                              <xs:element name="v1600_6">
                                <xs:complexType>
                                  <xs:attribute name="plus10" type="xs:string"/>
                                  <xs:attribute name="plus9" type="xs:string"/>
                                  <xs:attribute name="plus8" type="xs:string"/>
                                  <xs:attribute name="plus7" type="xs:string"/>
                                  <xs:attribute name="plus6" type="xs:string"/>
                                  <xs:attribute name="plus5" type="xs:string"/>
                                  <xs:attribute name="plus4" type="xs:string"/>
                                  <xs:attribute name="plus3" type="xs:string"/>
                                  <xs:attribute name="plus2" type="xs:string"/>
                                  <xs:attribute name="plus1" type="xs:string"/>
                                  <xs:attribute name="zero" type="xs:string"/>
                                  <xs:attribute name="minus1" type="xs:string"/>
                                  <xs:attribute name="minus2" type="xs:string"/>
                                  <xs:attribute name="minus3" type="xs:string"/>
                                  <xs:attribute name="minus4" type="xs:string"/>
                                  <xs:attribute name="minus5" type="xs:string"/>
                                  <xs:attribute name="minus6" type="xs:string"/>
                                  <xs:attribute name="minus7" type="xs:string"/>
                                  <xs:attribute name="minus8" type="xs:string"/>
                                  <xs:attribute name="minus9" type="xs:string"/>
                                  <xs:attribute name="minus10" type="xs:string"/>
                                  <xs:attribute name="WindshieldStartsHere" type="xs:string"/>
                                </xs:complexType>
                              </xs:element>
                              <xs:element name="v1500_5">
                                <xs:complexType>
                                  <xs:attribute name="plus10" type="xs:string"/>
                                  <xs:attribute name="plus9" type="xs:string"/>
                                  <xs:attribute name="plus8" type="xs:string"/>
                                  <xs:attribute name="plus7" type="xs:string"/>
                                  <xs:attribute name="plus6" type="xs:string"/>
                                  <xs:attribute name="plus5" type="xs:string"/>
                                  <xs:attribute name="plus4" type="xs:string"/>
                                  <xs:attribute name="plus3" type="xs:string"/>
                                  <xs:attribute name="plus2" type="xs:string"/>
                                  <xs:attribute name="plus1" type="xs:string"/>
                                  <xs:attribute name="zero" type="xs:string"/>
                                  <xs:attribute name="minus1" type="xs:string"/>
                                  <xs:attribute name="minus2" type="xs:string"/>
                                  <xs:attribute name="minus3" type="xs:string"/>
                                  <xs:attribute name="minus4" type="xs:string"/>
                                  <xs:attribute name="minus5" type="xs:string"/>
                                  <xs:attribute name="minus6" type="xs:string"/>
                                  <xs:attribute name="minus7" type="xs:string"/>
                                  <xs:attribute name="minus8" type="xs:string"/>
                                  <xs:attribute name="minus9" type="xs:string"/>
                                  <xs:attribute name="minus10" type="xs:string"/>
                                  <xs:attribute name="WindshieldStartsHere" type="xs:string"/>
                                </xs:complexType>
                              </xs:element>
                              <xs:element name="v1400_4">
                                <xs:complexType>
                                  <xs:attribute name="plus10" type="xs:string"/>
                                  <xs:attribute name="plus9" type="xs:string"/>
                                  <xs:attribute name="plus8" type="xs:string"/>
                                  <xs:attribute name="plus7" type="xs:string"/>
                                  <xs:attribute name="plus6" type="xs:string"/>
                                  <xs:attribute name="plus5" type="xs:string"/>
                                  <xs:attribute name="plus4" type="xs:string"/>
                                  <xs:attribute name="plus3" type="xs:string"/>
                                  <xs:attribute name="plus2" type="xs:string"/>
                                  <xs:attribute name="plus1" type="xs:string"/>
                                  <xs:attribute name="zero" type="xs:string"/>
                                  <xs:attribute name="minus1" type="xs:string"/>
                                  <xs:attribute name="minus2" type="xs:string"/>
                                  <xs:attribute name="minus3" type="xs:string"/>
                                  <xs:attribute name="minus4" type="xs:string"/>
                                  <xs:attribute name="minus5" type="xs:string"/>
                                  <xs:attribute name="minus6" type="xs:string"/>
                                  <xs:attribute name="minus7" type="xs:string"/>
                                  <xs:attribute name="minus8" type="xs:string"/>
                                  <xs:attribute name="minus9" type="xs:string"/>
                                  <xs:attribute name="minus10" type="xs:string"/>
                                  <xs:attribute name="WindshieldStartsHere" type="xs:string"/>
                                </xs:complexType>
                              </xs:element>
                              <xs:element name="v1300_3">
                                <xs:complexType>
                                  <xs:attribute name="plus10" type="xs:string"/>
                                  <xs:attribute name="plus9" type="xs:string"/>
                                  <xs:attribute name="plus8" type="xs:string"/>
                                  <xs:attribute name="plus7" type="xs:string"/>
                                  <xs:attribute name="plus6" type="xs:string"/>
                                  <xs:attribute name="plus5" type="xs:string"/>
                                  <xs:attribute name="plus4" type="xs:string"/>
                                  <xs:attribute name="plus3" type="xs:string"/>
                                  <xs:attribute name="plus2" type="xs:string"/>
                                  <xs:attribute name="plus1" type="xs:string"/>
                                  <xs:attribute name="zero" type="xs:string"/>
                                  <xs:attribute name="minus1" type="xs:string"/>
                                  <xs:attribute name="minus2" type="xs:string"/>
                                  <xs:attribute name="minus3" type="xs:string"/>
                                  <xs:attribute name="minus4" type="xs:string"/>
                                  <xs:attribute name="minus5" type="xs:string"/>
                                  <xs:attribute name="minus6" type="xs:string"/>
                                  <xs:attribute name="minus7" type="xs:string"/>
                                  <xs:attribute name="minus8" type="xs:string"/>
                                  <xs:attribute name="minus9" type="xs:string"/>
                                  <xs:attribute name="minus10" type="xs:string"/>
                                  <xs:attribute name="WindshieldStartsHere" type="xs:string"/>
                                </xs:complexType>
                              </xs:element>
                              <xs:element name="v1200_2">
                                <xs:complexType>
                                  <xs:attribute name="plus10" type="xs:string"/>
                                  <xs:attribute name="plus9" type="xs:string"/>
                                  <xs:attribute name="plus8" type="xs:string"/>
                                  <xs:attribute name="plus7" type="xs:string"/>
                                  <xs:attribute name="plus6" type="xs:string"/>
                                  <xs:attribute name="plus5" type="xs:string"/>
                                  <xs:attribute name="plus4" type="xs:string"/>
                                  <xs:attribute name="plus3" type="xs:string"/>
                                  <xs:attribute name="plus2" type="xs:string"/>
                                  <xs:attribute name="plus1" type="xs:string"/>
                                  <xs:attribute name="zero" type="xs:string"/>
                                  <xs:attribute name="minus1" type="xs:string"/>
                                  <xs:attribute name="minus2" type="xs:string"/>
                                  <xs:attribute name="minus3" type="xs:string"/>
                                  <xs:attribute name="minus4" type="xs:string"/>
                                  <xs:attribute name="minus5" type="xs:string"/>
                                  <xs:attribute name="minus6" type="xs:string"/>
                                  <xs:attribute name="minus7" type="xs:string"/>
                                  <xs:attribute name="minus8" type="xs:string"/>
                                  <xs:attribute name="minus9" type="xs:string"/>
                                  <xs:attribute name="minus10" type="xs:string"/>
                                  <xs:attribute name="WindshieldStartsHere" type="xs:string"/>
                                </xs:complexType>
                              </xs:element>
                              <xs:element name="v1100_1">
                                <xs:complexType>
                                  <xs:attribute name="plus10" type="xs:string"/>
                                  <xs:attribute name="plus9" type="xs:string"/>
                                  <xs:attribute name="plus8" type="xs:string"/>
                                  <xs:attribute name="plus7" type="xs:string"/>
                                  <xs:attribute name="plus6" type="xs:string"/>
                                  <xs:attribute name="plus5" type="xs:string"/>
                                  <xs:attribute name="plus4" type="xs:string"/>
                                  <xs:attribute name="plus3" type="xs:string"/>
                                  <xs:attribute name="plus2" type="xs:string"/>
                                  <xs:attribute name="plus1" type="xs:string"/>
                                  <xs:attribute name="zero" type="xs:string"/>
                                  <xs:attribute name="minus1" type="xs:string"/>
                                  <xs:attribute name="minus2" type="xs:string"/>
                                  <xs:attribute name="minus3" type="xs:string"/>
                                  <xs:attribute name="minus4" type="xs:string"/>
                                  <xs:attribute name="minus5" type="xs:string"/>
                                  <xs:attribute name="minus6" type="xs:string"/>
                                  <xs:attribute name="minus7" type="xs:string"/>
                                  <xs:attribute name="minus8" type="xs:string"/>
                                  <xs:attribute name="minus9" type="xs:string"/>
                                  <xs:attribute name="minus10" type="xs:string"/>
                                  <xs:attribute name="WindshieldStartsHere" type="xs:string"/>
                                </xs:complexType>
                              </xs:element>
                              <xs:element name="v1000_0">
                                <xs:complexType>
                                  <xs:attribute name="plus10" type="xs:string"/>
                                  <xs:attribute name="plus9" type="xs:string"/>
                                  <xs:attribute name="plus8" type="xs:string"/>
                                  <xs:attribute name="plus7" type="xs:string"/>
                                  <xs:attribute name="plus6" type="xs:string"/>
                                  <xs:attribute name="plus5" type="xs:string"/>
                                  <xs:attribute name="plus4" type="xs:string"/>
                                  <xs:attribute name="plus3" type="xs:string"/>
                                  <xs:attribute name="plus2" type="xs:string"/>
                                  <xs:attribute name="plus1" type="xs:string"/>
                                  <xs:attribute name="zero" type="xs:string"/>
                                  <xs:attribute name="minus1" type="xs:string"/>
                                  <xs:attribute name="minus2" type="xs:string"/>
                                  <xs:attribute name="minus3" type="xs:string"/>
                                  <xs:attribute name="minus4" type="xs:string"/>
                                  <xs:attribute name="minus5" type="xs:string"/>
                                  <xs:attribute name="minus6" type="xs:string"/>
                                  <xs:attribute name="minus7" type="xs:string"/>
                                  <xs:attribute name="minus8" type="xs:string"/>
                                  <xs:attribute name="minus9" type="xs:string"/>
                                  <xs:attribute name="minus10" type="xs:string"/>
                                  <xs:attribute name="WindshieldStartsHere" type="xs:string"/>
                                </xs:complexType>
                              </xs:element>
                            </xs:sequence>
                          </xs:complexType>
                        </xs:element>
                        <xs:element name="PREDICTION">
                          <xs:complexType>
                            <xs:sequence>
                              <xs:element name="Default_green">
                                <xs:complexType>
                                  <xs:attribute name="Nr_of_points" type="ex_dec"/>
                                  <xs:attribute name="Points" type="ex_dec"/>
                                  <xs:attribute name="Percentage" type="ex_dec"/>
                                </xs:complexType>
                              </xs:element>
                              <xs:element name="Green">
                                <xs:complexType>
                                  <xs:attribute name="Nr_of_points" type="ex_dec"/>
                                  <xs:attribute name="Points" type="ex_dec"/>
                                  <xs:attribute name="Percentage" type="ex_dec"/>
                                </xs:complexType>
                              </xs:element>
                              <xs:element name="Yellow">
                                <xs:complexType>
                                  <xs:attribute name="Nr_of_points" type="ex_dec"/>
                                  <xs:attribute name="Points" type="ex_dec"/>
                                  <xs:attribute name="Percentage" type="ex_dec"/>
                                </xs:complexType>
                              </xs:element>
                              <xs:element name="Orange">
                                <xs:complexType>
                                  <xs:attribute name="Nr_of_points" type="ex_dec"/>
                                  <xs:attribute name="Points" type="ex_dec"/>
                                  <xs:attribute name="Percentage" type="ex_dec"/>
                                </xs:complexType>
                              </xs:element>
                              <xs:element name="Brown">
                                <xs:complexType>
                                  <xs:attribute name="Nr_of_points" type="ex_dec"/>
                                  <xs:attribute name="Points" type="ex_dec"/>
                                  <xs:attribute name="Percentage" type="ex_dec"/>
                                </xs:complexType>
                              </xs:element>
                              <xs:element name="Red">
                                <xs:complexType>
                                  <xs:attribute name="Nr_of_points" type="ex_dec"/>
                                  <xs:attribute name="Points" type="ex_dec"/>
                                  <xs:attribute name="Percentage" type="ex_dec"/>
                                </xs:complexType>
                              </xs:element>
                              <xs:element name="Default_Red">
                                <xs:complexType>
                                  <xs:attribute name="Nr_of_points" type="ex_dec"/>
                                  <xs:attribute name="Points" type="ex_dec"/>
                                  <xs:attribute name="Percentage" type="ex_dec"/>
                                </xs:complexType>
                              </xs:element>
                              <xs:element name="Blue">
                                <xs:complexType>
                                  <xs:attribute name="Nr_of_points" type="ex_dec"/>
                                  <xs:attribute name="Points" type="ex_dec"/>
                                  <xs:attribute name="Percentage" type="ex_dec"/>
                                </xs:complexType>
                              </xs:element>
                              <xs:element name="Predicted_headform_score">
                                <xs:complexType>
                                  <xs:attribute name="Nr_of_points" type="ex_dec"/>
                                  <xs:attribute name="Points" type="ex_dec"/>
                                  <xs:attribute name="Percentage" type="ex_dec"/>
                                </xs:complexType>
                              </xs:element>
                            </xs:sequence>
                          </xs:complexType>
                        </xs:element>
                        <xs:element name="VERIFICATION">
                          <xs:complexType>
                            <xs:sequence>
                              <xs:element name="TestPoint1">
                                <xs:complexType>
                                  <xs:attribute name="TestPoint" type="xs:string"/>
                                  <xs:attribute name="Prediction" type="xs:string"/>
                                  <xs:attribute name="Value" type="ex_dec"/>
                                  <xs:attribute name="Points" type="ex_dec"/>
                                </xs:complexType>
                              </xs:element>
                              <xs:element name="TestPoint2">
                                <xs:complexType>
                                  <xs:attribute name="TestPoint" type="xs:string"/>
                                  <xs:attribute name="Prediction" type="xs:string"/>
                                  <xs:attribute name="Value" type="ex_dec"/>
                                  <xs:attribute name="Points" type="ex_dec"/>
                                </xs:complexType>
                              </xs:element>
                              <xs:element name="TestPoint3">
                                <xs:complexType>
                                  <xs:attribute name="TestPoint" type="xs:string"/>
                                  <xs:attribute name="Prediction" type="xs:string"/>
                                  <xs:attribute name="Value" type="ex_dec"/>
                                  <xs:attribute name="Points" type="ex_dec"/>
                                </xs:complexType>
                              </xs:element>
                              <xs:element name="TestPoint4">
                                <xs:complexType>
                                  <xs:attribute name="TestPoint" type="xs:string"/>
                                  <xs:attribute name="Prediction" type="xs:string"/>
                                  <xs:attribute name="Value" type="ex_dec"/>
                                  <xs:attribute name="Points" type="ex_dec"/>
                                </xs:complexType>
                              </xs:element>
                              <xs:element name="TestPoint5">
                                <xs:complexType>
                                  <xs:attribute name="TestPoint" type="xs:string"/>
                                  <xs:attribute name="Prediction" type="xs:string"/>
                                  <xs:attribute name="Value" type="ex_dec"/>
                                  <xs:attribute name="Points" type="ex_dec"/>
                                </xs:complexType>
                              </xs:element>
                              <xs:element name="TestPoint6">
                                <xs:complexType>
                                  <xs:attribute name="TestPoint" type="xs:string"/>
                                  <xs:attribute name="Prediction" type="xs:string"/>
                                  <xs:attribute name="Value" type="ex_dec"/>
                                  <xs:attribute name="Points" type="ex_dec"/>
                                </xs:complexType>
                              </xs:element>
                              <xs:element name="TestPoint7">
                                <xs:complexType>
                                  <xs:attribute name="TestPoint" type="xs:string"/>
                                  <xs:attribute name="Prediction" type="xs:string"/>
                                  <xs:attribute name="Value" type="ex_dec"/>
                                  <xs:attribute name="Points" type="ex_dec"/>
                                </xs:complexType>
                              </xs:element>
                              <xs:element name="TestPoint8">
                                <xs:complexType>
                                  <xs:attribute name="TestPoint" type="xs:string"/>
                                  <xs:attribute name="Prediction" type="xs:string"/>
                                  <xs:attribute name="Value" type="ex_dec"/>
                                  <xs:attribute name="Points" type="ex_dec"/>
                                </xs:complexType>
                              </xs:element>
                              <xs:element name="TestPoint9">
                                <xs:complexType>
                                  <xs:attribute name="TestPoint" type="xs:string"/>
                                  <xs:attribute name="Prediction" type="xs:string"/>
                                  <xs:attribute name="Value" type="ex_dec"/>
                                  <xs:attribute name="Points" type="ex_dec"/>
                                </xs:complexType>
                              </xs:element>
                              <xs:element name="TestPoint10">
                                <xs:complexType>
                                  <xs:attribute name="TestPoint" type="xs:string"/>
                                  <xs:attribute name="Prediction" type="xs:string"/>
                                  <xs:attribute name="Value" type="ex_dec"/>
                                  <xs:attribute name="Points" type="ex_dec"/>
                                </xs:complexType>
                              </xs:element>
                              <xs:element name="TestPointTotal1">
                                <xs:complexType>
                                  <xs:attribute name="TestPoint" type="xs:string"/>
                                  <xs:attribute name="Prediction" type="xs:string"/>
                                  <xs:attribute name="Value" type="ex_dec"/>
                                  <xs:attribute name="Points" type="ex_dec"/>
                                </xs:complexType>
                              </xs:element>
                              <xs:element name="TestPoint11">
                                <xs:complexType>
                                  <xs:attribute name="TestPoint" type="xs:string"/>
                                  <xs:attribute name="Prediction" type="xs:string"/>
                                  <xs:attribute name="Value" type="ex_dec"/>
                                  <xs:attribute name="Points" type="ex_dec"/>
                                </xs:complexType>
                              </xs:element>
                              <xs:element name="TestPoint12">
                                <xs:complexType>
                                  <xs:attribute name="TestPoint" type="xs:string"/>
                                  <xs:attribute name="Prediction" type="xs:string"/>
                                  <xs:attribute name="Value" type="ex_dec"/>
                                  <xs:attribute name="Points" type="ex_dec"/>
                                </xs:complexType>
                              </xs:element>
                              <xs:element name="TestPoint13">
                                <xs:complexType>
                                  <xs:attribute name="TestPoint" type="xs:string"/>
                                  <xs:attribute name="Prediction" type="xs:string"/>
                                  <xs:attribute name="Value" type="ex_dec"/>
                                  <xs:attribute name="Points" type="ex_dec"/>
                                </xs:complexType>
                              </xs:element>
                              <xs:element name="TestPoint14">
                                <xs:complexType>
                                  <xs:attribute name="TestPoint" type="xs:string"/>
                                  <xs:attribute name="Prediction" type="xs:string"/>
                                  <xs:attribute name="Value" type="ex_dec"/>
                                  <xs:attribute name="Points" type="ex_dec"/>
                                </xs:complexType>
                              </xs:element>
                              <xs:element name="TestPoint15">
                                <xs:complexType>
                                  <xs:attribute name="TestPoint" type="xs:string"/>
                                  <xs:attribute name="Prediction" type="xs:string"/>
                                  <xs:attribute name="Value" type="ex_dec"/>
                                  <xs:attribute name="Points" type="ex_dec"/>
                                </xs:complexType>
                              </xs:element>
                              <xs:element name="TestPoint16">
                                <xs:complexType>
                                  <xs:attribute name="TestPoint" type="xs:string"/>
                                  <xs:attribute name="Prediction" type="xs:string"/>
                                  <xs:attribute name="Value" type="ex_dec"/>
                                  <xs:attribute name="Points" type="ex_dec"/>
                                </xs:complexType>
                              </xs:element>
                              <xs:element name="TestPoint17">
                                <xs:complexType>
                                  <xs:attribute name="TestPoint" type="xs:string"/>
                                  <xs:attribute name="Prediction" type="xs:string"/>
                                  <xs:attribute name="Value" type="ex_dec"/>
                                  <xs:attribute name="Points" type="ex_dec"/>
                                </xs:complexType>
                              </xs:element>
                              <xs:element name="TestPoint18">
                                <xs:complexType>
                                  <xs:attribute name="TestPoint" type="xs:string"/>
                                  <xs:attribute name="Prediction" type="xs:string"/>
                                  <xs:attribute name="Value" type="ex_dec"/>
                                  <xs:attribute name="Points" type="ex_dec"/>
                                </xs:complexType>
                              </xs:element>
                              <xs:element name="TestPoint19">
                                <xs:complexType>
                                  <xs:attribute name="TestPoint" type="xs:string"/>
                                  <xs:attribute name="Prediction" type="xs:string"/>
                                  <xs:attribute name="Value" type="ex_dec"/>
                                  <xs:attribute name="Points" type="ex_dec"/>
                                </xs:complexType>
                              </xs:element>
                              <xs:element name="TestPoint20">
                                <xs:complexType>
                                  <xs:attribute name="TestPoint" type="xs:string"/>
                                  <xs:attribute name="Prediction" type="xs:string"/>
                                  <xs:attribute name="Value" type="ex_dec"/>
                                  <xs:attribute name="Points" type="ex_dec"/>
                                </xs:complexType>
                              </xs:element>
                              <xs:element name="TestPointTotal2">
                                <xs:complexType>
                                  <xs:attribute name="TestPoint" type="xs:string"/>
                                  <xs:attribute name="Prediction" type="xs:string"/>
                                  <xs:attribute name="Value" type="ex_dec"/>
                                  <xs:attribute name="Points" type="ex_dec"/>
                                </xs:complexType>
                              </xs:element>
                            </xs:sequence>
                          </xs:complexType>
                        </xs:element>
                        <xs:element name="Correction_factor" type="ex_dec"/>
                        <xs:element name="BLUE_POINTS">
                          <xs:complexType>
                            <xs:sequence>
                              <xs:element name="Zone_1">
                                <xs:complexType>
                                  <xs:sequence>
                                    <xs:element name="Grid_Point1" type="Blue_Grid_Point_Type"/>
                                    <xs:element name="Grid_Point2" type="Blue_Grid_Point_Type"/>
                                  </xs:sequence>
                                </xs:complexType>
                              </xs:element>
                              <xs:element name="Zone_2">
                                <xs:complexType>
                                  <xs:sequence>
                                    <xs:element name="Grid_Point1" type="Blue_Grid_Point_Type"/>
                                    <xs:element name="Grid_Point2" type="Blue_Grid_Point_Type"/>
                                  </xs:sequence>
                                </xs:complexType>
                              </xs:element>
                              <xs:element name="Zone_3">
                                <xs:complexType>
                                  <xs:sequence>
                                    <xs:element name="Grid_Point1" type="Blue_Grid_Point_Type"/>
                                    <xs:element name="Grid_Point2" type="Blue_Grid_Point_Type"/>
                                  </xs:sequence>
                                </xs:complexType>
                              </xs:element>
                              <xs:element name="Zone_4">
                                <xs:complexType>
                                  <xs:sequence>
                                    <xs:element name="Grid_Point1" type="Blue_Grid_Point_Type"/>
                                    <xs:element name="Grid_Point2" type="Blue_Grid_Point_Type"/>
                                  </xs:sequence>
                                </xs:complexType>
                              </xs:element>
                              <xs:element name="Zone_5">
                                <xs:complexType>
                                  <xs:sequence>
                                    <xs:element name="Grid_Point1" type="Blue_Grid_Point_Type"/>
                                    <xs:element name="Grid_Point2" type="Blue_Grid_Point_Type"/>
                                  </xs:sequence>
                                </xs:complexType>
                              </xs:element>
                              <xs:element name="Zone_6">
                                <xs:complexType>
                                  <xs:sequence>
                                    <xs:element name="Grid_Point1" type="Blue_Grid_Point_Type"/>
                                    <xs:element name="Grid_Point2" type="Blue_Grid_Point_Type"/>
                                  </xs:sequence>
                                </xs:complexType>
                              </xs:element>
                              <xs:element name="Zone_7">
                                <xs:complexType>
                                  <xs:sequence>
                                    <xs:element name="Grid_Point1" type="Blue_Grid_Point_Type"/>
                                    <xs:element name="Grid_Point2" type="Blue_Grid_Point_Type"/>
                                  </xs:sequence>
                                </xs:complexType>
                              </xs:element>
                              <xs:element name="Zone_8">
                                <xs:complexType>
                                  <xs:sequence>
                                    <xs:element name="Grid_Point1" type="Blue_Grid_Point_Type"/>
                                    <xs:element name="Grid_Point2" type="Blue_Grid_Point_Type"/>
                                  </xs:sequence>
                                </xs:complexType>
                              </xs:element>
                            </xs:sequence>
                            <xs:attribute name="Total_Blue_Points" type="ex_dec"/>
                          </xs:complexType>
                        </xs:element>
                        <xs:element name="SUMMARY">
                          <xs:complexType>
                            <xs:sequence>
                              <xs:element name="Predicted_score_excluding_blue_points" type="ex_dec"/>
                              <xs:element name="Blue_points_score" type="ex_dec"/>
                              <xs:element name="Correction_factor" type="ex_dec"/>
                            </xs:sequence>
                            <xs:attribute name="Total_score" type="ex_dec"/>
                          </xs:complexType>
                        </xs:element>
                        <xs:element name="Website_Image">
                          <xs:complexType>
                            <xs:attribute name="Type_of_Image" type="xs:string"/>
                            <xs:attribute name="First_row_on_screen" type="ex_int"/>
                          </xs:complexType>
                        </xs:element>
                      </xs:sequence>
                      <xs:attribute name="TOTAL_PEDESTRIAN_HEADFORM" type="ex_dec"/>
                      <xs:attribute name="ROUNDED_TOTAL_PED_HEADFORM" type="ex_dec"/>
                      <xs:attribute name="MAX_POINTS" type="xs:integer"/>
                      <xs:attribute name="Capping" type="xs:string"/>
                    </xs:complexType>
                  </xs:element>
                  <xs:element name="PPUpperLegform">
                    <xs:complexType>
                      <xs:sequence>
                        <xs:element name="Upper_Legform">
                          <xs:complexType>
                            <xs:sequence>
                              <xs:element name="Plus_10" type="Upper_Leg_Type"/>
                              <xs:element name="Plus_9" type="Upper_Leg_Type"/>
                              <xs:element name="Plus_8" type="Upper_Leg_Type"/>
                              <xs:element name="Plus_7" type="Upper_Leg_Type"/>
                              <xs:element name="Plus_6" type="Upper_Leg_Type"/>
                              <xs:element name="Plus_5" type="Upper_Leg_Type"/>
                              <xs:element name="Plus_4" type="Upper_Leg_Type"/>
                              <xs:element name="Plus_3" type="Upper_Leg_Type"/>
                              <xs:element name="Plus_2" type="Upper_Leg_Type"/>
                              <xs:element name="Plus_1" type="Upper_Leg_Type"/>
                              <xs:element name="Zero" type="Upper_Leg_Type"/>
                              <xs:element name="Minus_1" type="Upper_Leg_Type"/>
                              <xs:element name="Minus_2" type="Upper_Leg_Type"/>
                              <xs:element name="Minus_3" type="Upper_Leg_Type"/>
                              <xs:element name="Minus_4" type="Upper_Leg_Type"/>
                              <xs:element name="Minus_5" type="Upper_Leg_Type"/>
                              <xs:element name="Minus_6" type="Upper_Leg_Type"/>
                              <xs:element name="Minus_7" type="Upper_Leg_Type"/>
                              <xs:element name="Minus_8" type="Upper_Leg_Type"/>
                              <xs:element name="Minus_9" type="Upper_Leg_Type"/>
                              <xs:element name="Minus_10" type="Upper_Leg_Type"/>
                            </xs:sequence>
                          </xs:complexType>
                        </xs:element>
                        <xs:element name="Upper_Legform_assessment">
                          <xs:complexType>
                            <xs:attribute name="total" type="ex_dec"/>
                          </xs:complexType>
                        </xs:element>
                      </xs:sequence>
                      <xs:attribute name="TOTAL_PEDESTRIAN_UPPER_LEGFORM" type="ex_dec"/>
                      <xs:attribute name="ROUNDED_UPPER_LEG"/>
                      <xs:attribute name="MAX_POINTS" type="xs:decimal"/>
                      <xs:attribute name="Capping" type="xs:string"/>
                    </xs:complexType>
                  </xs:element>
                  <xs:element name="PPLowerLegform">
                    <xs:complexType>
                      <xs:sequence>
                        <xs:element name="Lower_Legform">
                          <xs:complexType>
                            <xs:sequence>
                              <xs:element name="Plus_10" type="Lower_Leg_Type"/>
                              <xs:element name="Plus_9" type="Lower_Leg_Type"/>
                              <xs:element name="Plus_8" type="Lower_Leg_Type"/>
                              <xs:element name="Plus_7" type="Lower_Leg_Type"/>
                              <xs:element name="Plus_6" type="Lower_Leg_Type"/>
                              <xs:element name="Plus_5" type="Lower_Leg_Type"/>
                              <xs:element name="Plus_4" type="Lower_Leg_Type"/>
                              <xs:element name="Plus_3" type="Lower_Leg_Type"/>
                              <xs:element name="Plus_2" type="Lower_Leg_Type"/>
                              <xs:element name="Plus_1" type="Lower_Leg_Type"/>
                              <xs:element name="Zero" type="Lower_Leg_Type"/>
                              <xs:element name="Minus_1" type="Lower_Leg_Type"/>
                              <xs:element name="Minus_2" type="Lower_Leg_Type"/>
                              <xs:element name="Minus_3" type="Lower_Leg_Type"/>
                              <xs:element name="Minus_4" type="Lower_Leg_Type"/>
                              <xs:element name="Minus_5" type="Lower_Leg_Type"/>
                              <xs:element name="Minus_6" type="Lower_Leg_Type"/>
                              <xs:element name="Minus_7" type="Lower_Leg_Type"/>
                              <xs:element name="Minus_8" type="Lower_Leg_Type"/>
                              <xs:element name="Minus_9" type="Lower_Leg_Type"/>
                              <xs:element name="Minus_10" type="Lower_Leg_Type"/>
                            </xs:sequence>
                          </xs:complexType>
                        </xs:element>
                      </xs:sequence>
                      <xs:attribute name="TOTAL_PED_KNEE_TIBIA" type="ex_dec"/>
                      <xs:attribute name="ROUNDED_PED_KNEE_TIBIA"/>
                      <xs:attribute name="MAX_POINTS_PED_KNEE_TIBIA" type="xs:integer"/>
                      <xs:attribute name="TOTAL_PED_FEMUR" type="ex_dec"/>
                      <xs:attribute name="ROUNDED_PED_FEMUR"/>
                      <xs:attribute name="MAX_POINTS_PED_FEMUR"/>
                      <xs:attribute name="Capping" type="xs:string"/>
                    </xs:complexType>
                  </xs:element>
                  <xs:element name="AEB_VRU">
                    <xs:complexType>
                      <xs:sequence>
                        <xs:element name="WEBSITE">
                          <xs:complexType>
                            <xs:sequence>
                              <xs:element name="AEB_Pedestrian">
                                <xs:complexType>
                                  <xs:sequence>
                                    <xs:element name="Car_reversing">
                                      <xs:complexType>
                                        <xs:attribute name="Day_AEB_Score" type="ex_dec"/>
                                        <xs:attribute name="Day_AEB_Colour" type="xs:string"/>
                                        <xs:attribute name="Night_FCW_Score" type="ex_dec"/>
                                        <xs:attribute name="Night_FCW_Colour" type="xs:string"/>
                                        <xs:attribute name="Comment" type="xs:string"/>
                                        <xs:attribute name="Max_Points" type="xs:decimal"/>
                                      </xs:complexType>
                                    </xs:element>
                                    <xs:element name="Adult_crossing_rd_into_which_car_turning">
                                      <xs:complexType>
                                        <xs:attribute name="Day_AEB_Score" type="ex_dec"/>
                                        <xs:attribute name="Day_AEB_Colour" type="xs:string"/>
                                        <xs:attribute name="Night_FCW_Score" type="ex_dec"/>
                                        <xs:attribute name="Night_FCW_Colour" type="xs:string"/>
                                        <xs:attribute name="Comment" type="xs:string"/>
                                        <xs:attribute name="Max_Points" type="xs:decimal"/>
                                      </xs:complexType>
                                    </xs:element>
                                    <xs:element name="Adult_crossing_rd">
                                      <xs:complexType>
                                        <xs:attribute name="Day_AEB_Score" type="ex_dec"/>
                                        <xs:attribute name="Day_AEB_Colour" type="xs:string"/>
                                        <xs:attribute name="Night_FCW_Score" type="ex_dec"/>
                                        <xs:attribute name="Night_FCW_Colour" type="xs:string"/>
                                        <xs:attribute name="Comment" type="xs:string"/>
                                        <xs:attribute name="Max_Points" type="xs:decimal"/>
                                      </xs:complexType>
                                    </xs:element>
                                    <xs:element name="Child_running_from_behing_parked_cars">
                                      <xs:complexType>
                                        <xs:attribute name="Day_AEB_Score" type="ex_dec"/>
                                        <xs:attribute name="Day_AEB_Colour" type="xs:string"/>
                                        <xs:attribute name="Night_FCW_Score" type="ex_dec"/>
                                        <xs:attribute name="Night_FCW_Colour" type="xs:string"/>
                                        <xs:attribute name="Comment" type="xs:string"/>
                                        <xs:attribute name="Max_Points" type="xs:decimal"/>
                                      </xs:complexType>
                                    </xs:element>
                                    <xs:element name="Adult_along_roadside">
                                      <xs:complexType>
                                        <xs:attribute name="Day_AEB_Score" type="ex_dec"/>
                                        <xs:attribute name="Day_AEB_Colour" type="xs:string"/>
                                        <xs:attribute name="Night_FCW_Score" type="ex_dec"/>
                                        <xs:attribute name="Night_FCW_Colour" type="xs:string"/>
                                        <xs:attribute name="Comment" type="xs:string"/>
                                        <xs:attribute name="Max_Points" type="xs:decimal"/>
                                      </xs:complexType>
                                    </xs:element>
                                  </xs:sequence>
                                  <xs:attribute name="Day_AEB_Score" type="ex_dec"/>
                                  <xs:attribute name="Day_AEB_Colour" type="xs:string"/>
                                  <xs:attribute name="Night_FCW_Score" type="ex_dec"/>
                                  <xs:attribute name="Night_FCW_Colour" type="xs:string"/>
                                  <xs:attribute name="Comment" type="xs:string"/>
                                  <xs:attribute name="Max_Points" type="xs:decimal"/>
                                </xs:complexType>
                              </xs:element>
                              <xs:element name="AEB_Bicyclist">
                                <xs:complexType>
                                  <xs:sequence>
                                    <xs:element name="Approaching_cyclist_crossing_from_behind">
                                      <xs:complexType>
                                        <xs:attribute name="Day_AEB_Score" type="ex_dec"/>
                                        <xs:attribute name="Day_AEB_Colour" type="xs:string"/>
                                        <xs:attribute name="Night_FCW_Score" type="ex_dec"/>
                                        <xs:attribute name="Night_FCW_Colour" type="xs:string"/>
                                        <xs:attribute name="Comment" type="xs:string"/>
                                        <xs:attribute name="Max_Points" type="xs:decimal"/>
                                      </xs:complexType>
                                    </xs:element>
                                    <xs:element name="Turning_across_path_oncoming">
                                      <xs:complexType>
                                        <xs:attribute name="Day_AEB_Score" type="ex_dec"/>
                                        <xs:attribute name="Day_AEB_Colour" type="xs:string"/>
                                        <xs:attribute name="Night_FCW_Score" type="ex_dec"/>
                                        <xs:attribute name="Night_FCW_Colour" type="xs:string"/>
                                        <xs:attribute name="Comment" type="xs:string"/>
                                        <xs:attribute name="Max_Points" type="xs:decimal"/>
                                      </xs:complexType>
                                    </xs:element>
                                    <xs:element name="Approaching_crossing">
                                      <xs:complexType>
                                        <xs:attribute name="Day_AEB_Score" type="ex_dec"/>
                                        <xs:attribute name="Day_AEB_Colour" type="xs:string"/>
                                        <xs:attribute name="Night_FCW_Score" type="ex_dec"/>
                                        <xs:attribute name="Night_FCW_Colour" type="xs:string"/>
                                        <xs:attribute name="Comment" type="xs:string"/>
                                        <xs:attribute name="Max_Points" type="xs:decimal"/>
                                      </xs:complexType>
                                    </xs:element>
                                    <xs:element name="Approaching_cyclist_along_road">
                                      <xs:complexType>
                                        <xs:attribute name="Day_AEB_Score" type="ex_dec"/>
                                        <xs:attribute name="Day_AEB_Colour" type="xs:string"/>
                                        <xs:attribute name="Night_FCW_Score" type="ex_dec"/>
                                        <xs:attribute name="Night_FCW_Colour" type="xs:string"/>
                                        <xs:attribute name="Comment" type="xs:string"/>
                                        <xs:attribute name="Max_Points" type="xs:decimal"/>
                                      </xs:complexType>
                                    </xs:element>
                                  </xs:sequence>
                                  <xs:attribute name="Day_AEB_Score" type="ex_dec"/>
                                  <xs:attribute name="Day_AEB_Colour" type="xs:string"/>
                                  <xs:attribute name="Night_FCW_Score" type="ex_dec"/>
                                  <xs:attribute name="Night_FCW_Colour" type="xs:string"/>
                                  <xs:attribute name="Comment" type="xs:string"/>
                                  <xs:attribute name="Max_Points" type="xs:decimal"/>
                                </xs:complexType>
                              </xs:element>
                              <xs:element name="Cyclist_Dooring_Prevention">
                                <xs:complexType>
                                  <xs:sequence>
                                    <xs:element name="Dooring_passing_cyclist">
                                      <xs:complexType>
                                        <xs:attribute name="Day_AEB_Score" type="ex_dec"/>
                                        <xs:attribute name="Day_AEB_Colour" type="xs:string"/>
                                        <xs:attribute name="Night_FCW_Score" type="ex_dec"/>
                                        <xs:attribute name="Night_FCW_Colour" type="xs:string"/>
                                        <xs:attribute name="Comment" type="xs:string"/>
                                        <xs:attribute name="Max_Points" type="xs:decimal"/>
                                      </xs:complexType>
                                    </xs:element>
                                  </xs:sequence>
                                  <xs:attribute name="Day_AEB_Score" type="ex_dec"/>
                                  <xs:attribute name="Day_AEB_Colour" type="xs:string"/>
                                  <xs:attribute name="Night_FCW_Score" type="ex_dec"/>
                                  <xs:attribute name="Night_FCW_Colour" type="xs:string"/>
                                  <xs:attribute name="Comment" type="xs:string"/>
                                  <xs:attribute name="Max_Points" type="xs:decimal"/>
                                </xs:complexType>
                              </xs:element>
                              <xs:element name="AEB_Motorcyclist">
                                <xs:complexType>
                                  <xs:sequence>
                                    <xs:element name="Approaching_stationary_m_cyclist">
                                      <xs:complexType>
                                        <xs:attribute name="Day_AEB_Score" type="ex_dec"/>
                                        <xs:attribute name="Day_AEB_Colour" type="xs:string"/>
                                        <xs:attribute name="Night_FCW_Score" type="ex_dec"/>
                                        <xs:attribute name="Night_FCW_Colour" type="xs:string"/>
                                        <xs:attribute name="Comment" type="xs:string"/>
                                        <xs:attribute name="Max_Points" type="xs:decimal"/>
                                      </xs:complexType>
                                    </xs:element>
                                    <xs:element name="Approaching_braking_m_cyclist">
                                      <xs:complexType>
                                        <xs:attribute name="Day_AEB_Score" type="ex_dec"/>
                                        <xs:attribute name="Day_AEB_Colour" type="xs:string"/>
                                        <xs:attribute name="Night_FCW_Score" type="ex_dec"/>
                                        <xs:attribute name="Night_FCW_Colour" type="xs:string"/>
                                        <xs:attribute name="Comment" type="xs:string"/>
                                        <xs:attribute name="Max_Points" type="xs:decimal"/>
                                      </xs:complexType>
                                    </xs:element>
                                    <xs:element name="Turn_across_oncoming_m_cyclist">
                                      <xs:complexType>
                                        <xs:attribute name="Day_AEB_Score" type="ex_dec"/>
                                        <xs:attribute name="Day_AEB_Colour" type="xs:string"/>
                                        <xs:attribute name="Night_FCW_Score" type="ex_dec"/>
                                        <xs:attribute name="Night_FCW_Colour" type="xs:string"/>
                                        <xs:attribute name="Comment" type="xs:string"/>
                                        <xs:attribute name="Max_Points" type="xs:decimal"/>
                                      </xs:complexType>
                                    </xs:element>
                                  </xs:sequence>
                                  <xs:attribute name="Day_AEB_Score" type="ex_dec"/>
                                  <xs:attribute name="Day_AEB_Colour" type="xs:string"/>
                                  <xs:attribute name="Night_FCW_Score" type="ex_dec"/>
                                  <xs:attribute name="Night_FCW_Colour" type="xs:string"/>
                                  <xs:attribute name="Comment" type="xs:string"/>
                                  <xs:attribute name="Max_Points" type="xs:decimal"/>
                                </xs:complexType>
                              </xs:element>
                              <xs:element name="LSS_Motorcyclist">
                                <xs:complexType>
                                  <xs:sequence>
                                    <xs:element name="Changing_oncoming">
                                      <xs:complexType>
                                        <xs:attribute name="Day_AEB_Score" type="ex_dec"/>
                                        <xs:attribute name="Day_AEB_Colour" type="xs:string"/>
                                        <xs:attribute name="Night_FCW_Score" type="ex_dec"/>
                                        <xs:attribute name="Night_FCW_Colour" type="xs:string"/>
                                        <xs:attribute name="Comment" type="xs:string"/>
                                        <xs:attribute name="Max_Points" type="xs:decimal"/>
                                      </xs:complexType>
                                    </xs:element>
                                    <xs:element name="Changing_overtaking">
                                      <xs:complexType>
                                        <xs:attribute name="Day_AEB_Score" type="ex_dec"/>
                                        <xs:attribute name="Day_AEB_Colour" type="xs:string"/>
                                        <xs:attribute name="Night_FCW_Score" type="ex_dec"/>
                                        <xs:attribute name="Night_FCW_Colour" type="xs:string"/>
                                        <xs:attribute name="Comment" type="xs:string"/>
                                        <xs:attribute name="Max_Points" type="xs:decimal"/>
                                      </xs:complexType>
                                    </xs:element>
                                  </xs:sequence>
                                  <xs:attribute name="Day_AEB_Score" type="ex_dec"/>
                                  <xs:attribute name="Day_AEB_Colour" type="xs:string"/>
                                  <xs:attribute name="Night_FCW_Score" type="ex_dec"/>
                                  <xs:attribute name="Night_FCW_Colour" type="xs:string"/>
                                  <xs:attribute name="Comment" type="xs:string"/>
                                  <xs:attribute name="Max_Points" type="xs:decimal"/>
                                </xs:complexType>
                              </xs:element>
                            </xs:sequence>
                          </xs:complexType>
                        </xs:element>
                        <xs:element name="Pedestrian">
                          <xs:complexType>
                            <xs:sequence>
                              <xs:element name="Prerequisites" minOccurs="0">
                                <xs:complexType>
                                  <xs:attribute name="Day_Slow_Ped" type="xs:string"/>
                                  <xs:attribute name="Night_Slow_Ped" type="xs:string"/>
                                  <xs:attribute name="Default_On" type="xs:string"/>
                                  <xs:attribute name="Off_Below_80" type="xs:string"/>
                                </xs:complexType>
                              </xs:element>
                              <xs:element name="CROSSING">
                                <xs:complexType>
                                  <xs:sequence>
                                    <xs:element name="Daytime">
                                      <xs:complexType>
                                        <xs:sequence>
                                          <xs:element name="CPFA_50">
                                            <xs:complexType>
                                              <xs:sequence>
                                                <xs:element name="_1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1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6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  <xs:attribute name="Score" type="xs:decimal"/>
                                            </xs:complexType>
                                          </xs:element>
                                          <xs:element name="CPNA_25">
                                            <xs:complexType>
                                              <xs:sequence>
                                                <xs:element name="_1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1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6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  <xs:attribute name="Score" type="xs:decimal"/>
                                            </xs:complexType>
                                          </xs:element>
                                          <xs:element name="CPNA_75">
                                            <xs:complexType>
                                              <xs:sequence>
                                                <xs:element name="_1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1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6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  <xs:attribute name="Score" type="xs:decimal"/>
                                            </xs:complexType>
                                          </xs:element>
                                          <xs:element name="CPNCO_50">
                                            <xs:complexType>
                                              <xs:sequence>
                                                <xs:element name="_1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1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6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  <xs:attribute name="Score" type="xs:decimal"/>
                                            </xs:complexType>
                                          </xs:element>
                                        </xs:sequence>
                                      </xs:complexType>
                                    </xs:element>
                                    <xs:element name="Night-Time">
                                      <xs:complexType>
                                        <xs:sequence>
                                          <xs:element name="CPFA_50">
                                            <xs:complexType>
                                              <xs:sequence>
                                                <xs:element name="_1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1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6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  <xs:attribute name="Score" type="xs:decimal"/>
                                            </xs:complexType>
                                          </xs:element>
                                          <xs:element name="CPNA_25">
                                            <xs:complexType>
                                              <xs:sequence>
                                                <xs:element name="_1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1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6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  <xs:attribute name="Score" type="xs:decimal"/>
                                            </xs:complexType>
                                          </xs:element>
                                          <xs:element name="CPNA_75">
                                            <xs:complexType>
                                              <xs:sequence>
                                                <xs:element name="_1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1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6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  <xs:attribute name="Score" type="xs:decimal"/>
                                            </xs:complexType>
                                          </xs:element>
                                          <xs:element name="CPNCO_50">
                                            <xs:complexType>
                                              <xs:sequence>
                                                <xs:element name="_1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1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6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  <xs:attribute name="Score" type="xs:decimal"/>
                                            </xs:complexType>
                                          </xs:element>
                                        </xs:sequence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LONGITUDINAL">
                                <xs:complexType>
                                  <xs:sequence>
                                    <xs:element name="Daytime">
                                      <xs:complexType>
                                        <xs:sequence>
                                          <xs:element name="CPLA_50">
                                            <xs:complexType>
                                              <xs:sequence>
                                                <xs:element name="_2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6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  <xs:attribute name="Score" type="xs:decimal"/>
                                            </xs:complexType>
                                          </xs:element>
                                          <xs:element name="CPLA_25">
                                            <xs:complexType>
                                              <xs:sequence>
                                                <xs:element name="_50km_h">
                                                  <xs:complexType>
                                                    <xs:attribute name="TTfcw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5km_h">
                                                  <xs:complexType>
                                                    <xs:attribute name="TTfcw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60km_h">
                                                  <xs:complexType>
                                                    <xs:attribute name="TTfcw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65km_h">
                                                  <xs:complexType>
                                                    <xs:attribute name="TTfcw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70km_h">
                                                  <xs:complexType>
                                                    <xs:attribute name="TTfcw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75km_h">
                                                  <xs:complexType>
                                                    <xs:attribute name="TTfcw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80km_h">
                                                  <xs:complexType>
                                                    <xs:attribute name="TTfcw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  <xs:attribute name="Score" type="xs:decimal"/>
                                            </xs:complexType>
                                          </xs:element>
                                        </xs:sequence>
                                      </xs:complexType>
                                    </xs:element>
                                    <xs:element name="Night-Time">
                                      <xs:complexType>
                                        <xs:sequence>
                                          <xs:element name="CPLA_50">
                                            <xs:complexType>
                                              <xs:sequence>
                                                <xs:element name="_2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6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  <xs:attribute name="Score" type="xs:decimal"/>
                                            </xs:complexType>
                                          </xs:element>
                                          <xs:element name="CPLA_25">
                                            <xs:complexType>
                                              <xs:sequence>
                                                <xs:element name="_50km_h">
                                                  <xs:complexType>
                                                    <xs:attribute name="TTfcw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5km_h">
                                                  <xs:complexType>
                                                    <xs:attribute name="TTfcw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60km_h">
                                                  <xs:complexType>
                                                    <xs:attribute name="TTfcw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65km_h">
                                                  <xs:complexType>
                                                    <xs:attribute name="TTfcw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70km_h">
                                                  <xs:complexType>
                                                    <xs:attribute name="TTfcw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75km_h">
                                                  <xs:complexType>
                                                    <xs:attribute name="TTfcw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80km_h">
                                                  <xs:complexType>
                                                    <xs:attribute name="TTfcw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  <xs:attribute name="Score" type="xs:decimal"/>
                                            </xs:complexType>
                                          </xs:element>
                                        </xs:sequence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TURNING">
                                <xs:complexType>
                                  <xs:sequence>
                                    <xs:element name="Daytime">
                                      <xs:complexType>
                                        <xs:sequence>
                                          <xs:element name="CPTA_far_opposite">
                                            <xs:complexType>
                                              <xs:sequence>
                                                <xs:element name="_10km_h">
                                                  <xs:complexType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15km_h">
                                                  <xs:complexType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0km_h">
                                                  <xs:complexType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  <xs:element name="CPTA_near_opposite">
                                            <xs:complexType>
                                              <xs:sequence>
                                                <xs:element name="_10km_h">
                                                  <xs:complexType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  <xs:element name="CPTA_far_same">
                                            <xs:complexType>
                                              <xs:sequence>
                                                <xs:element name="_10km_h">
                                                  <xs:complexType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15km_h">
                                                  <xs:complexType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0km_h">
                                                  <xs:complexType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  <xs:element name="CPTA_near_same">
                                            <xs:complexType>
                                              <xs:sequence>
                                                <xs:element name="_10km_h">
                                                  <xs:complexType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</xs:sequence>
                                        <xs:attribute name="opposite_points" type="xs:decimal"/>
                                        <xs:attribute name="same_points" type="xs:decimal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REVERSE">
                                <xs:complexType>
                                  <xs:sequence>
                                    <xs:element name="CPRs-25">
                                      <xs:complexType>
                                        <xs:sequence>
                                          <xs:element name="_4km_h">
                                            <xs:complexType>
                                              <xs:attribute name="Vimpact" type="xs:decimal"/>
                                              <xs:attribute name="Pass_Fail" type="xs:string"/>
                                            </xs:complexType>
                                          </xs:element>
                                          <xs:element name="_8km_h">
                                            <xs:complexType>
                                              <xs:attribute name="Vimpact" type="xs:decimal"/>
                                              <xs:attribute name="Pass_Fail" type="xs:string"/>
                                            </xs:complexType>
                                          </xs:element>
                                        </xs:sequence>
                                      </xs:complexType>
                                    </xs:element>
                                    <xs:element name="CPRs-50">
                                      <xs:complexType>
                                        <xs:sequence>
                                          <xs:element name="_4km_h">
                                            <xs:complexType>
                                              <xs:attribute name="Vimpact" type="xs:decimal"/>
                                              <xs:attribute name="Pass_Fail" type="xs:string"/>
                                            </xs:complexType>
                                          </xs:element>
                                          <xs:element name="_8km_h">
                                            <xs:complexType>
                                              <xs:attribute name="Vimpact" type="xs:decimal"/>
                                              <xs:attribute name="Pass_Fail" type="xs:string"/>
                                            </xs:complexType>
                                          </xs:element>
                                        </xs:sequence>
                                      </xs:complexType>
                                    </xs:element>
                                    <xs:element name="CPRs-75">
                                      <xs:complexType>
                                        <xs:sequence>
                                          <xs:element name="_4km_h">
                                            <xs:complexType>
                                              <xs:attribute name="Vimpact" type="xs:decimal"/>
                                              <xs:attribute name="Pass_Fail" type="xs:string"/>
                                            </xs:complexType>
                                          </xs:element>
                                          <xs:element name="_8km_h">
                                            <xs:complexType>
                                              <xs:attribute name="Vimpact" type="xs:decimal"/>
                                              <xs:attribute name="Pass_Fail" type="xs:string"/>
                                            </xs:complexType>
                                          </xs:element>
                                        </xs:sequence>
                                      </xs:complexType>
                                    </xs:element>
                                    <xs:element name="CPRm-50">
                                      <xs:complexType>
                                        <xs:sequence>
                                          <xs:element name="_4km_h">
                                            <xs:complexType>
                                              <xs:attribute name="Vimpact" type="xs:decimal"/>
                                              <xs:attribute name="Points" type="xs:decimal"/>
                                            </xs:complexType>
                                          </xs:element>
                                          <xs:element name="_8km_h">
                                            <xs:complexType>
                                              <xs:attribute name="Vimpact" type="xs:decimal"/>
                                              <xs:attribute name="Points" type="xs:decimal"/>
                                            </xs:complexType>
                                          </xs:element>
                                        </xs:sequence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SUMMARY">
                                <xs:complexType>
                                  <xs:sequence>
                                    <xs:element name="Day">
                                      <xs:complexType>
                                        <xs:attribute name="CPFA_50" type="xs:decimal"/>
                                        <xs:attribute name="CPNA_25" type="xs:decimal"/>
                                        <xs:attribute name="CPNA_75" type="xs:decimal"/>
                                        <xs:attribute name="CPNCO_50" type="xs:decimal"/>
                                        <xs:attribute name="CPLA" type="xs:decimal"/>
                                        <xs:attribute name="CPTA" type="xs:decimal"/>
                                        <xs:attribute name="CPRA" type="xs:decimal"/>
                                      </xs:complexType>
                                    </xs:element>
                                    <xs:element name="Night">
                                      <xs:complexType>
                                        <xs:attribute name="CPFA_50" type="xs:decimal"/>
                                        <xs:attribute name="CPNA_25" type="xs:decimal"/>
                                        <xs:attribute name="CPNA_75" type="xs:decimal"/>
                                        <xs:attribute name="CPNCO_50" type="xs:decimal"/>
                                        <xs:attribute name="CPLA" type="xs:decimal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</xs:sequence>
                            <xs:attribute name="TOTAL_SCORE" type="ex_dec"/>
                            <xs:attribute name="ROUNDED_TOTAL_SCORE" type="ex_dec"/>
                            <xs:attribute name="Name" type="xs:string"/>
                            <xs:attribute name="Functionality" type="xs:string"/>
                            <xs:attribute name="Min_Speed" type="ex_int"/>
                            <xs:attribute name="Max_Speed" type="ex_dec"/>
                            <xs:attribute name="Additional_Information" type="xs:string"/>
                            <xs:attribute name="AEB_VRU_Ped_Colour" type="xs:string"/>
                            <xs:attribute name="MAX_POINTS" type="xs:integer"/>
                          </xs:complexType>
                        </xs:element>
                        <xs:element name="Cyclist" minOccurs="0">
                          <xs:complexType>
                            <xs:sequence minOccurs="0">
                              <xs:element name="System_Details" minOccurs="0">
                                <xs:complexType>
                                  <xs:sequence>
                                    <xs:element name="System_Name" type="xs:string"/>
                                    <xs:element name="Functionality" type="xs:string"/>
                                    <xs:element name="Min_Speed" type="xs:decimal"/>
                                    <xs:element name="Max_Speed" type="xs:decimal"/>
                                  </xs:sequence>
                                </xs:complexType>
                              </xs:element>
                              <xs:element name="Prerequisites" minOccurs="0">
                                <xs:complexType>
                                  <xs:sequence>
                                    <xs:element name="Default_On" type="xs:string"/>
                                    <xs:element name="Off_below_80" type="xs:string"/>
                                  </xs:sequence>
                                  <xs:attribute name="Pass_Fail" type="xs:string"/>
                                </xs:complexType>
                              </xs:element>
                              <xs:element name="CROSSING">
                                <xs:complexType>
                                  <xs:sequence>
                                    <xs:element name="Daytime">
                                      <xs:complexType>
                                        <xs:sequence>
                                          <xs:element name="CBFA_50">
                                            <xs:complexType>
                                              <xs:sequence>
                                                <xs:element name="_1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1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6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  <xs:attribute name="Score" type="xs:decimal"/>
                                            </xs:complexType>
                                          </xs:element>
                                          <xs:element name="CBNA_50">
                                            <xs:complexType>
                                              <xs:sequence>
                                                <xs:element name="_1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1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6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  <xs:attribute name="Score" type="xs:decimal"/>
                                            </xs:complexType>
                                          </xs:element>
                                          <xs:element name="CBNAO_50">
                                            <xs:complexType>
                                              <xs:sequence>
                                                <xs:element name="_1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1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6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  <xs:attribute name="Score" type="xs:decimal"/>
                                            </xs:complexType>
                                          </xs:element>
                                        </xs:sequence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LONGITUDINAL">
                                <xs:complexType>
                                  <xs:sequence>
                                    <xs:element name="Daytime">
                                      <xs:complexType>
                                        <xs:sequence>
                                          <xs:element name="CBLA_50">
                                            <xs:complexType>
                                              <xs:sequence>
                                                <xs:element name="_2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3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4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5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60km_h">
                                                  <xs:complexType>
                                                    <xs:attribute name="OEM_Predict" type="xs:string"/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  <xs:attribute name="Score" type="xs:decimal"/>
                                            </xs:complexType>
                                          </xs:element>
                                          <xs:element name="CBLA_25">
                                            <xs:complexType>
                                              <xs:sequence>
                                                <xs:element name="_50km_h">
                                                  <xs:complexType>
                                                    <xs:attribute name="TTfcw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55km_h">
                                                  <xs:complexType>
                                                    <xs:attribute name="TTfcw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60km_h">
                                                  <xs:complexType>
                                                    <xs:attribute name="TTfcw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65km_h">
                                                  <xs:complexType>
                                                    <xs:attribute name="TTfcw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70km_h">
                                                  <xs:complexType>
                                                    <xs:attribute name="TTfcw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75km_h">
                                                  <xs:complexType>
                                                    <xs:attribute name="TTfcw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80km_h">
                                                  <xs:complexType>
                                                    <xs:attribute name="TTfcw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  <xs:attribute name="Score" type="xs:decimal"/>
                                            </xs:complexType>
                                          </xs:element>
                                        </xs:sequence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TURNING">
                                <xs:complexType>
                                  <xs:sequence>
                                    <xs:element name="Daytime">
                                      <xs:complexType>
                                        <xs:sequence>
                                          <xs:element name="CPTA_far_opposite">
                                            <xs:complexType>
                                              <xs:sequence>
                                                <xs:element name="_10km_h">
                                                  <xs:complexType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15km_h">
                                                  <xs:complexType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0km_h">
                                                  <xs:complexType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  <xs:element name="CPTA_near_opposite">
                                            <xs:complexType>
                                              <xs:sequence>
                                                <xs:element name="_10km_h">
                                                  <xs:complexType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</xs:sequence>
                                        <xs:attribute name="opposite_points" type="xs:decimal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Dooring">
                                <xs:complexType>
                                  <xs:sequence>
                                    <xs:element name="Driver_Door">
                                      <xs:complexType>
                                        <xs:sequence>
                                          <xs:element name="Information">
                                            <xs:complexType>
                                              <xs:attribute name="TTCstart" type="xs:decimal"/>
                                              <xs:attribute name="TTCend" type="xs:decimal"/>
                                              <xs:attribute name="Points" type="xs:decimal"/>
                                            </xs:complexType>
                                          </xs:element>
                                          <xs:element name="Warning">
                                            <xs:complexType>
                                              <xs:attribute name="TTCstart" type="xs:decimal"/>
                                              <xs:attribute name="TTCend" type="xs:decimal"/>
                                              <xs:attribute name="Points" type="xs:decimal"/>
                                            </xs:complexType>
                                          </xs:element>
                                          <xs:element name="Retention">
                                            <xs:complexType>
                                              <xs:attribute name="TTCstart" type="xs:decimal"/>
                                              <xs:attribute name="TTCend" type="xs:decimal"/>
                                              <xs:attribute name="Points" type="xs:decimal"/>
                                            </xs:complexType>
                                          </xs:element>
                                        </xs:sequence>
                                        <xs:attribute name="Score" type="xs:decimal"/>
                                      </xs:complexType>
                                    </xs:element>
                                    <xs:element name="All_Doors">
                                      <xs:complexType>
                                        <xs:sequence>
                                          <xs:element name="Warning">
                                            <xs:complexType>
                                              <xs:attribute name="TTCstart" type="xs:decimal"/>
                                              <xs:attribute name="TTCend" type="xs:decimal"/>
                                              <xs:attribute name="Result" type="xs:string"/>
                                            </xs:complexType>
                                          </xs:element>
                                          <xs:element name="Retention">
                                            <xs:complexType>
                                              <xs:attribute name="TTCstart" type="xs:decimal"/>
                                              <xs:attribute name="TTCend" type="xs:decimal"/>
                                            </xs:complexType>
                                          </xs:element>
                                        </xs:sequence>
                                        <xs:attribute name="Score" type="xs:decimal"/>
                                      </xs:complexType>
                                    </xs:element>
                                  </xs:sequence>
                                  <xs:attribute name="Door_Type" type="xs:string"/>
                                </xs:complexType>
                              </xs:element>
                              <xs:element name="SUMMARY">
                                <xs:complexType>
                                  <xs:attribute name="CBFA-50" type="xs:decimal"/>
                                  <xs:attribute name="CBNA-50" type="xs:decimal"/>
                                  <xs:attribute name="CBNAO-50" type="xs:decimal"/>
                                  <xs:attribute name="CBLA" type="xs:decimal"/>
                                  <xs:attribute name="CBTA" type="xs:decimal"/>
                                  <xs:attribute name="CBDA" type="xs:decimal"/>
                                </xs:complexType>
                              </xs:element>
                            </xs:sequence>
                            <xs:attribute name="Score" type="xs:decimal"/>
                            <xs:attribute name="Rounded_Score" type="xs:decimal"/>
                            <xs:attribute name="Cyclist_Crossing_Score" type="xs:decimal"/>
                            <xs:attribute name="Cyclist_Crossing_Colour" type="xs:string"/>
                            <xs:attribute name="Cyclist_Longitudinal_Score" type="xs:decimal"/>
                            <xs:attribute name="Cyclist_Longitudinal_Colour" type="xs:string"/>
                            <xs:attribute name="AEB_VRU_Cyclist_Colour" type="xs:string"/>
                            <xs:attribute name="MAX_POINTS" type="xs:integer"/>
                          </xs:complexType>
                        </xs:element>
                        <xs:element name="Motorcyclist">
                          <xs:complexType>
                            <xs:sequence>
                              <xs:element name="Prerequisites">
                                <xs:complexType>
                                  <xs:sequence>
                                    <xs:element name="Default_On" type="xs:string"/>
                                    <xs:element name="Off_Below_80" type="xs:string"/>
                                  </xs:sequence>
                                  <xs:attribute name="Pass_Fail" type="xs:string"/>
                                </xs:complexType>
                              </xs:element>
                              <xs:element name="Longitundinal">
                                <xs:complexType>
                                  <xs:sequence>
                                    <xs:element name="Daytime">
                                      <xs:complexType>
                                        <xs:sequence>
                                          <xs:element name="CMRs_50">
                                            <xs:complexType>
                                              <xs:sequence>
                                                <xs:element name="AEB">
                                                  <xs:complexType>
                                                    <xs:sequence>
                                                      <xs:element name="_10_kmh">
                                                        <xs:complexType>
                                                          <xs:attribute name="OEM" type="xs:string"/>
                                                          <xs:attribute name="Vimpact" type="xs:decimal"/>
                                                          <xs:attribute name="Points" type="xs:decimal"/>
                                                        </xs:complexType>
                                                      </xs:element>
                                                      <xs:element name="_15_kmh">
                                                        <xs:complexType>
                                                          <xs:attribute name="OEM" type="xs:string"/>
                                                          <xs:attribute name="Vimpact" type="xs:decimal"/>
                                                          <xs:attribute name="Points" type="xs:decimal"/>
                                                        </xs:complexType>
                                                      </xs:element>
                                                      <xs:element name="_20_kmh">
                                                        <xs:complexType>
                                                          <xs:attribute name="OEM" type="xs:string"/>
                                                          <xs:attribute name="Vimpact" type="xs:decimal"/>
                                                          <xs:attribute name="Points" type="xs:decimal"/>
                                                        </xs:complexType>
                                                      </xs:element>
                                                      <xs:element name="_25_kmh">
                                                        <xs:complexType>
                                                          <xs:attribute name="OEM" type="xs:string"/>
                                                          <xs:attribute name="Vimpact" type="xs:decimal"/>
                                                          <xs:attribute name="Points" type="xs:decimal"/>
                                                        </xs:complexType>
                                                      </xs:element>
                                                      <xs:element name="_30_kmh">
                                                        <xs:complexType>
                                                          <xs:attribute name="OEM" type="xs:string"/>
                                                          <xs:attribute name="Vimpact" type="xs:decimal"/>
                                                          <xs:attribute name="Points" type="xs:decimal"/>
                                                        </xs:complexType>
                                                      </xs:element>
                                                      <xs:element name="_35_kmh">
                                                        <xs:complexType>
                                                          <xs:attribute name="OEM" type="xs:string"/>
                                                          <xs:attribute name="Vimpact" type="xs:decimal"/>
                                                          <xs:attribute name="Points" type="xs:decimal"/>
                                                        </xs:complexType>
                                                      </xs:element>
                                                      <xs:element name="_40_kmh">
                                                        <xs:complexType>
                                                          <xs:attribute name="OEM" type="xs:string"/>
                                                          <xs:attribute name="Vimpact" type="xs:decimal"/>
                                                          <xs:attribute name="Points" type="xs:decimal"/>
                                                        </xs:complexType>
                                                      </xs:element>
                                                      <xs:element name="_45_kmh">
                                                        <xs:complexType>
                                                          <xs:attribute name="OEM" type="xs:string"/>
                                                          <xs:attribute name="Vimpact" type="xs:decimal"/>
                                                          <xs:attribute name="Points" type="xs:decimal"/>
                                                        </xs:complexType>
                                                      </xs:element>
                                                      <xs:element name="_50_kmh">
                                                        <xs:complexType>
                                                          <xs:attribute name="OEM" type="xs:string"/>
                                                          <xs:attribute name="Vimpact" type="xs:decimal"/>
                                                          <xs:attribute name="Points" type="xs:decimal"/>
                                                        </xs:complexType>
                                                      </xs:element>
                                                      <xs:element name="_55_kmh">
                                                        <xs:complexType>
                                                          <xs:attribute name="OEM" type="xs:string"/>
                                                          <xs:attribute name="Vimpact" type="xs:decimal"/>
                                                          <xs:attribute name="Points" type="xs:decimal"/>
                                                        </xs:complexType>
                                                      </xs:element>
                                                      <xs:element name="_60_kmh">
                                                        <xs:complexType>
                                                          <xs:attribute name="OEM" type="xs:string"/>
                                                          <xs:attribute name="Vimpact" type="xs:decimal"/>
                                                          <xs:attribute name="Points" type="xs:decimal"/>
                                                        </xs:complexType>
                                                      </xs:element>
                                                    </xs:sequence>
                                                    <xs:attribute name="Score" type="xs:decimal"/>
                                                  </xs:complexType>
                                                </xs:element>
                                                <xs:element name="FCW">
                                                  <xs:complexType>
                                                    <xs:sequence>
                                                      <xs:element name="_30_kmh">
                                                        <xs:complexType>
                                                          <xs:attribute name="OEM" type="xs:string"/>
                                                          <xs:attribute name="Vimpact" type="xs:decimal"/>
                                                          <xs:attribute name="Points" type="xs:decimal"/>
                                                        </xs:complexType>
                                                      </xs:element>
                                                      <xs:element name="_35_kmh">
                                                        <xs:complexType>
                                                          <xs:attribute name="OEM" type="xs:string"/>
                                                          <xs:attribute name="Vimpact" type="xs:decimal"/>
                                                          <xs:attribute name="Points" type="xs:decimal"/>
                                                        </xs:complexType>
                                                      </xs:element>
                                                      <xs:element name="_40_kmh">
                                                        <xs:complexType>
                                                          <xs:attribute name="OEM" type="xs:string"/>
                                                          <xs:attribute name="Vimpact" type="xs:decimal"/>
                                                          <xs:attribute name="Points" type="xs:decimal"/>
                                                        </xs:complexType>
                                                      </xs:element>
                                                      <xs:element name="_45_kmh">
                                                        <xs:complexType>
                                                          <xs:attribute name="OEM" type="xs:string"/>
                                                          <xs:attribute name="Vimpact" type="xs:decimal"/>
                                                          <xs:attribute name="Points" type="xs:decimal"/>
                                                        </xs:complexType>
                                                      </xs:element>
                                                      <xs:element name="_50_kmh">
                                                        <xs:complexType>
                                                          <xs:attribute name="OEM" type="xs:string"/>
                                                          <xs:attribute name="Vimpact" type="xs:decimal"/>
                                                          <xs:attribute name="Points" type="xs:decimal"/>
                                                        </xs:complexType>
                                                      </xs:element>
                                                      <xs:element name="_55_kmh">
                                                        <xs:complexType>
                                                          <xs:attribute name="OEM" type="xs:string"/>
                                                          <xs:attribute name="Vimpact" type="xs:decimal"/>
                                                          <xs:attribute name="Points" type="xs:decimal"/>
                                                        </xs:complexType>
                                                      </xs:element>
                                                      <xs:element name="_60_kmh">
                                                        <xs:complexType>
                                                          <xs:attribute name="OEM" type="xs:string"/>
                                                          <xs:attribute name="Vimpact" type="xs:decimal"/>
                                                          <xs:attribute name="Points" type="xs:decimal"/>
                                                        </xs:complexType>
                                                      </xs:element>
                                                    </xs:sequence>
                                                    <xs:attribute name="Score" type="xs:decimal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  <xs:element name="CMRb_25_12">
                                            <xs:complexType>
                                              <xs:sequence>
                                                <xs:element name="AEB">
                                                  <xs:complexType>
                                                    <xs:sequence>
                                                      <xs:element name="_50_kmh">
                                                        <xs:complexType>
                                                          <xs:attribute name="OEM" type="xs:string"/>
                                                          <xs:attribute name="Vimpact" type="xs:decimal"/>
                                                          <xs:attribute name="Points" type="xs:decimal"/>
                                                        </xs:complexType>
                                                      </xs:element>
                                                    </xs:sequence>
                                                    <xs:attribute name="Score" type="xs:decimal"/>
                                                  </xs:complexType>
                                                </xs:element>
                                                <xs:element name="FCW">
                                                  <xs:complexType>
                                                    <xs:sequence>
                                                      <xs:element name="_50_kmh">
                                                        <xs:complexType>
                                                          <xs:attribute name="OEM" type="xs:string"/>
                                                          <xs:attribute name="Vimpact" type="xs:decimal"/>
                                                          <xs:attribute name="Points" type="xs:decimal"/>
                                                        </xs:complexType>
                                                      </xs:element>
                                                    </xs:sequence>
                                                    <xs:attribute name="Score" type="xs:decimal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  <xs:element name="CMRb_25_40">
                                            <xs:complexType>
                                              <xs:sequence>
                                                <xs:element name="AEB">
                                                  <xs:complexType>
                                                    <xs:sequence>
                                                      <xs:element name="_50_kmh">
                                                        <xs:complexType>
                                                          <xs:attribute name="OEM" type="xs:string"/>
                                                          <xs:attribute name="Vimpact" type="xs:decimal"/>
                                                          <xs:attribute name="Points" type="xs:decimal"/>
                                                        </xs:complexType>
                                                      </xs:element>
                                                    </xs:sequence>
                                                    <xs:attribute name="Score" type="xs:decimal"/>
                                                  </xs:complexType>
                                                </xs:element>
                                                <xs:element name="FCW">
                                                  <xs:complexType>
                                                    <xs:sequence>
                                                      <xs:element name="_50_kmh">
                                                        <xs:complexType>
                                                          <xs:attribute name="OEM" type="xs:string"/>
                                                          <xs:attribute name="Vimpact" type="xs:decimal"/>
                                                          <xs:attribute name="Points" type="xs:decimal"/>
                                                        </xs:complexType>
                                                      </xs:element>
                                                    </xs:sequence>
                                                    <xs:attribute name="Score" type="xs:decimal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</xs:sequence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Turning">
                                <xs:complexType>
                                  <xs:sequence>
                                    <xs:element name="Daytime">
                                      <xs:complexType>
                                        <xs:sequence>
                                          <xs:element name="CMFtap_30">
                                            <xs:complexType>
                                              <xs:sequence>
                                                <xs:element name="_10_kmh">
                                                  <xs:complexType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15_kmh">
                                                  <xs:complexType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0_kmh">
                                                  <xs:complexType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  <xs:attribute name="Score" type="xs:decimal"/>
                                            </xs:complexType>
                                          </xs:element>
                                          <xs:element name="CMFtap_45">
                                            <xs:complexType>
                                              <xs:sequence>
                                                <xs:element name="_10_kmh">
                                                  <xs:complexType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15_kmh">
                                                  <xs:complexType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0_kmh">
                                                  <xs:complexType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  <xs:attribute name="Score" type="xs:decimal"/>
                                            </xs:complexType>
                                          </xs:element>
                                          <xs:element name="CMFtap_60">
                                            <xs:complexType>
                                              <xs:sequence>
                                                <xs:element name="_10_kmh">
                                                  <xs:complexType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15_kmh">
                                                  <xs:complexType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  <xs:element name="_20_kmh">
                                                  <xs:complexType>
                                                    <xs:attribute name="Vimpact" type="xs:decimal"/>
                                                    <xs:attribute name="Points" type="xs:decimal"/>
                                                  </xs:complexType>
                                                </xs:element>
                                              </xs:sequence>
                                              <xs:attribute name="Score" type="xs:decimal"/>
                                            </xs:complexType>
                                          </xs:element>
                                        </xs:sequence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Lateral">
                                <xs:complexType>
                                  <xs:sequence>
                                    <xs:element name="Daytime">
                                      <xs:complexType>
                                        <xs:sequence>
                                          <xs:element name="CMoncoming">
                                            <xs:complexType>
                                              <xs:sequence>
                                                <xs:element name="Unintentional">
                                                  <xs:complexType>
                                                    <xs:sequence>
                                                      <xs:element name="_0.2_m_s" type="xs:string"/>
                                                      <xs:element name="_0.3_m_s" type="xs:string"/>
                                                      <xs:element name="_0.4_m_s" type="xs:string"/>
                                                      <xs:element name="_0.5_m_s" type="xs:string"/>
                                                      <xs:element name="_0.6_m_s" type="xs:string"/>
                                                      <xs:element name="_0.7_m_s" type="xs:string"/>
                                                    </xs:sequence>
                                                    <xs:attribute name="Score" type="xs:decimal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  <xs:element name="CMovertaking">
                                            <xs:complexType>
                                              <xs:sequence>
                                                <xs:element name="VUT_50_EMT_60">
                                                  <xs:complexType>
                                                    <xs:sequence>
                                                      <xs:element name="Unintentional">
                                                        <xs:complexType>
                                                          <xs:sequence>
                                                            <xs:element name="_0.2_m_s" type="xs:string"/>
                                                            <xs:element name="_0.3_m_s" type="xs:string"/>
                                                            <xs:element name="_0.4_m_s" type="xs:string"/>
                                                            <xs:element name="_0.5_m_s" type="xs:string"/>
                                                            <xs:element name="_0.6_m_s" type="xs:string"/>
                                                          </xs:sequence>
                                                          <xs:attribute name="Score" type="xs:decimal"/>
                                                        </xs:complexType>
                                                      </xs:element>
                                                      <xs:element name="Intentional">
                                                        <xs:complexType>
                                                          <xs:sequence>
                                                            <xs:element name="_0.5_m_s" type="xs:string"/>
                                                            <xs:element name="_0.6_m_s" type="xs:string"/>
                                                            <xs:element name="_0.7_m_s" type="xs:string"/>
                                                          </xs:sequence>
                                                          <xs:attribute name="Score" type="xs:decimal"/>
                                                        </xs:complexType>
                                                      </xs:element>
                                                    </xs:sequence>
                                                  </xs:complexType>
                                                </xs:element>
                                                <xs:element name="VUT_72_EMT_80">
                                                  <xs:complexType>
                                                    <xs:sequence>
                                                      <xs:element name="Unintentional">
                                                        <xs:complexType>
                                                          <xs:sequence>
                                                            <xs:element name="_0.2_m_s" type="xs:string"/>
                                                            <xs:element name="_0.3_m_s" type="xs:string"/>
                                                            <xs:element name="_0.4_m_s" type="xs:string"/>
                                                            <xs:element name="_0.5_m_s" type="xs:string"/>
                                                            <xs:element name="_0.6_m_s" type="xs:string"/>
                                                          </xs:sequence>
                                                          <xs:attribute name="Score" type="xs:decimal"/>
                                                        </xs:complexType>
                                                      </xs:element>
                                                      <xs:element name="Intentional">
                                                        <xs:complexType>
                                                          <xs:sequence>
                                                            <xs:element name="_0.5_m_s" type="xs:string"/>
                                                            <xs:element name="_0.6_m_s" type="xs:string"/>
                                                            <xs:element name="_0.7_m_s" type="xs:string"/>
                                                          </xs:sequence>
                                                          <xs:attribute name="Score" type="xs:decimal"/>
                                                        </xs:complexType>
                                                      </xs:element>
                                                    </xs:sequence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</xs:sequence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SUMMARY">
                                <xs:complexType>
                                  <xs:sequence>
                                    <xs:element name="CMRs_50">
                                      <xs:complexType>
                                        <xs:attribute name="AEB" type="xs:decimal"/>
                                        <xs:attribute name="FCW" type="xs:decimal"/>
                                      </xs:complexType>
                                    </xs:element>
                                    <xs:element name="CMRb_25_12">
                                      <xs:complexType>
                                        <xs:attribute name="AEB" type="xs:decimal"/>
                                        <xs:attribute name="FCW" type="xs:decimal"/>
                                      </xs:complexType>
                                    </xs:element>
                                    <xs:element name="CMRb_25_40">
                                      <xs:complexType>
                                        <xs:attribute name="AEB" type="xs:decimal"/>
                                        <xs:attribute name="FCW" type="xs:decimal"/>
                                      </xs:complexType>
                                    </xs:element>
                                    <xs:element name="CMFtap" type="xs:decimal"/>
                                    <xs:element name="CMoncoming" type="xs:decimal"/>
                                    <xs:element name="CMovertaking" type="xs:decimal"/>
                                  </xs:sequence>
                                </xs:complexType>
                              </xs:element>
                            </xs:sequence>
                            <xs:attribute name="System_Name" type="xs:string"/>
                            <xs:attribute name="Functionality" type="xs:string"/>
                            <xs:attribute name="Min_Speed" type="xs:decimal"/>
                            <xs:attribute name="Max_Speed" type="xs:decimal"/>
                            <xs:attribute name="Total_Score" type="xs:decimal"/>
                          </xs:complexType>
                        </xs:element>
                      </xs:sequence>
                      <xs:attribute name="AEB_VRU_Score" type="ex_dec"/>
                      <xs:attribute name="AEB_VRU_Rounded_Score" type="ex_dec"/>
                      <xs:attribute name="AEB_VRU_Colour" type="xs:string"/>
                      <xs:attribute name="Additional_Information" type="xs:string"/>
                      <xs:attribute name="Functionality" type="xs:string"/>
                    </xs:complexType>
                  </xs:element>
                </xs:sequence>
              </xs:complexType>
            </xs:element>
            <xs:element name="SA">
              <xs:complexType>
                <xs:sequence>
                  <xs:element name="SA_SAS" minOccurs="0">
                    <xs:complexType>
                      <xs:sequence>
                        <xs:element name="Speed_Limit_Information_Function" minOccurs="0">
                          <xs:complexType>
                            <xs:sequence>
                              <xs:element name="General_Requirements">
                                <xs:complexType>
                                  <xs:complexContent>
                                    <xs:extension base="String_and_Value">
                                      <xs:sequence>
                                        <xs:element name="Type_of_system" type="xs:string"/>
                                        <xs:element name="GSR_Compliant" type="xs:string"/>
                                        <xs:element name="Warning_Default_ON" type="xs:string"/>
                                        <xs:element name="Warning_in_direct_view" type="xs:string"/>
                                        <xs:element name="Type_of_Warning">
                                          <xs:complexType>
                                            <xs:simpleContent>
                                              <xs:extension base="xs:string">
                                                <xs:attribute name="Type" type="xs:string"/>
                                                <xs:attribute name="Pass_Fail" type="xs:string"/>
                                              </xs:extension>
                                            </xs:simpleContent>
                                          </xs:complexType>
                                        </xs:element>
                                      </xs:sequence>
                                    </xs:extension>
                                  </xs:complexContent>
                                </xs:complexType>
                              </xs:element>
                              <xs:element name="Advanced_Functions">
                                <xs:complexType>
                                  <xs:sequence>
                                    <xs:element name="Conditional_Speed_Limits">
                                      <xs:complexType>
                                        <xs:sequence>
                                          <xs:element name="Rain_Wetness" type="String_and_Value"/>
                                          <xs:element name="Snow_Icy" type="String_and_Value"/>
                                          <xs:element name="Time" type="String_and_Value"/>
                                          <xs:element name="Distance_For_In" type="String_and_Value"/>
                                          <xs:element name="Arrows" type="String_and_Value"/>
                                          <xs:element name="Vehicle_Categories" type="String_and_Value"/>
                                          <xs:element name="Implicit_Highway_Motorway" type="String_and_Value"/>
                                          <xs:element name="Implicit_City_Entry_Exit" type="String_and_Value"/>
                                          <xs:element name="Implicit_Residential_Zones" type="String_and_Value"/>
                                          <xs:element name="Dynamic_Speed_Limits" type="String_and_Value"/>
                                        </xs:sequence>
                                        <xs:attribute name="Total" type="xs:decimal"/>
                                      </xs:complexType>
                                    </xs:element>
                                    <xs:element name="Road_Features">
                                      <xs:complexType>
                                        <xs:sequence>
                                          <xs:element name="Curves" type="String_and_Value"/>
                                          <xs:element name="Roundabouts" type="String_and_Value"/>
                                          <xs:element name="Junctions" type="String_and_Value"/>
                                          <xs:element name="Traffic_Lights" type="String_and_Value"/>
                                          <xs:element name="Stop_Signs" type="String_and_Value"/>
                                          <xs:element name="Yield_Signs" type="String_and_Value"/>
                                          <xs:element name="No-Entry" type="String_and_Value"/>
                                        </xs:sequence>
                                        <xs:attribute name="Total" type="xs:decimal"/>
                                      </xs:complexType>
                                    </xs:element>
                                    <xs:element name="Local_Hazards">
                                      <xs:complexType>
                                        <xs:sequence>
                                          <xs:element name="Traffic_Jams" type="String_and_Value"/>
                                          <xs:element name="Construction_Zones" type="String_and_Value"/>
                                          <xs:element name="Accident_Ahead" type="String_and_Value"/>
                                          <xs:element name="Wrong_Way_Driver" type="String_and_Value"/>
                                          <xs:element name="Stopped_Vehicle" type="String_and_Value"/>
                                          <xs:element name="Items_in_Road" type="String_and_Value"/>
                                          <xs:element name="Poor_Conditions" type="String_and_Value"/>
                                          <xs:element name="Poor_Weather" type="String_and_Value"/>
                                          <xs:element name="Emergency_Vehicle" type="String_and_Value"/>
                                        </xs:sequence>
                                        <xs:attribute name="Total" type="xs:decimal"/>
                                      </xs:complexType>
                                    </xs:element>
                                    <xs:element name="System_Updates">
                                      <xs:complexType>
                                        <xs:sequence>
                                          <xs:element name="System_Updates" type="String_and_Value"/>
                                        </xs:sequence>
                                        <xs:attribute name="Total" type="xs:decimal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</xs:sequence>
                            <xs:attribute name="Score" type="ex_dec"/>
                            <xs:attribute name="SLIF_Description" type="xs:string"/>
                          </xs:complexType>
                        </xs:element>
                        <xs:element name="Speed_Limitation_Function" minOccurs="0">
                          <xs:complexType>
                            <xs:sequence>
                              <xs:element name="Setting_Vadj" type="xs:string"/>
                              <xs:element name="Test_50k">
                                <xs:complexType>
                                  <xs:sequence>
                                    <xs:element name="Vstab">
                                      <xs:complexType>
                                        <xs:attribute name="Value" type="ex_dec"/>
                                        <xs:attribute name="Pass_Fail" type="xs:string"/>
                                      </xs:complexType>
                                    </xs:element>
                                    <xs:element name="Max_Variation">
                                      <xs:complexType>
                                        <xs:attribute name="Value" type="ex_dec"/>
                                        <xs:attribute name="Pass_Fail" type="xs:string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Test_80k">
                                <xs:complexType>
                                  <xs:sequence>
                                    <xs:element name="Vstab">
                                      <xs:complexType>
                                        <xs:attribute name="Value" type="ex_dec"/>
                                        <xs:attribute name="Pass_Fail" type="xs:string"/>
                                      </xs:complexType>
                                    </xs:element>
                                    <xs:element name="Max_Variation">
                                      <xs:complexType>
                                        <xs:attribute name="Value" type="ex_dec"/>
                                        <xs:attribute name="Pass_Fail" type="xs:string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Test_120k">
                                <xs:complexType>
                                  <xs:sequence>
                                    <xs:element name="Vstab">
                                      <xs:complexType>
                                        <xs:attribute name="Value" type="ex_dec"/>
                                        <xs:attribute name="Pass_Fail" type="xs:string"/>
                                      </xs:complexType>
                                    </xs:element>
                                    <xs:element name="Max_Variation">
                                      <xs:complexType>
                                        <xs:attribute name="Value" type="ex_dec"/>
                                        <xs:attribute name="Pass_Fail" type="xs:string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</xs:sequence>
                            <xs:attribute name="Points" type="ex_dec"/>
                            <xs:attribute name="Speed_Limit_Description" type="xs:string"/>
                          </xs:complexType>
                        </xs:element>
                        <xs:element name="SUMMARY" minOccurs="0">
                          <xs:complexType>
                            <xs:attribute name="SLIF" type="ex_dec"/>
                            <xs:attribute name="Warning" type="ex_dec"/>
                            <xs:attribute name="Speed_Limitation" type="ex_dec"/>
                          </xs:complexType>
                        </xs:element>
                      </xs:sequence>
                      <xs:attribute name="System_Name" type="xs:string"/>
                      <xs:attribute name="TOTAL_SAS" type="ex_dec"/>
                      <xs:attribute name="ROUNDED_TOTAL_SAS" type="ex_dec"/>
                      <xs:attribute name="System_Type"/>
                      <xs:attribute name="Active_Braking"/>
                      <xs:attribute name="Colour" type="xs:string"/>
                      <xs:attribute name="MAX_POINTS" type="xs:integer"/>
                    </xs:complexType>
                  </xs:element>
                  <xs:element name="LSS">
                    <xs:complexType>
                      <xs:sequence>
                        <xs:element name="System_Details">
                          <xs:complexType>
                            <xs:attribute name="System_Name" type="xs:string"/>
                            <xs:attribute name="Default_On" type="xs:string"/>
                            <xs:attribute name="Functionality" type="xs:string"/>
                            <xs:attribute name="Min_Speed" type="xs:decimal"/>
                            <xs:attribute name="Max_Speed" type="xs:decimal"/>
                          </xs:complexType>
                        </xs:element>
                        <xs:element name="Prerequisites">
                          <xs:complexType>
                            <xs:attribute name="Meets_13H" type="xs:string"/>
                            <xs:attribute name="Pass_Fail" type="xs:string"/>
                          </xs:complexType>
                        </xs:element>
                        <xs:element name="ELK">
                          <xs:complexType>
                            <xs:sequence>
                              <xs:element name="ELK_Road_Edge">
                                <xs:complexType>
                                  <xs:sequence>
                                    <xs:element name="_0.2ms-1">
                                      <xs:complexType>
                                        <xs:attribute name="No_line" type="xs:decimal"/>
                                        <xs:attribute name="Centre_Dashed_line" type="xs:decimal"/>
                                      </xs:complexType>
                                    </xs:element>
                                    <xs:element name="_0.3ms-1">
                                      <xs:complexType>
                                        <xs:attribute name="No_line" type="xs:decimal"/>
                                        <xs:attribute name="Centre_Dashed_line" type="xs:decimal"/>
                                      </xs:complexType>
                                    </xs:element>
                                    <xs:element name="_0.4ms-1">
                                      <xs:complexType>
                                        <xs:attribute name="No_line" type="xs:decimal"/>
                                        <xs:attribute name="Centre_Dashed_line" type="xs:decimal"/>
                                      </xs:complexType>
                                    </xs:element>
                                    <xs:element name="_0.5ms-1">
                                      <xs:complexType>
                                        <xs:attribute name="No_line" type="xs:decimal"/>
                                        <xs:attribute name="Centre_Dashed_line" type="xs:decimal"/>
                                      </xs:complexType>
                                    </xs:element>
                                    <xs:element name="_0.6ms-1">
                                      <xs:complexType>
                                        <xs:attribute name="No_line" type="xs:decimal"/>
                                        <xs:attribute name="Centre_Dashed_line" type="xs:decimal"/>
                                      </xs:complexType>
                                    </xs:element>
                                    <xs:element name="_Scores">
                                      <xs:complexType>
                                        <xs:attribute name="No_line" type="xs:decimal"/>
                                        <xs:attribute name="Centre_line" type="xs:decimal"/>
                                        <xs:attribute name="Centre_Dashed_line" type="xs:decimal"/>
                                        <xs:attribute name="Centre_Solid_line" type="xs:decimal"/>
                                      </xs:complexType>
                                    </xs:element>
                                  </xs:sequence>
                                  <xs:attribute name="Result" type="xs:decimal"/>
                                  <xs:attribute name="Colour" type="xs:string"/>
                                </xs:complexType>
                              </xs:element>
                              <xs:element name="ELK_Solid_Line">
                                <xs:complexType>
                                  <xs:sequence>
                                    <xs:element name="_0.2ms-1">
                                      <xs:complexType>
                                        <xs:attribute name="Driver" type="xs:decimal"/>
                                        <xs:attribute name="Passenger" type="xs:decimal"/>
                                      </xs:complexType>
                                    </xs:element>
                                    <xs:element name="_0.3ms-1">
                                      <xs:complexType>
                                        <xs:attribute name="Driver" type="xs:decimal"/>
                                        <xs:attribute name="Passenger" type="xs:decimal"/>
                                      </xs:complexType>
                                    </xs:element>
                                    <xs:element name="_0.4ms-1">
                                      <xs:complexType>
                                        <xs:attribute name="Driver" type="xs:decimal"/>
                                        <xs:attribute name="Passenger" type="xs:decimal"/>
                                      </xs:complexType>
                                    </xs:element>
                                    <xs:element name="_0.5ms-1">
                                      <xs:complexType>
                                        <xs:attribute name="Driver" type="xs:decimal"/>
                                        <xs:attribute name="Passenger" type="xs:decimal"/>
                                      </xs:complexType>
                                    </xs:element>
                                    <xs:element name="_0.6ms-1">
                                      <xs:complexType>
                                        <xs:attribute name="Driver" type="xs:decimal"/>
                                        <xs:attribute name="Passenger" type="xs:decimal"/>
                                      </xs:complexType>
                                    </xs:element>
                                  </xs:sequence>
                                  <xs:attribute name="Result" type="xs:decimal"/>
                                  <xs:attribute name="Colour" type="xs:string"/>
                                </xs:complexType>
                              </xs:element>
                              <xs:element name="ELK_Oncoming">
                                <xs:complexType>
                                  <xs:sequence>
                                    <xs:element name="_0.2ms-1" type="xs:string"/>
                                    <xs:element name="_0.3ms-1" type="xs:string"/>
                                    <xs:element name="_0.4ms-1" type="xs:string"/>
                                    <xs:element name="_0.5ms-1" type="xs:string"/>
                                    <xs:element name="_0.6ms-1" type="xs:string"/>
                                  </xs:sequence>
                                  <xs:attribute name="Result" type="xs:decimal"/>
                                  <xs:attribute name="Colour" type="xs:string"/>
                                </xs:complexType>
                              </xs:element>
                              <xs:element name="ELK_Overtaking">
                                <xs:complexType>
                                  <xs:sequence>
                                    <xs:element name="GVT_72">
                                      <xs:complexType>
                                        <xs:sequence>
                                          <xs:element name="_0.2ms-1">
                                            <xs:complexType>
                                              <xs:attribute name="Unintentional" type="xs:string"/>
                                            </xs:complexType>
                                          </xs:element>
                                          <xs:element name="_0.3ms-1">
                                            <xs:complexType>
                                              <xs:attribute name="Unintentional" type="xs:string"/>
                                            </xs:complexType>
                                          </xs:element>
                                          <xs:element name="_0.4ms-1">
                                            <xs:complexType>
                                              <xs:attribute name="Unintentional" type="xs:string"/>
                                            </xs:complexType>
                                          </xs:element>
                                          <xs:element name="_0.5ms-1">
                                            <xs:complexType>
                                              <xs:attribute name="Unintentional" type="xs:string"/>
                                              <xs:attribute name="Intentional" type="xs:string"/>
                                            </xs:complexType>
                                          </xs:element>
                                          <xs:element name="_0.6ms-1">
                                            <xs:complexType>
                                              <xs:attribute name="Unintentional" type="xs:string"/>
                                              <xs:attribute name="Intentional" type="xs:string"/>
                                            </xs:complexType>
                                          </xs:element>
                                          <xs:element name="_0.7ms-1">
                                            <xs:complexType>
                                              <xs:attribute name="Intentional" type="xs:string"/>
                                            </xs:complexType>
                                          </xs:element>
                                        </xs:sequence>
                                      </xs:complexType>
                                    </xs:element>
                                    <xs:element name="GVT_80">
                                      <xs:complexType>
                                        <xs:sequence>
                                          <xs:element name="_0.2ms-1">
                                            <xs:complexType>
                                              <xs:attribute name="Unintentional" type="xs:string"/>
                                            </xs:complexType>
                                          </xs:element>
                                          <xs:element name="_0.3ms-1">
                                            <xs:complexType>
                                              <xs:attribute name="Unintentional" type="xs:string"/>
                                            </xs:complexType>
                                          </xs:element>
                                          <xs:element name="_0.4ms-1">
                                            <xs:complexType>
                                              <xs:attribute name="Unintentional" type="xs:string"/>
                                            </xs:complexType>
                                          </xs:element>
                                          <xs:element name="_0.5ms-1">
                                            <xs:complexType>
                                              <xs:attribute name="Unintentional" type="xs:string"/>
                                              <xs:attribute name="Intentional" type="xs:string"/>
                                            </xs:complexType>
                                          </xs:element>
                                          <xs:element name="_0.6ms-1">
                                            <xs:complexType>
                                              <xs:attribute name="Unintentional" type="xs:string"/>
                                              <xs:attribute name="Intentional" type="xs:string"/>
                                            </xs:complexType>
                                          </xs:element>
                                          <xs:element name="_0.7ms-1">
                                            <xs:complexType>
                                              <xs:attribute name="Intentional" type="xs:string"/>
                                            </xs:complexType>
                                          </xs:element>
                                        </xs:sequence>
                                      </xs:complexType>
                                    </xs:element>
                                  </xs:sequence>
                                  <xs:attribute name="Result" type="xs:decimal"/>
                                  <xs:attribute name="Colour" type="xs:string"/>
                                </xs:complexType>
                              </xs:element>
                            </xs:sequence>
                            <xs:attribute name="ELK_Result" type="xs:decimal"/>
                            <xs:attribute name="ELK_Rounded_Result" type="xs:decimal"/>
                            <xs:attribute name="Colour" type="xs:string"/>
                          </xs:complexType>
                        </xs:element>
                        <xs:element name="LKA">
                          <xs:complexType>
                            <xs:sequence>
                              <xs:element name="Dashed_Line">
                                <xs:complexType>
                                  <xs:sequence>
                                    <xs:element name="_0.2ms-1">
                                      <xs:complexType>
                                        <xs:attribute name="Driver" type="xs:decimal"/>
                                        <xs:attribute name="Passenger" type="xs:decimal"/>
                                      </xs:complexType>
                                    </xs:element>
                                    <xs:element name="_0.3ms-1">
                                      <xs:complexType>
                                        <xs:attribute name="Driver" type="xs:decimal"/>
                                        <xs:attribute name="Passenger" type="xs:decimal"/>
                                      </xs:complexType>
                                    </xs:element>
                                    <xs:element name="_0.4ms-1">
                                      <xs:complexType>
                                        <xs:attribute name="Driver" type="xs:decimal"/>
                                        <xs:attribute name="Passenger" type="xs:decimal"/>
                                      </xs:complexType>
                                    </xs:element>
                                    <xs:element name="_0.5ms-1">
                                      <xs:complexType>
                                        <xs:attribute name="Driver" type="xs:decimal"/>
                                        <xs:attribute name="Passenger" type="xs:decimal"/>
                                      </xs:complexType>
                                    </xs:element>
                                    <xs:element name="_0.6ms-1">
                                      <xs:complexType>
                                        <xs:attribute name="Driver" type="xs:decimal"/>
                                        <xs:attribute name="Passenger" type="xs:decimal"/>
                                      </xs:complexType>
                                    </xs:element>
                                  </xs:sequence>
                                  <xs:attribute name="Result" type="xs:decimal"/>
                                </xs:complexType>
                              </xs:element>
                              <xs:element name="Solid_Line">
                                <xs:complexType>
                                  <xs:sequence>
                                    <xs:element name="_0.2ms-1">
                                      <xs:complexType>
                                        <xs:attribute name="Driver" type="xs:decimal"/>
                                        <xs:attribute name="Passenger" type="xs:decimal"/>
                                      </xs:complexType>
                                    </xs:element>
                                    <xs:element name="_0.3ms-1">
                                      <xs:complexType>
                                        <xs:attribute name="Driver" type="xs:decimal"/>
                                        <xs:attribute name="Passenger" type="xs:decimal"/>
                                      </xs:complexType>
                                    </xs:element>
                                    <xs:element name="_0.4ms-1">
                                      <xs:complexType>
                                        <xs:attribute name="Driver" type="xs:decimal"/>
                                        <xs:attribute name="Passenger" type="xs:decimal"/>
                                      </xs:complexType>
                                    </xs:element>
                                    <xs:element name="_0.5ms-1">
                                      <xs:complexType>
                                        <xs:attribute name="Driver" type="xs:decimal"/>
                                        <xs:attribute name="Passenger" type="xs:decimal"/>
                                      </xs:complexType>
                                    </xs:element>
                                    <xs:element name="_0.6ms-1">
                                      <xs:complexType>
                                        <xs:attribute name="Driver" type="xs:decimal"/>
                                        <xs:attribute name="Passenger" type="xs:decimal"/>
                                      </xs:complexType>
                                    </xs:element>
                                  </xs:sequence>
                                  <xs:attribute name="Result" type="xs:decimal"/>
                                </xs:complexType>
                              </xs:element>
                            </xs:sequence>
                            <xs:attribute name="LKA_Result" type="xs:decimal"/>
                            <xs:attribute name="LKA_Rounded_Result" type="xs:decimal"/>
                            <xs:attribute name="Colour" type="xs:string"/>
                          </xs:complexType>
                        </xs:element>
                        <xs:element name="HMI">
                          <xs:complexType>
                            <xs:sequence>
                              <xs:element name="Lane_Departure_Warning" type="xs:string"/>
                              <xs:element name="Blind_Spot_Monitoring" type="xs:string"/>
                            </xs:sequence>
                            <xs:attribute name="Result" type="xs:decimal"/>
                            <xs:attribute name="Rounded_Result" type="xs:decimal"/>
                            <xs:attribute name="Colour" type="xs:string"/>
                          </xs:complexType>
                        </xs:element>
                      </xs:sequence>
                      <xs:attribute name="Total" type="xs:decimal"/>
                      <xs:attribute name="Rounded_Total" type="xs:decimal"/>
                      <xs:attribute name="Colour" type="xs:string"/>
                      <xs:attribute name="MAX_POINTS" type="xs:integer"/>
                    </xs:complexType>
                  </xs:element>
                  <xs:element name="SA_AEB_Car_to_Car">
                    <xs:complexType>
                      <xs:sequence>
                        <xs:element name="WEBSITE">
                          <xs:complexType>
                            <xs:sequence>
                              <xs:element name="AEB_Car_Car">
                                <xs:complexType>
                                  <xs:sequence>
                                    <xs:element name="Approaching_car_crossing_juntion">
                                      <xs:complexType>
                                        <xs:attribute name="Day_AEB_Score" type="ex_dec"/>
                                        <xs:attribute name="Day_AEB_Colour" type="xs:string"/>
                                        <xs:attribute name="Night_FCW_Score" type="ex_dec"/>
                                        <xs:attribute name="Night_FCW_Colour" type="xs:string"/>
                                        <xs:attribute name="Comment" type="xs:string"/>
                                        <xs:attribute name="Max_Points" type="xs:decimal"/>
                                      </xs:complexType>
                                    </xs:element>
                                    <xs:element name="Approaching_car_head_on">
                                      <xs:complexType>
                                        <xs:attribute name="Day_AEB_Score" type="ex_dec"/>
                                        <xs:attribute name="Day_AEB_Colour" type="xs:string"/>
                                        <xs:attribute name="Night_FCW_Score" type="ex_dec"/>
                                        <xs:attribute name="Night_FCW_Colour" type="xs:string"/>
                                        <xs:attribute name="Comment" type="xs:string"/>
                                        <xs:attribute name="Max_Points" type="xs:decimal"/>
                                      </xs:complexType>
                                    </xs:element>
                                    <xs:element name="Turning_across_path">
                                      <xs:complexType>
                                        <xs:attribute name="Day_AEB_Score" type="ex_dec"/>
                                        <xs:attribute name="Day_AEB_Colour" type="xs:string"/>
                                        <xs:attribute name="Night_FCW_Score" type="ex_dec"/>
                                        <xs:attribute name="Night_FCW_Colour" type="xs:string"/>
                                        <xs:attribute name="Comment" type="xs:string"/>
                                        <xs:attribute name="Max_Points" type="xs:decimal"/>
                                      </xs:complexType>
                                    </xs:element>
                                    <xs:element name="Approaching_stationary_car">
                                      <xs:complexType>
                                        <xs:attribute name="Day_AEB_Score" type="ex_dec"/>
                                        <xs:attribute name="Day_AEB_Colour" type="xs:string"/>
                                        <xs:attribute name="Night_FCW_Score" type="ex_dec"/>
                                        <xs:attribute name="Night_FCW_Colour" type="xs:string"/>
                                        <xs:attribute name="Comment" type="xs:string"/>
                                        <xs:attribute name="Max_Points" type="xs:decimal"/>
                                      </xs:complexType>
                                    </xs:element>
                                    <xs:element name="Approach_slower_moving_car">
                                      <xs:complexType>
                                        <xs:attribute name="Day_AEB_Score" type="ex_dec"/>
                                        <xs:attribute name="Day_AEB_Colour" type="xs:string"/>
                                        <xs:attribute name="Night_FCW_Score" type="ex_dec"/>
                                        <xs:attribute name="Night_FCW_Colour" type="xs:string"/>
                                        <xs:attribute name="Comment" type="xs:string"/>
                                        <xs:attribute name="Max_Points" type="xs:decimal"/>
                                      </xs:complexType>
                                    </xs:element>
                                    <xs:element name="Approach_braking_car">
                                      <xs:complexType>
                                        <xs:attribute name="Day_AEB_Score" type="ex_dec"/>
                                        <xs:attribute name="Day_AEB_Colour" type="xs:string"/>
                                        <xs:attribute name="Night_FCW_Score" type="ex_dec"/>
                                        <xs:attribute name="Night_FCW_Colour" type="xs:string"/>
                                        <xs:attribute name="Comment" type="xs:string"/>
                                        <xs:attribute name="Max_Points" type="xs:decimal"/>
                                      </xs:complexType>
                                    </xs:element>
                                  </xs:sequence>
                                  <xs:attribute name="Day_AEB_Score" type="ex_dec"/>
                                  <xs:attribute name="Day_AEB_Colour" type="xs:string"/>
                                  <xs:attribute name="Night_FCW_Score" type="ex_dec"/>
                                  <xs:attribute name="Night_FCW_Colour" type="xs:string"/>
                                  <xs:attribute name="Comment" type="xs:string"/>
                                  <xs:attribute name="Max_Points" type="xs:decimal"/>
                                </xs:complexType>
                              </xs:element>
                            </xs:sequence>
                          </xs:complexType>
                        </xs:element>
                        <xs:element name="System_Details">
                          <xs:complexType>
                            <xs:sequence>
                              <xs:element name="System_Name" type="xs:string"/>
                              <xs:element name="Functionality">
                                <xs:complexType>
                                  <xs:attribute name="AEB"/>
                                  <xs:attribute name="FCW"/>
                                </xs:complexType>
                              </xs:element>
                              <xs:element name="Speed_Min">
                                <xs:complexType>
                                  <xs:attribute name="AEB" type="ex_int"/>
                                  <xs:attribute name="FCW" type="ex_int"/>
                                </xs:complexType>
                              </xs:element>
                              <xs:element name="Speed_Max">
                                <xs:complexType>
                                  <xs:attribute name="AEB" type="ex_int"/>
                                  <xs:attribute name="FCW" type="ex_int"/>
                                </xs:complexType>
                              </xs:element>
                              <xs:element name="Tech_Used" type="xs:string"/>
                              <xs:element name="Type" type="xs:string"/>
                            </xs:sequence>
                          </xs:complexType>
                        </xs:element>
                        <xs:element name="Prerequisites">
                          <xs:complexType>
                            <xs:sequence>
                              <xs:element name="Default_On">
                                <xs:complexType>
                                  <xs:simpleContent>
                                    <xs:extension base="xs:string">
                                      <xs:attribute name="AEB"/>
                                      <xs:attribute name="FCW"/>
                                    </xs:extension>
                                  </xs:simpleContent>
                                </xs:complexType>
                              </xs:element>
                              <xs:element name="Loud_Clear_FCW">
                                <xs:complexType>
                                  <xs:simpleContent>
                                    <xs:extension base="xs:string">
                                      <xs:attribute name="AEB"/>
                                      <xs:attribute name="FCW"/>
                                    </xs:extension>
                                  </xs:simpleContent>
                                </xs:complexType>
                              </xs:element>
                              <xs:element name="Off_Below_130">
                                <xs:complexType>
                                  <xs:simpleContent>
                                    <xs:extension base="xs:string">
                                      <xs:attribute name="AEB"/>
                                      <xs:attribute name="FCW"/>
                                    </xs:extension>
                                  </xs:simpleContent>
                                </xs:complexType>
                              </xs:element>
                            </xs:sequence>
                            <xs:attribute name="Result"/>
                          </xs:complexType>
                        </xs:element>
                        <xs:element name="CCRs">
                          <xs:complexType>
                            <xs:sequence>
                              <xs:element name="AEB_Prediction">
                                <xs:complexType>
                                  <xs:sequence>
                                    <xs:element name="Speed_10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  <xs:element name="Speed_15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  <xs:element name="Speed_20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  <xs:element name="Speed_25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  <xs:element name="Speed_30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  <xs:element name="Speed_35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  <xs:element name="Speed_40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  <xs:element name="Speed_45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  <xs:element name="Speed_50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</xs:sequence>
                                  <xs:attribute name="Predicted_Score" type="ex_dec"/>
                                </xs:complexType>
                              </xs:element>
                              <xs:element name="FCW_Prediction">
                                <xs:complexType>
                                  <xs:sequence>
                                    <xs:element name="Speed_55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  <xs:element name="Speed_60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  <xs:element name="Speed_65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  <xs:element name="Speed_70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  <xs:element name="Speed_75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  <xs:element name="Speed_80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</xs:sequence>
                                  <xs:attribute name="Predicted_Score" type="ex_dec"/>
                                </xs:complexType>
                              </xs:element>
                            </xs:sequence>
                            <xs:attribute name="Predicted_Score" type="xs:decimal"/>
                            <xs:attribute name="AEB_Colour_LHS_Overlap" type="xs:string"/>
                            <xs:attribute name="AEB_Colour_Centreline" type="xs:string"/>
                            <xs:attribute name="AEB_Colour_RHS_Overlap" type="xs:string"/>
                            <xs:attribute name="FCW_Colour_LHS_Overlap" type="xs:string"/>
                            <xs:attribute name="FCW_Colour_Centreline" type="xs:string"/>
                            <xs:attribute name="FCW_Colour_RHS_Overlap" type="xs:string"/>
                          </xs:complexType>
                        </xs:element>
                        <xs:element name="CCRm">
                          <xs:complexType>
                            <xs:sequence>
                              <xs:element name="AEB_Prediction">
                                <xs:complexType>
                                  <xs:sequence>
                                    <xs:element name="Speed_30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  <xs:element name="Speed_35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  <xs:element name="Speed_40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  <xs:element name="Speed_45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  <xs:element name="Speed_50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  <xs:element name="Speed_55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  <xs:element name="Speed_60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  <xs:element name="Speed_65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  <xs:element name="Speed_70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  <xs:element name="Speed_75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  <xs:element name="Speed_80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  <xs:element name="_130_vs_70">
                                      <xs:complexType>
                                        <xs:attribute name="Overlap-50" type="xs:string"/>
                                        <xs:attribute name="Overlap-25" type="xs:string"/>
                                        <xs:attribute name="Overlap0" type="xs:string"/>
                                        <xs:attribute name="Overlap25" type="xs:string"/>
                                        <xs:attribute name="Overlap50" type="xs:string"/>
                                      </xs:complexType>
                                    </xs:element>
                                  </xs:sequence>
                                  <xs:attribute name="Predicted_Score" type="ex_dec"/>
                                </xs:complexType>
                              </xs:element>
                            </xs:sequence>
                            <xs:attribute name="Predicted_Score" type="xs:decimal"/>
                            <xs:attribute name="AEB_Colour_LHS_Overlap" type="xs:string"/>
                            <xs:attribute name="AEB_Colour_Centreline" type="xs:string"/>
                            <xs:attribute name="AEB_Colour_RHS_Overlap" type="xs:string"/>
                          </xs:complexType>
                        </xs:element>
                        <xs:element name="CCRb">
                          <xs:complexType>
                            <xs:sequence>
                              <xs:element name="AEB">
                                <xs:complexType>
                                  <xs:sequence>
                                    <xs:element name="_12m_2ms-2">
                                      <xs:complexType>
                                        <xs:attribute name="Colour" type="xs:string"/>
                                        <xs:attribute name="Points" type="xs:decimal"/>
                                      </xs:complexType>
                                    </xs:element>
                                    <xs:element name="_12m_6ms-2">
                                      <xs:complexType>
                                        <xs:attribute name="Colour" type="xs:string"/>
                                        <xs:attribute name="Points" type="xs:decimal"/>
                                      </xs:complexType>
                                    </xs:element>
                                    <xs:element name="_40m_2ms-2">
                                      <xs:complexType>
                                        <xs:attribute name="Colour" type="xs:string"/>
                                        <xs:attribute name="Points" type="xs:decimal"/>
                                      </xs:complexType>
                                    </xs:element>
                                    <xs:element name="_40m_6ms-2">
                                      <xs:complexType>
                                        <xs:attribute name="Colour" type="xs:string"/>
                                        <xs:attribute name="Points" type="xs:decimal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</xs:sequence>
                            <xs:attribute name="Result" type="ex_dec"/>
                            <xs:attribute name="AEB_Colour_Centreline" type="xs:string"/>
                          </xs:complexType>
                        </xs:element>
                        <xs:element name="Verification">
                          <xs:complexType>
                            <xs:sequence>
                              <xs:element name="AEB">
                                <xs:complexType>
                                  <xs:sequence>
                                    <xs:element name="TestPoint1">
                                      <xs:complexType>
                                        <xs:attribute name="TestPoint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2">
                                      <xs:complexType>
                                        <xs:attribute name="TestPoint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3">
                                      <xs:complexType>
                                        <xs:attribute name="TestPoint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4">
                                      <xs:complexType>
                                        <xs:attribute name="TestPoint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5">
                                      <xs:complexType>
                                        <xs:attribute name="TestPoint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6">
                                      <xs:complexType>
                                        <xs:attribute name="TestPoint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7">
                                      <xs:complexType>
                                        <xs:attribute name="TestPoint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8">
                                      <xs:complexType>
                                        <xs:attribute name="TestPoint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9">
                                      <xs:complexType>
                                        <xs:attribute name="TestPoint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10">
                                      <xs:complexType>
                                        <xs:attribute name="TestPoint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11">
                                      <xs:complexType>
                                        <xs:attribute name="TestPoint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12">
                                      <xs:complexType>
                                        <xs:attribute name="TestPoint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13">
                                      <xs:complexType>
                                        <xs:attribute name="TestPoint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14">
                                      <xs:complexType>
                                        <xs:attribute name="TestPoint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15">
                                      <xs:complexType>
                                        <xs:attribute name="TestPoint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16">
                                      <xs:complexType>
                                        <xs:attribute name="TestPoint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17">
                                      <xs:complexType>
                                        <xs:attribute name="TestPoint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18">
                                      <xs:complexType>
                                        <xs:attribute name="TestPoint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19">
                                      <xs:complexType>
                                        <xs:attribute name="TestPoint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20">
                                      <xs:complexType>
                                        <xs:attribute name="TestPoint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</xs:sequence>
                                  <xs:attribute name="Correction_Factor" type="ex_dec"/>
                                </xs:complexType>
                              </xs:element>
                              <xs:element name="FCW">
                                <xs:complexType>
                                  <xs:sequence>
                                    <xs:element name="TestPoint1">
                                      <xs:complexType>
                                        <xs:attribute name="TestPoint" type="xs:string"/>
                                        <xs:attribute name="ESS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2">
                                      <xs:complexType>
                                        <xs:attribute name="TestPoint" type="xs:string"/>
                                        <xs:attribute name="ESS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3">
                                      <xs:complexType>
                                        <xs:attribute name="TestPoint" type="xs:string"/>
                                        <xs:attribute name="ESS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4">
                                      <xs:complexType>
                                        <xs:attribute name="TestPoint" type="xs:string"/>
                                        <xs:attribute name="ESS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5">
                                      <xs:complexType>
                                        <xs:attribute name="TestPoint" type="xs:string"/>
                                        <xs:attribute name="ESS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6">
                                      <xs:complexType>
                                        <xs:attribute name="TestPoint" type="xs:string"/>
                                        <xs:attribute name="ESS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7">
                                      <xs:complexType>
                                        <xs:attribute name="TestPoint" type="xs:string"/>
                                        <xs:attribute name="ESS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8">
                                      <xs:complexType>
                                        <xs:attribute name="TestPoint" type="xs:string"/>
                                        <xs:attribute name="ESS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9">
                                      <xs:complexType>
                                        <xs:attribute name="TestPoint" type="xs:string"/>
                                        <xs:attribute name="ESS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10">
                                      <xs:complexType>
                                        <xs:attribute name="TestPoint" type="xs:string"/>
                                        <xs:attribute name="ESS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11">
                                      <xs:complexType>
                                        <xs:attribute name="TestPoint" type="xs:string"/>
                                        <xs:attribute name="ESS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12">
                                      <xs:complexType>
                                        <xs:attribute name="TestPoint" type="xs:string"/>
                                        <xs:attribute name="ESS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13">
                                      <xs:complexType>
                                        <xs:attribute name="TestPoint" type="xs:string"/>
                                        <xs:attribute name="ESS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14">
                                      <xs:complexType>
                                        <xs:attribute name="TestPoint" type="xs:string"/>
                                        <xs:attribute name="ESS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15">
                                      <xs:complexType>
                                        <xs:attribute name="TestPoint" type="xs:string"/>
                                        <xs:attribute name="ESS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16">
                                      <xs:complexType>
                                        <xs:attribute name="TestPoint" type="xs:string"/>
                                        <xs:attribute name="ESS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17">
                                      <xs:complexType>
                                        <xs:attribute name="TestPoint" type="xs:string"/>
                                        <xs:attribute name="ESS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18">
                                      <xs:complexType>
                                        <xs:attribute name="TestPoint" type="xs:string"/>
                                        <xs:attribute name="ESS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19">
                                      <xs:complexType>
                                        <xs:attribute name="TestPoint" type="xs:string"/>
                                        <xs:attribute name="ESS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  <xs:element name="TestPoint20">
                                      <xs:complexType>
                                        <xs:attribute name="TestPoint" type="xs:string"/>
                                        <xs:attribute name="ESS" type="xs:string"/>
                                        <xs:attribute name="Prediction" type="xs:string"/>
                                        <xs:attribute name="Value" type="ex_dec"/>
                                        <xs:attribute name="Points" type="ex_dec"/>
                                      </xs:complexType>
                                    </xs:element>
                                  </xs:sequence>
                                  <xs:attribute name="Correction_Factor" type="ex_dec"/>
                                </xs:complexType>
                              </xs:element>
                            </xs:sequence>
                          </xs:complexType>
                        </xs:element>
                        <xs:element name="CCFtap">
                          <xs:complexType>
                            <xs:sequence>
                              <xs:element name="_10_kmh">
                                <xs:complexType>
                                  <xs:attribute name="GVT_30" type="xs:string"/>
                                  <xs:attribute name="GVT_45" type="xs:string"/>
                                  <xs:attribute name="GVT_55" type="xs:string"/>
                                </xs:complexType>
                              </xs:element>
                              <xs:element name="_15_kmh">
                                <xs:complexType>
                                  <xs:attribute name="GVT_30" type="xs:string"/>
                                  <xs:attribute name="GVT_45" type="xs:string"/>
                                  <xs:attribute name="GVT_55" type="xs:string"/>
                                </xs:complexType>
                              </xs:element>
                              <xs:element name="_20_kmh">
                                <xs:complexType>
                                  <xs:attribute name="GVT_30" type="xs:string"/>
                                  <xs:attribute name="GVT_45" type="xs:string"/>
                                  <xs:attribute name="GVT_55" type="xs:string"/>
                                </xs:complexType>
                              </xs:element>
                            </xs:sequence>
                            <xs:attribute name="Result" type="ex_dec"/>
                            <xs:attribute name="Colour" type="xs:string"/>
                          </xs:complexType>
                        </xs:element>
                        <xs:element name="CCCscp">
                          <xs:complexType>
                            <xs:sequence>
                              <xs:element name="AEB_Prediction">
                                <xs:complexType>
                                  <xs:sequence>
                                    <xs:element name="Start_from_Stop">
                                      <xs:complexType>
                                        <xs:attribute name="GVT_20" type="xs:string"/>
                                        <xs:attribute name="GVT_30" type="xs:string"/>
                                        <xs:attribute name="GVT_40" type="xs:string"/>
                                        <xs:attribute name="GVT_50" type="xs:string"/>
                                        <xs:attribute name="GVT_60" type="xs:string"/>
                                      </xs:complexType>
                                    </xs:element>
                                    <xs:element name="Speed_20">
                                      <xs:complexType>
                                        <xs:attribute name="GVT_20" type="xs:string"/>
                                        <xs:attribute name="GVT_30" type="xs:string"/>
                                        <xs:attribute name="GVT_40" type="xs:string"/>
                                        <xs:attribute name="GVT_50" type="xs:string"/>
                                        <xs:attribute name="GVT_60" type="xs:string"/>
                                      </xs:complexType>
                                    </xs:element>
                                    <xs:element name="Speed_30">
                                      <xs:complexType>
                                        <xs:attribute name="GVT_20" type="xs:string"/>
                                        <xs:attribute name="GVT_30" type="xs:string"/>
                                        <xs:attribute name="GVT_40" type="xs:string"/>
                                        <xs:attribute name="GVT_50" type="xs:string"/>
                                        <xs:attribute name="GVT_60" type="xs:string"/>
                                      </xs:complexType>
                                    </xs:element>
                                    <xs:element name="Speed_40">
                                      <xs:complexType>
                                        <xs:attribute name="GVT_20" type="xs:string"/>
                                        <xs:attribute name="GVT_30" type="xs:string"/>
                                        <xs:attribute name="GVT_40" type="xs:string"/>
                                        <xs:attribute name="GVT_50" type="xs:string"/>
                                        <xs:attribute name="GVT_60" type="xs:string"/>
                                      </xs:complexType>
                                    </xs:element>
                                    <xs:element name="Speed_50">
                                      <xs:complexType>
                                        <xs:attribute name="GVT_20" type="xs:string"/>
                                        <xs:attribute name="GVT_30" type="xs:string"/>
                                        <xs:attribute name="GVT_40" type="xs:string"/>
                                        <xs:attribute name="GVT_50" type="xs:string"/>
                                        <xs:attribute name="GVT_60" type="xs:string"/>
                                      </xs:complexType>
                                    </xs:element>
                                    <xs:element name="Speed_60">
                                      <xs:complexType>
                                        <xs:attribute name="GVT_20" type="xs:string"/>
                                        <xs:attribute name="GVT_30" type="xs:string"/>
                                        <xs:attribute name="GVT_40" type="xs:string"/>
                                        <xs:attribute name="GVT_50" type="xs:string"/>
                                        <xs:attribute name="GVT_60" type="xs:string"/>
                                      </xs:complexType>
                                    </xs:element>
                                  </xs:sequence>
                                  <xs:attribute name="Predicted_Score" type="ex_dec"/>
                                </xs:complexType>
                              </xs:element>
                              <xs:element name="FCW_Prediction">
                                <xs:complexType>
                                  <xs:sequence>
                                    <xs:element name="Speed_40">
                                      <xs:complexType>
                                        <xs:attribute name="GVT_20" type="xs:string"/>
                                        <xs:attribute name="GVT_30" type="xs:string"/>
                                        <xs:attribute name="GVT_40" type="xs:string"/>
                                        <xs:attribute name="GVT_50" type="xs:string"/>
                                        <xs:attribute name="GVT_60" type="xs:string"/>
                                      </xs:complexType>
                                    </xs:element>
                                    <xs:element name="Speed_50">
                                      <xs:complexType>
                                        <xs:attribute name="GVT_20" type="xs:string"/>
                                        <xs:attribute name="GVT_30" type="xs:string"/>
                                        <xs:attribute name="GVT_40" type="xs:string"/>
                                        <xs:attribute name="GVT_50" type="xs:string"/>
                                        <xs:attribute name="GVT_60" type="xs:string"/>
                                      </xs:complexType>
                                    </xs:element>
                                    <xs:element name="Speed_60">
                                      <xs:complexType>
                                        <xs:attribute name="GVT_20" type="xs:string"/>
                                        <xs:attribute name="GVT_30" type="xs:string"/>
                                        <xs:attribute name="GVT_40" type="xs:string"/>
                                        <xs:attribute name="GVT_50" type="xs:string"/>
                                        <xs:attribute name="GVT_60" type="xs:string"/>
                                      </xs:complexType>
                                    </xs:element>
                                  </xs:sequence>
                                  <xs:attribute name="Predicted_Score" type="ex_dec"/>
                                </xs:complexType>
                              </xs:element>
                            </xs:sequence>
                            <xs:attribute name="Predicted_Score" type="xs:decimal"/>
                            <xs:attribute name="AEB_Colour_LHS_Overlap" type="xs:string"/>
                            <xs:attribute name="AEB_Colour_Centreline" type="xs:string"/>
                            <xs:attribute name="AEB_Colour_RHS_Overlap" type="xs:string"/>
                            <xs:attribute name="FCW_Colour_LHS_Overlap" type="xs:string"/>
                            <xs:attribute name="FCW_Colour_Centreline" type="xs:string"/>
                            <xs:attribute name="FCW_Colour_RHS_Overlap" type="xs:string"/>
                          </xs:complexType>
                        </xs:element>
                        <xs:element name="Car_Car_Head_on">
                          <xs:complexType>
                            <xs:sequence>
                              <xs:element name="CCHhos">
                                <xs:complexType>
                                  <xs:sequence>
                                    <xs:element name="_50_kmh">
                                      <xs:complexType>
                                        <xs:attribute name="GVT_50" type="ex_dec"/>
                                        <xs:attribute name="GVT_70" type="ex_dec"/>
                                      </xs:complexType>
                                    </xs:element>
                                    <xs:element name="_70_kmh">
                                      <xs:complexType>
                                        <xs:attribute name="GVT_50" type="ex_dec"/>
                                        <xs:attribute name="GVT_70" type="ex_dec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CCHhol">
                                <xs:complexType>
                                  <xs:sequence>
                                    <xs:element name="_50_kmh">
                                      <xs:complexType>
                                        <xs:attribute name="GVT_50" type="ex_dec"/>
                                        <xs:attribute name="GVT_70" type="ex_dec"/>
                                      </xs:complexType>
                                    </xs:element>
                                    <xs:element name="_70_kmh">
                                      <xs:complexType>
                                        <xs:attribute name="GVT_50" type="ex_dec"/>
                                        <xs:attribute name="GVT_70" type="ex_dec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</xs:sequence>
                            <xs:attribute name="Result" type="ex_dec"/>
                            <xs:attribute name="Colour" type="xs:string"/>
                          </xs:complexType>
                        </xs:element>
                        <xs:element name="HMI">
                          <xs:complexType>
                            <xs:sequence>
                              <xs:element name="Supplementary_Warning" type="String_and_Value"/>
                              <xs:element name="Restraint_Activation" type="String_and_Value"/>
                            </xs:sequence>
                            <xs:attribute name="Result" type="ex_dec"/>
                          </xs:complexType>
                        </xs:element>
                        <xs:element name="SUMMARY">
                          <xs:complexType>
                            <xs:sequence>
                              <xs:element name="CCRs">
                                <xs:complexType>
                                  <xs:attribute name="AEB" type="ex_dec"/>
                                  <xs:attribute name="FCW" type="ex_dec"/>
                                </xs:complexType>
                              </xs:element>
                              <xs:element name="CCRm">
                                <xs:complexType>
                                  <xs:attribute name="AEB" type="ex_dec"/>
                                  <xs:attribute name="FCW" type="ex_dec"/>
                                </xs:complexType>
                              </xs:element>
                              <xs:element name="CCRb">
                                <xs:complexType>
                                  <xs:attribute name="AEB" type="ex_dec"/>
                                  <xs:attribute name="FCW" type="ex_dec"/>
                                </xs:complexType>
                              </xs:element>
                              <xs:element name="CCFtap">
                                <xs:complexType>
                                  <xs:attribute name="AEB" type="ex_dec"/>
                                </xs:complexType>
                              </xs:element>
                              <xs:element name="CCCscp">
                                <xs:complexType>
                                  <xs:attribute name="AEB" type="ex_dec"/>
                                  <xs:attribute name="FCW" type="ex_dec"/>
                                </xs:complexType>
                              </xs:element>
                              <xs:element name="Car_Car_Head_on" type="ex_dec"/>
                              <xs:element name="HMI" type="ex_dec"/>
                            </xs:sequence>
                          </xs:complexType>
                        </xs:element>
                        <xs:element name="TOTAL">
                          <xs:complexType>
                            <xs:sequence>
                              <xs:element name="AEB" type="ex_dec"/>
                              <xs:element name="FCW" type="ex_dec"/>
                              <xs:element name="HMI" type="ex_dec"/>
                            </xs:sequence>
                          </xs:complexType>
                        </xs:element>
                      </xs:sequence>
                      <xs:attribute name="TOTAL_AEB_C2C" type="ex_dec"/>
                      <xs:attribute name="ROUNDED_TOTAL" type="ex_dec"/>
                      <xs:attribute name="Functionality" type="xs:string"/>
                      <xs:attribute name="Additional_Information" type="xs:string"/>
                      <xs:attribute name="Colour" type="xs:string"/>
                      <xs:attribute name="MAX_POINTS" type="xs:integer"/>
                    </xs:complexType>
                  </xs:element>
                  <xs:element name="SA_OSM">
                    <xs:complexType>
                      <xs:sequence>
                        <xs:element name="SA_SBR">
                          <xs:complexType>
                            <xs:sequence>
                              <xs:element name="SBR">
                                <xs:complexType>
                                  <xs:sequence>
                                    <xs:element name="Occupant_Detection" type="SBR_Rows"/>
                                    <xs:element name="Visual_Warning" type="SBR_Rows"/>
                                    <xs:element name="Audible_Warning" type="SBR_Rows"/>
                                    <xs:element name="Number_of_rear_seats" type="ex_int"/>
                                  </xs:sequence>
                                  <xs:attribute name="Dr_and_Pass_Score" type="ex_dec"/>
                                  <xs:attribute name="Rear_Score" type="ex_dec"/>
                                </xs:complexType>
                              </xs:element>
                            </xs:sequence>
                            <xs:attribute name="TOTAL_SBR" type="ex_dec"/>
                            <xs:attribute name="ROUNDED_TOTAL_SBR"/>
                            <xs:attribute name="Applies_To" type="xs:string"/>
                            <xs:attribute name="Colour" type="xs:string"/>
                            <xs:attribute name="MAX_POINTS" type="xs:integer"/>
                          </xs:complexType>
                        </xs:element>
                        <xs:element name="Driver_Monitoring">
                          <xs:complexType>
                            <xs:sequence>
                              <xs:element name="Distraction">
                                <xs:complexType>
                                  <xs:sequence>
                                    <xs:element name="Long_Distraction">
                                      <xs:complexType>
                                        <xs:sequence>
                                          <xs:element name="Away_from_fwd_road">
                                            <xs:complexType>
                                              <xs:sequence>
                                                <xs:element name="Owl">
                                                  <xs:complexType>
                                                    <xs:attribute name="Warning" type="xs:string"/>
                                                    <xs:attribute name="Intervention" type="xs:string"/>
                                                    <xs:attribute name="Sub-totals" type="xs:decimal"/>
                                                  </xs:complexType>
                                                </xs:element>
                                                <xs:element name="Lizard">
                                                  <xs:complexType>
                                                    <xs:attribute name="Warning" type="xs:string"/>
                                                    <xs:attribute name="Intervention" type="xs:string"/>
                                                    <xs:attribute name="Sub-totals" type="xs:decimal"/>
                                                  </xs:complexType>
                                                </xs:element>
                                                <xs:element name="Body_Lean">
                                                  <xs:complexType>
                                                    <xs:attribute name="Warning" type="xs:string"/>
                                                    <xs:attribute name="Intervention" type="xs:string"/>
                                                    <xs:attribute name="Sub-totals" type="xs:decimal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  <xs:element name="Driving_task">
                                            <xs:complexType>
                                              <xs:sequence>
                                                <xs:element name="Owl">
                                                  <xs:complexType>
                                                    <xs:attribute name="Warning" type="xs:string"/>
                                                    <xs:attribute name="Intervention" type="xs:string"/>
                                                    <xs:attribute name="Sub-totals" type="xs:decimal"/>
                                                  </xs:complexType>
                                                </xs:element>
                                                <xs:element name="Lizard">
                                                  <xs:complexType>
                                                    <xs:attribute name="Warning" type="xs:string"/>
                                                    <xs:attribute name="Intervention" type="xs:string"/>
                                                    <xs:attribute name="Sub-totals" type="xs:decimal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</xs:sequence>
                                      </xs:complexType>
                                    </xs:element>
                                    <xs:element name="Short_Distraction">
                                      <xs:complexType>
                                        <xs:sequence>
                                          <xs:element name="Away_from_fwd_road">
                                            <xs:complexType>
                                              <xs:sequence>
                                                <xs:element name="Owl">
                                                  <xs:complexType>
                                                    <xs:attribute name="Warning" type="xs:string"/>
                                                    <xs:attribute name="Intervention" type="xs:string"/>
                                                    <xs:attribute name="Sub-totals" type="xs:decimal"/>
                                                  </xs:complexType>
                                                </xs:element>
                                                <xs:element name="Lizard">
                                                  <xs:complexType>
                                                    <xs:attribute name="Warning" type="xs:string"/>
                                                    <xs:attribute name="Intervention" type="xs:string"/>
                                                    <xs:attribute name="Sub-totals" type="xs:decimal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  <xs:element name="Driving_task">
                                            <xs:complexType>
                                              <xs:sequence>
                                                <xs:element name="Owl">
                                                  <xs:complexType>
                                                    <xs:attribute name="Warning" type="xs:string"/>
                                                    <xs:attribute name="Intervention" type="xs:string"/>
                                                    <xs:attribute name="Sub-totals" type="xs:decimal"/>
                                                  </xs:complexType>
                                                </xs:element>
                                                <xs:element name="Lizard">
                                                  <xs:complexType>
                                                    <xs:attribute name="Warning" type="xs:string"/>
                                                    <xs:attribute name="Intervention" type="xs:string"/>
                                                    <xs:attribute name="Sub-totals" type="xs:decimal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  <xs:element name="Away_from_fwd_road_multiple">
                                            <xs:complexType>
                                              <xs:sequence>
                                                <xs:element name="Lizard">
                                                  <xs:complexType>
                                                    <xs:attribute name="Warning" type="xs:string"/>
                                                    <xs:attribute name="Intervention" type="xs:string"/>
                                                    <xs:attribute name="Sub-totals" type="xs:decimal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</xs:sequence>
                                      </xs:complexType>
                                    </xs:element>
                                    <xs:element name="Phone_Usage">
                                      <xs:complexType>
                                        <xs:sequence>
                                          <xs:element name="Phone_Use_basic">
                                            <xs:complexType>
                                              <xs:sequence>
                                                <xs:element name="Owl_plus_Lizard">
                                                  <xs:complexType>
                                                    <xs:attribute name="Warning" type="xs:string"/>
                                                    <xs:attribute name="Intervention" type="xs:string"/>
                                                    <xs:attribute name="Sub-totals" type="xs:decimal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  <xs:element name="Phone_Use_advanced">
                                            <xs:complexType>
                                              <xs:sequence>
                                                <xs:element name="Lizard">
                                                  <xs:complexType>
                                                    <xs:attribute name="Warning" type="xs:string"/>
                                                    <xs:attribute name="Intervention" type="xs:string"/>
                                                    <xs:attribute name="Sub-totals" type="xs:decimal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</xs:sequence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Fatigue">
                                <xs:complexType>
                                  <xs:sequence>
                                    <xs:element name="Drowsiness">
                                      <xs:complexType>
                                        <xs:attribute name="Warning" type="xs:string"/>
                                        <xs:attribute name="Intervention" type="xs:string"/>
                                        <xs:attribute name="Sub-totals" type="xs:decimal"/>
                                      </xs:complexType>
                                    </xs:element>
                                    <xs:element name="Microsleep">
                                      <xs:complexType>
                                        <xs:attribute name="Warning" type="xs:string"/>
                                        <xs:attribute name="Intervention" type="xs:string"/>
                                        <xs:attribute name="Sub-totals" type="xs:decimal"/>
                                      </xs:complexType>
                                    </xs:element>
                                    <xs:element name="Sleep">
                                      <xs:complexType>
                                        <xs:attribute name="Warning" type="xs:string"/>
                                        <xs:attribute name="Intervention" type="xs:string"/>
                                        <xs:attribute name="Sub-totals" type="xs:decimal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name="Sudden_Sickness">
                                <xs:complexType>
                                  <xs:attribute name="Warning" type="xs:string"/>
                                  <xs:attribute name="Intervention" type="xs:string"/>
                                  <xs:attribute name="Sub-totals" type="xs:decimal"/>
                                </xs:complexType>
                              </xs:element>
                              <xs:element name="Eligibility">
                                <xs:complexType>
                                  <xs:sequence>
                                    <xs:element name="Deactivation">
                                      <xs:complexType>
                                        <xs:attribute name="Assessment" type="xs:string"/>
                                        <xs:attribute name="Pass_Fail" type="xs:string"/>
                                      </xs:complexType>
                                    </xs:element>
                                    <xs:element name="System_Type">
                                      <xs:complexType>
                                        <xs:attribute name="Assessment" type="xs:string"/>
                                        <xs:attribute name="Pass_Fail" type="xs:string"/>
                                      </xs:complexType>
                                    </xs:element>
                                    <xs:element name="Active_Speed">
                                      <xs:complexType>
                                        <xs:attribute name="Assessment" type="xs:string"/>
                                        <xs:attribute name="Pass_Fail" type="xs:string"/>
                                      </xs:complexType>
                                    </xs:element>
                                    <xs:element name="Att_Assist_Dossier">
                                      <xs:complexType>
                                        <xs:attribute name="Assessment" type="xs:string"/>
                                        <xs:attribute name="Pass_Fail" type="xs:string"/>
                                      </xs:complexType>
                                    </xs:element>
                                    <xs:element name="Default_On">
                                      <xs:complexType>
                                        <xs:attribute name="Assessment" type="xs:string"/>
                                        <xs:attribute name="Pass_Fail" type="xs:string"/>
                                      </xs:complexType>
                                    </xs:element>
                                  </xs:sequence>
                                  <xs:attribute name="Pass_Fail" type="xs:string"/>
                                </xs:complexType>
                              </xs:element>
                              <xs:element name="Noise_Variables">
                                <xs:complexType>
                                  <xs:sequence>
                                    <xs:element name="Drivers" type="xs:string"/>
                                    <xs:element name="Occlusion" type="xs:string"/>
                                    <xs:element name="Driver_behavious" type="xs:string"/>
                                  </xs:sequence>
                                </xs:complexType>
                              </xs:element>
                            </xs:sequence>
                            <xs:attribute name="Score" type="ex_dec"/>
                            <xs:attribute name="Max"/>
                            <xs:attribute name="Dr_monitoring_rounded" type="ex_dec"/>
                            <xs:attribute name="Dr_monitoring_Colour" type="xs:string"/>
                            <xs:attribute name="System_Name" type="xs:string"/>
                            <xs:attribute name="System_Type" type="xs:string"/>
                            <xs:attribute name="Min_Speed" type="xs:decimal"/>
                            <xs:attribute name="Colour" type="xs:string"/>
                            <xs:attribute name="Fatigue_Comment" type="xs:string"/>
                            <xs:attribute name="Distraction_Comment" type="xs:string"/>
                            <xs:attribute name="Impairment_Comment" type="xs:string"/>
                          </xs:complexType>
                        </xs:element>
                      </xs:sequence>
                      <xs:attribute name="TOTAL_OSM" type="ex_dec"/>
                      <xs:attribute name="Rounded_TOTAL_OSM" type="ex_dec"/>
                      <xs:attribute name="OSM_Max_Points" type="ex_int"/>
                      <xs:attribute name="Colour" type="xs:string"/>
                    </xs:complexType>
                  </xs:element>
                </xs:sequence>
              </xs:complexType>
            </xs:element>
          </xs:sequence>
          <xs:attribute name="_2023.1.3" type="xs:string"/>
        </xs:complexType>
      </xs:element>
      <xs:simpleType name="ex_dec">
        <xs:union memberTypes="xs:decimal empty_string"/>
      </xs:simpleType>
      <xs:simpleType name="ex_int">
        <xs:union memberTypes="xs:integer empty_string"/>
      </xs:simpleType>
      <xs:simpleType name="empty_string">
        <xs:restriction base="xs:string">
          <xs:enumeration value=""/>
          <xs:enumeration value="-"/>
        </xs:restriction>
      </xs:simpleType>
      <xs:complexType name="GENERALOVERVIEW_Driver_Passenger_RearType">
        <xs:attribute name="Driver" type="xs:string"/>
        <xs:attribute name="Passenger" type="xs:string"/>
        <xs:attribute name="Rear" type="xs:string"/>
        <xs:attribute name="Row3" type="xs:string"/>
      </xs:complexType>
      <xs:complexType name="PROTOCOLType">
        <xs:attribute name="Version" type="xs:string"/>
        <xs:attribute name="Application" type="xs:gYear"/>
      </xs:complexType>
      <xs:complexType name="Sliding_Scale_Modifier">
        <xs:attribute name="Modifier_Score" type="ex_dec"/>
        <xs:attribute name="Value" type="ex_dec"/>
      </xs:complexType>
      <xs:complexType name="Child_Rows123">
        <xs:attribute name="Front_Passenger" type="xs:string"/>
        <xs:attribute name="Front_Centre" type="xs:string"/>
        <xs:attribute name="Row2_Left" type="xs:string"/>
        <xs:attribute name="Row2_Centre" type="xs:string"/>
        <xs:attribute name="Row2_Right" type="xs:string"/>
        <xs:attribute name="Row3_Left" type="xs:string"/>
        <xs:attribute name="Row3_Centre" type="xs:string"/>
        <xs:attribute name="Row3_Right" type="xs:string"/>
        <xs:attribute name="Row2_Outboard" type="xs:string"/>
        <xs:attribute name="Row3_Outboard" type="xs:string"/>
      </xs:complexType>
      <xs:complexType name="Website_Table_Type">
        <xs:attribute name="Front_Passenger" type="xs:string"/>
        <xs:attribute name="Front_Centre" type="xs:string"/>
        <xs:attribute name="Row2_Outboard" type="xs:string"/>
        <xs:attribute name="Row2_Centre" type="xs:string"/>
        <xs:attribute name="Row3_Outboard" type="xs:string"/>
        <xs:attribute name="Row3_Centre" type="xs:string"/>
      </xs:complexType>
      <xs:complexType name="Driver_Passenger_PointsType">
        <xs:attribute name="DriverPoints" type="ex_dec" use="optional"/>
        <xs:attribute name="PassengerPoints" type="ex_dec" use="optional"/>
      </xs:complexType>
      <xs:complexType name="Driver_Passenger_Points_Colour_Type">
        <xs:attribute name="DriverPoints" type="ex_dec" use="optional"/>
        <xs:attribute name="Driver_Colour" type="xs:string"/>
        <xs:attribute name="PassengerPoints" type="ex_dec" use="optional"/>
        <xs:attribute name="Passenger_Colour" type="xs:string"/>
      </xs:complexType>
      <xs:complexType name="Driver_Passenger_Colour_Type">
        <xs:attribute name="Driver_Colour" type="xs:string"/>
        <xs:attribute name="Passenger_Colour" type="xs:string"/>
      </xs:complexType>
      <xs:complexType name="Driver_Pass_Left_Right_Type">
        <xs:attribute name="Driver_Left_Colour" type="xs:string"/>
        <xs:attribute name="Driver_Right_Colour" type="xs:string"/>
        <xs:attribute name="Passenger_Right_Colour" type="xs:string"/>
        <xs:attribute name="Passenger_Left_Colour" type="xs:string"/>
      </xs:complexType>
      <xs:complexType name="Driver_Passenger_ValueType">
        <xs:attribute name="DriverValue" type="ex_dec" use="optional"/>
        <xs:attribute name="OEM_Pass_Value" type="ex_dec" use="optional"/>
        <xs:attribute name="PassengerValue" type="ex_dec" use="optional"/>
      </xs:complexType>
      <xs:complexType name="Driver_Passenger_Value_PointsType">
        <xs:attribute name="DriverValue" type="ex_dec" use="optional"/>
        <xs:attribute name="DriverPoints" type="ex_dec" use="optional" default="99999"/>
        <xs:attribute name="PassengerValue" type="ex_dec" use="optional"/>
        <xs:attribute name="PassengerPoints" type="ex_dec" use="optional"/>
      </xs:complexType>
      <xs:complexType name="Value_PointsType">
        <xs:attribute name="Value" type="ex_dec"/>
        <xs:attribute name="Points" type="ex_dec"/>
      </xs:complexType>
      <xs:complexType name="Driver_PointsType">
        <xs:attribute name="DriverPoints" type="ex_dec" use="optional"/>
      </xs:complexType>
      <xs:complexType name="Driver_Points_Colour_Type">
        <xs:attribute name="DriverPoints" type="ex_dec" use="optional"/>
        <xs:attribute name="Driver_Colour" type="xs:string"/>
      </xs:complexType>
      <xs:complexType name="Blue_Grid_Point_Type">
        <xs:attribute name="Grid_Point" type="xs:string"/>
        <xs:attribute name="Value" type="ex_dec"/>
        <xs:attribute name="Points" type="ex_dec"/>
      </xs:complexType>
      <xs:complexType name="Driver_ValueType">
        <xs:attribute name="DriverValue" type="ex_dec" use="optional"/>
        <xs:attribute name="PassengerValue" type="ex_dec" use="optional"/>
      </xs:complexType>
      <xs:complexType name="Q6Q10Max_Min_Type">
        <xs:attribute name="Front_Q6_Value" type="ex_dec"/>
        <xs:attribute name="Side_Q6_Value" type="ex_dec"/>
        <xs:attribute name="Front_Q10_Value" type="ex_dec"/>
        <xs:attribute name="Side_Q10_Value" type="ex_dec"/>
      </xs:complexType>
      <xs:complexType name="AEB_Ped_Type">
        <xs:attribute name="Ad_Far_50_Speed" type="ex_dec"/>
        <xs:attribute name="Ad_Far_50_Score" type="ex_dec"/>
        <xs:attribute name="Ad_Near_25_Speed" type="ex_dec"/>
        <xs:attribute name="Ad_Near_25_Score" type="ex_dec"/>
        <xs:attribute name="Ad_Near_75_Speed" type="ex_dec"/>
        <xs:attribute name="Ad_Near_75_Score" type="ex_dec"/>
        <xs:attribute name="Ch_Ob_Near_50_Speed" type="ex_dec"/>
        <xs:attribute name="Ch_Ob_Near_50_Score" type="ex_dec"/>
      </xs:complexType>
      <xs:complexType name="Driver_Value_PointsType">
        <xs:attribute name="DriverValue" type="ex_dec" use="optional"/>
        <xs:attribute name="DriverPoints" type="ex_dec" use="optional"/>
      </xs:complexType>
      <xs:complexType name="Driver_Value_PointsasstringType">
        <xs:attribute name="DriverPoints" type="ex_dec" use="optional"/>
        <xs:attribute name="PassengerPoints" type="xs:string" use="optional"/>
      </xs:complexType>
      <xs:complexType name="String_and_Value">
        <xs:attribute name="Value" type="ex_dec" use="optional"/>
        <xs:attribute name="String" type="xs:string" use="optional"/>
      </xs:complexType>
      <xs:complexType name="Pulse_ValueType">
        <xs:attribute name="LowPulseValue" type="ex_dec" use="optional"/>
        <xs:attribute name="MidPulseValue" type="ex_dec" use="optional"/>
        <xs:attribute name="HighPulseValue" type="ex_dec" use="optional"/>
      </xs:complexType>
      <xs:complexType name="Seat_Properties_Type">
        <xs:attribute name="Fore_Aft" type="xs:string"/>
        <xs:attribute name="Seat_base_tilt" type="xs:string"/>
        <xs:attribute name="Seat_height" type="xs:string"/>
        <xs:attribute name="Seat_back_angle" type="xs:string"/>
        <xs:attribute name="Head_restraint_height" type="xs:string"/>
        <xs:attribute name="Head_restraint_tilt" type="xs:string"/>
        <xs:attribute name="Seat_lumbar_support" type="xs:string"/>
        <xs:attribute name="Seat_belt_anchorage" type="xs:string"/>
        <xs:attribute name="Arm_rests" type="xs:string"/>
      </xs:complexType>
      <xs:complexType name="Upper_Leg_Type">
        <xs:attribute name="Description" type="xs:string" use="optional"/>
        <xs:attribute name="Energy" type="ex_dec" use="optional"/>
        <xs:attribute name="Moment_Upper_Value" type="ex_dec" use="optional"/>
        <xs:attribute name="Moment_Centre_Value" type="ex_dec" use="optional"/>
        <xs:attribute name="Moment_Lower_Value" type="ex_dec" use="optional"/>
        <xs:attribute name="Force_Upper_Value" type="ex_dec" use="optional"/>
        <xs:attribute name="Force_Lower_Value" type="ex_dec" use="optional"/>
        <xs:attribute name="Force_Sum_Value" type="ex_dec" use="optional"/>
        <xs:attribute name="Force_Sum_Points" type="ex_dec" use="optional"/>
        <xs:attribute name="Total_Points" type="ex_dec" use="optional"/>
        <xs:attribute name="Colour" type="xs:string"/>
      </xs:complexType>
      <xs:complexType name="Lower_Leg_Type">
        <xs:attribute name="Description" type="xs:string" use="optional"/>
        <xs:attribute name="T4" type="ex_dec" use="optional"/>
        <xs:attribute name="T3" type="ex_dec" use="optional"/>
        <xs:attribute name="T2" type="ex_dec" use="optional"/>
        <xs:attribute name="T1" type="ex_dec" use="optional"/>
        <xs:attribute name="Points" type="ex_dec" use="optional"/>
        <xs:attribute name="ACL" type="ex_dec" use="optional"/>
        <xs:attribute name="PCL" type="ex_dec" use="optional"/>
        <xs:attribute name="MCL_Value" type="ex_dec" use="optional"/>
        <xs:attribute name="MCL_Points" type="ex_dec" use="optional"/>
        <xs:attribute name="F1" type="ex_dec" use="optional"/>
        <xs:attribute name="F2" type="ex_dec" use="optional"/>
        <xs:attribute name="F3" type="ex_dec" use="optional"/>
        <xs:attribute name="Femur_Moment_Points" type="ex_dec" use="optional"/>
        <xs:attribute name="Acceleration" type="ex_dec" use="optional"/>
        <xs:attribute name="Total_Tibia_MCL_Points" type="ex_dec" use="optional"/>
        <xs:attribute name="Total_Femur_Points" type="ex_dec" use="optional"/>
        <xs:attribute name="Colour_Tibia_MCL" type="xs:string"/>
        <xs:attribute name="Colour_Femur" type="xs:string"/>
      </xs:complexType>
      <xs:complexType name="SBR_Rows">
        <xs:attribute name="Driver_Pass_Fail" type="xs:string"/>
        <xs:attribute name="Front_Pass_Pass_Fail" type="xs:string"/>
        <xs:attribute name="Rear_Pass_Fail" type="xs:string"/>
      </xs:complexType>
      <xs:complexType name="Pulse_Value_PointsType">
        <xs:attribute name="LowPulseValue" type="ex_dec" use="optional"/>
        <xs:attribute name="LowPulsePoints" type="ex_dec" use="optional"/>
        <xs:attribute name="MidPulseValue" type="ex_dec" use="optional"/>
        <xs:attribute name="MidPulsePoints" type="xs:decimal" use="optional"/>
        <xs:attribute name="HighPulseValue" type="ex_dec" use="optional"/>
        <xs:attribute name="HighPulsePoints" type="xs:decimal" use="optional"/>
      </xs:complexType>
      <xs:complexType name="AEBImpactspeed_PointsType">
        <xs:attribute name="DriverValue" type="xs:string" use="optional"/>
        <xs:attribute name="DriverPoints" type="ex_dec" use="optional"/>
      </xs:complexType>
      <xs:complexType name="SafetyEquipment_Fitment">
        <xs:attribute name="Fitment_on_range" type="xs:string"/>
        <xs:attribute name="On_Test_Car" type="xs:string"/>
      </xs:complexType>
      <xs:complexType name="Q6Q10_String_Type">
        <xs:attribute name="Q6" type="xs:string"/>
        <xs:attribute name="Q10" type="xs:string"/>
      </xs:complexType>
      <xs:complexType name="Q6Q10_Value_PointsType">
        <xs:attribute name="Q6_Value" type="ex_dec"/>
        <xs:attribute name="Q6_Points" type="ex_dec"/>
        <xs:attribute name="Q10_Value" type="ex_dec"/>
        <xs:attribute name="Q10_Points" type="ex_dec"/>
      </xs:complexType>
      <xs:complexType name="CRS_InstallationType">
        <xs:attribute name="Seat_Name" type="xs:string" use="optional"/>
        <xs:attribute name="Code1" type="xs:string" use="optional"/>
        <xs:attribute name="Code2" type="xs:string" use="optional"/>
        <xs:attribute name="Front_Left" type="xs:string" use="optional"/>
        <xs:attribute name="Front_Center" type="xs:string" use="optional"/>
        <xs:attribute name="Front_Right" type="xs:string" use="optional"/>
        <xs:attribute name="Second_Row_Left" type="xs:string" use="optional"/>
        <xs:attribute name="Second_Row_Center" type="xs:string" use="optional"/>
        <xs:attribute name="Second_Row_Right" type="xs:string" use="optional"/>
        <xs:attribute name="Third_Row_Left" type="xs:string" use="optional"/>
        <xs:attribute name="Third_Row_Center" type="xs:string" use="optional"/>
        <xs:attribute name="Third_Row_Right" type="xs:string" use="optional"/>
        <xs:attribute name="CRS_fitment" type="xs:string" use="optional"/>
        <xs:attribute name="Age_Fitment" type="xs:string" use="optional"/>
      </xs:complexType>
      <xs:element name="Chest_rib_assessment">
        <xs:complexType>
          <xs:complexContent>
            <xs:extension base="Driver_PointsType">
              <xs:sequence>
                <xs:element name="Lateral_compression_mm">
                  <xs:complexType>
                    <xs:sequence>
                      <xs:element name="Top" type="Driver_Value_PointsType"/>
                      <xs:element name="Middle" type="Driver_Value_PointsType"/>
                      <xs:element name="Bottom" type="Driver_Value_PointsType"/>
                    </xs:sequence>
                  </xs:complexType>
                </xs:element>
              </xs:sequence>
            </xs:extension>
          </xs:complexContent>
        </xs:complexType>
      </xs:element>
    </xs:schema>
  </Schema>
  <Map ID="7" Name="MAKE_Map" RootElement="MAKE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36" Type="http://schemas.openxmlformats.org/officeDocument/2006/relationships/xmlMaps" Target="xmlMap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CheckBox" fmlaLink="$AP$1" lockText="1" noThreeD="1"/>
</file>

<file path=xl/ctrlProps/ctrlProp2.xml><?xml version="1.0" encoding="utf-8"?>
<formControlPr xmlns="http://schemas.microsoft.com/office/spreadsheetml/2009/9/main" objectType="CheckBox" fmlaLink="$AP$2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21.png"/><Relationship Id="rId299" Type="http://schemas.openxmlformats.org/officeDocument/2006/relationships/image" Target="../media/image303.png"/><Relationship Id="rId21" Type="http://schemas.openxmlformats.org/officeDocument/2006/relationships/image" Target="../media/image25.png"/><Relationship Id="rId63" Type="http://schemas.openxmlformats.org/officeDocument/2006/relationships/image" Target="../media/image67.png"/><Relationship Id="rId159" Type="http://schemas.openxmlformats.org/officeDocument/2006/relationships/image" Target="../media/image163.png"/><Relationship Id="rId324" Type="http://schemas.openxmlformats.org/officeDocument/2006/relationships/image" Target="../media/image328.png"/><Relationship Id="rId366" Type="http://schemas.openxmlformats.org/officeDocument/2006/relationships/image" Target="../media/image370.png"/><Relationship Id="rId170" Type="http://schemas.openxmlformats.org/officeDocument/2006/relationships/image" Target="../media/image174.png"/><Relationship Id="rId226" Type="http://schemas.openxmlformats.org/officeDocument/2006/relationships/image" Target="../media/image230.png"/><Relationship Id="rId268" Type="http://schemas.openxmlformats.org/officeDocument/2006/relationships/image" Target="../media/image272.png"/><Relationship Id="rId32" Type="http://schemas.openxmlformats.org/officeDocument/2006/relationships/image" Target="../media/image36.png"/><Relationship Id="rId74" Type="http://schemas.openxmlformats.org/officeDocument/2006/relationships/image" Target="../media/image78.png"/><Relationship Id="rId128" Type="http://schemas.openxmlformats.org/officeDocument/2006/relationships/image" Target="../media/image132.png"/><Relationship Id="rId335" Type="http://schemas.openxmlformats.org/officeDocument/2006/relationships/image" Target="../media/image339.png"/><Relationship Id="rId5" Type="http://schemas.openxmlformats.org/officeDocument/2006/relationships/image" Target="../media/image9.jpeg"/><Relationship Id="rId181" Type="http://schemas.openxmlformats.org/officeDocument/2006/relationships/image" Target="../media/image185.png"/><Relationship Id="rId237" Type="http://schemas.openxmlformats.org/officeDocument/2006/relationships/image" Target="../media/image241.png"/><Relationship Id="rId279" Type="http://schemas.openxmlformats.org/officeDocument/2006/relationships/image" Target="../media/image283.png"/><Relationship Id="rId43" Type="http://schemas.openxmlformats.org/officeDocument/2006/relationships/image" Target="../media/image47.png"/><Relationship Id="rId139" Type="http://schemas.openxmlformats.org/officeDocument/2006/relationships/image" Target="../media/image143.png"/><Relationship Id="rId290" Type="http://schemas.openxmlformats.org/officeDocument/2006/relationships/image" Target="../media/image294.png"/><Relationship Id="rId304" Type="http://schemas.openxmlformats.org/officeDocument/2006/relationships/image" Target="../media/image308.png"/><Relationship Id="rId346" Type="http://schemas.openxmlformats.org/officeDocument/2006/relationships/image" Target="../media/image350.png"/><Relationship Id="rId85" Type="http://schemas.openxmlformats.org/officeDocument/2006/relationships/image" Target="../media/image89.png"/><Relationship Id="rId150" Type="http://schemas.openxmlformats.org/officeDocument/2006/relationships/image" Target="../media/image154.png"/><Relationship Id="rId192" Type="http://schemas.openxmlformats.org/officeDocument/2006/relationships/image" Target="../media/image196.png"/><Relationship Id="rId206" Type="http://schemas.openxmlformats.org/officeDocument/2006/relationships/image" Target="../media/image210.png"/><Relationship Id="rId248" Type="http://schemas.openxmlformats.org/officeDocument/2006/relationships/image" Target="../media/image252.png"/><Relationship Id="rId12" Type="http://schemas.openxmlformats.org/officeDocument/2006/relationships/image" Target="../media/image16.png"/><Relationship Id="rId108" Type="http://schemas.openxmlformats.org/officeDocument/2006/relationships/image" Target="../media/image112.png"/><Relationship Id="rId315" Type="http://schemas.openxmlformats.org/officeDocument/2006/relationships/image" Target="../media/image319.png"/><Relationship Id="rId357" Type="http://schemas.openxmlformats.org/officeDocument/2006/relationships/image" Target="../media/image361.png"/><Relationship Id="rId54" Type="http://schemas.openxmlformats.org/officeDocument/2006/relationships/image" Target="../media/image58.png"/><Relationship Id="rId96" Type="http://schemas.openxmlformats.org/officeDocument/2006/relationships/image" Target="../media/image100.png"/><Relationship Id="rId161" Type="http://schemas.openxmlformats.org/officeDocument/2006/relationships/image" Target="../media/image165.png"/><Relationship Id="rId217" Type="http://schemas.openxmlformats.org/officeDocument/2006/relationships/image" Target="../media/image221.png"/><Relationship Id="rId259" Type="http://schemas.openxmlformats.org/officeDocument/2006/relationships/image" Target="../media/image263.png"/><Relationship Id="rId23" Type="http://schemas.openxmlformats.org/officeDocument/2006/relationships/image" Target="../media/image27.png"/><Relationship Id="rId119" Type="http://schemas.openxmlformats.org/officeDocument/2006/relationships/image" Target="../media/image123.png"/><Relationship Id="rId270" Type="http://schemas.openxmlformats.org/officeDocument/2006/relationships/image" Target="../media/image274.png"/><Relationship Id="rId326" Type="http://schemas.openxmlformats.org/officeDocument/2006/relationships/image" Target="../media/image330.png"/><Relationship Id="rId65" Type="http://schemas.openxmlformats.org/officeDocument/2006/relationships/image" Target="../media/image69.png"/><Relationship Id="rId130" Type="http://schemas.openxmlformats.org/officeDocument/2006/relationships/image" Target="../media/image134.png"/><Relationship Id="rId368" Type="http://schemas.openxmlformats.org/officeDocument/2006/relationships/image" Target="../media/image372.png"/><Relationship Id="rId172" Type="http://schemas.openxmlformats.org/officeDocument/2006/relationships/image" Target="../media/image176.png"/><Relationship Id="rId228" Type="http://schemas.openxmlformats.org/officeDocument/2006/relationships/image" Target="../media/image232.png"/><Relationship Id="rId281" Type="http://schemas.openxmlformats.org/officeDocument/2006/relationships/image" Target="../media/image285.png"/><Relationship Id="rId337" Type="http://schemas.openxmlformats.org/officeDocument/2006/relationships/image" Target="../media/image341.png"/><Relationship Id="rId34" Type="http://schemas.openxmlformats.org/officeDocument/2006/relationships/image" Target="../media/image38.png"/><Relationship Id="rId76" Type="http://schemas.openxmlformats.org/officeDocument/2006/relationships/image" Target="../media/image80.png"/><Relationship Id="rId141" Type="http://schemas.openxmlformats.org/officeDocument/2006/relationships/image" Target="../media/image145.png"/><Relationship Id="rId7" Type="http://schemas.openxmlformats.org/officeDocument/2006/relationships/image" Target="../media/image11.png"/><Relationship Id="rId183" Type="http://schemas.openxmlformats.org/officeDocument/2006/relationships/image" Target="../media/image187.png"/><Relationship Id="rId239" Type="http://schemas.openxmlformats.org/officeDocument/2006/relationships/image" Target="../media/image243.png"/><Relationship Id="rId250" Type="http://schemas.openxmlformats.org/officeDocument/2006/relationships/image" Target="../media/image254.png"/><Relationship Id="rId292" Type="http://schemas.openxmlformats.org/officeDocument/2006/relationships/image" Target="../media/image296.png"/><Relationship Id="rId306" Type="http://schemas.openxmlformats.org/officeDocument/2006/relationships/image" Target="../media/image310.png"/><Relationship Id="rId45" Type="http://schemas.openxmlformats.org/officeDocument/2006/relationships/image" Target="../media/image49.png"/><Relationship Id="rId87" Type="http://schemas.openxmlformats.org/officeDocument/2006/relationships/image" Target="../media/image91.png"/><Relationship Id="rId110" Type="http://schemas.openxmlformats.org/officeDocument/2006/relationships/image" Target="../media/image114.png"/><Relationship Id="rId348" Type="http://schemas.openxmlformats.org/officeDocument/2006/relationships/image" Target="../media/image352.png"/><Relationship Id="rId152" Type="http://schemas.openxmlformats.org/officeDocument/2006/relationships/image" Target="../media/image156.png"/><Relationship Id="rId194" Type="http://schemas.openxmlformats.org/officeDocument/2006/relationships/image" Target="../media/image198.png"/><Relationship Id="rId208" Type="http://schemas.openxmlformats.org/officeDocument/2006/relationships/image" Target="../media/image212.png"/><Relationship Id="rId261" Type="http://schemas.openxmlformats.org/officeDocument/2006/relationships/image" Target="../media/image265.png"/><Relationship Id="rId14" Type="http://schemas.openxmlformats.org/officeDocument/2006/relationships/image" Target="../media/image18.png"/><Relationship Id="rId56" Type="http://schemas.openxmlformats.org/officeDocument/2006/relationships/image" Target="../media/image60.png"/><Relationship Id="rId317" Type="http://schemas.openxmlformats.org/officeDocument/2006/relationships/image" Target="../media/image321.png"/><Relationship Id="rId359" Type="http://schemas.openxmlformats.org/officeDocument/2006/relationships/image" Target="../media/image363.png"/><Relationship Id="rId98" Type="http://schemas.openxmlformats.org/officeDocument/2006/relationships/image" Target="../media/image102.png"/><Relationship Id="rId121" Type="http://schemas.openxmlformats.org/officeDocument/2006/relationships/image" Target="../media/image125.png"/><Relationship Id="rId163" Type="http://schemas.openxmlformats.org/officeDocument/2006/relationships/image" Target="../media/image167.png"/><Relationship Id="rId219" Type="http://schemas.openxmlformats.org/officeDocument/2006/relationships/image" Target="../media/image223.png"/><Relationship Id="rId370" Type="http://schemas.openxmlformats.org/officeDocument/2006/relationships/image" Target="../media/image374.png"/><Relationship Id="rId230" Type="http://schemas.openxmlformats.org/officeDocument/2006/relationships/image" Target="../media/image234.png"/><Relationship Id="rId25" Type="http://schemas.openxmlformats.org/officeDocument/2006/relationships/image" Target="../media/image29.png"/><Relationship Id="rId67" Type="http://schemas.openxmlformats.org/officeDocument/2006/relationships/image" Target="../media/image71.png"/><Relationship Id="rId272" Type="http://schemas.openxmlformats.org/officeDocument/2006/relationships/image" Target="../media/image276.png"/><Relationship Id="rId328" Type="http://schemas.openxmlformats.org/officeDocument/2006/relationships/image" Target="../media/image332.png"/><Relationship Id="rId132" Type="http://schemas.openxmlformats.org/officeDocument/2006/relationships/image" Target="../media/image136.png"/><Relationship Id="rId174" Type="http://schemas.openxmlformats.org/officeDocument/2006/relationships/image" Target="../media/image178.png"/><Relationship Id="rId241" Type="http://schemas.openxmlformats.org/officeDocument/2006/relationships/image" Target="../media/image245.png"/><Relationship Id="rId36" Type="http://schemas.openxmlformats.org/officeDocument/2006/relationships/image" Target="../media/image40.png"/><Relationship Id="rId283" Type="http://schemas.openxmlformats.org/officeDocument/2006/relationships/image" Target="../media/image287.png"/><Relationship Id="rId339" Type="http://schemas.openxmlformats.org/officeDocument/2006/relationships/image" Target="../media/image343.png"/><Relationship Id="rId78" Type="http://schemas.openxmlformats.org/officeDocument/2006/relationships/image" Target="../media/image82.png"/><Relationship Id="rId99" Type="http://schemas.openxmlformats.org/officeDocument/2006/relationships/image" Target="../media/image103.png"/><Relationship Id="rId101" Type="http://schemas.openxmlformats.org/officeDocument/2006/relationships/image" Target="../media/image105.png"/><Relationship Id="rId122" Type="http://schemas.openxmlformats.org/officeDocument/2006/relationships/image" Target="../media/image126.png"/><Relationship Id="rId143" Type="http://schemas.openxmlformats.org/officeDocument/2006/relationships/image" Target="../media/image147.png"/><Relationship Id="rId164" Type="http://schemas.openxmlformats.org/officeDocument/2006/relationships/image" Target="../media/image168.png"/><Relationship Id="rId185" Type="http://schemas.openxmlformats.org/officeDocument/2006/relationships/image" Target="../media/image189.png"/><Relationship Id="rId350" Type="http://schemas.openxmlformats.org/officeDocument/2006/relationships/image" Target="../media/image354.png"/><Relationship Id="rId371" Type="http://schemas.openxmlformats.org/officeDocument/2006/relationships/image" Target="../media/image375.png"/><Relationship Id="rId9" Type="http://schemas.openxmlformats.org/officeDocument/2006/relationships/image" Target="../media/image13.png"/><Relationship Id="rId210" Type="http://schemas.openxmlformats.org/officeDocument/2006/relationships/image" Target="../media/image214.png"/><Relationship Id="rId26" Type="http://schemas.openxmlformats.org/officeDocument/2006/relationships/image" Target="../media/image30.png"/><Relationship Id="rId231" Type="http://schemas.openxmlformats.org/officeDocument/2006/relationships/image" Target="../media/image235.png"/><Relationship Id="rId252" Type="http://schemas.openxmlformats.org/officeDocument/2006/relationships/image" Target="../media/image256.png"/><Relationship Id="rId273" Type="http://schemas.openxmlformats.org/officeDocument/2006/relationships/image" Target="../media/image277.png"/><Relationship Id="rId294" Type="http://schemas.openxmlformats.org/officeDocument/2006/relationships/image" Target="../media/image298.png"/><Relationship Id="rId308" Type="http://schemas.openxmlformats.org/officeDocument/2006/relationships/image" Target="../media/image312.png"/><Relationship Id="rId329" Type="http://schemas.openxmlformats.org/officeDocument/2006/relationships/image" Target="../media/image333.png"/><Relationship Id="rId47" Type="http://schemas.openxmlformats.org/officeDocument/2006/relationships/image" Target="../media/image51.png"/><Relationship Id="rId68" Type="http://schemas.openxmlformats.org/officeDocument/2006/relationships/image" Target="../media/image72.png"/><Relationship Id="rId89" Type="http://schemas.openxmlformats.org/officeDocument/2006/relationships/image" Target="../media/image93.png"/><Relationship Id="rId112" Type="http://schemas.openxmlformats.org/officeDocument/2006/relationships/image" Target="../media/image116.png"/><Relationship Id="rId133" Type="http://schemas.openxmlformats.org/officeDocument/2006/relationships/image" Target="../media/image137.png"/><Relationship Id="rId154" Type="http://schemas.openxmlformats.org/officeDocument/2006/relationships/image" Target="../media/image158.png"/><Relationship Id="rId175" Type="http://schemas.openxmlformats.org/officeDocument/2006/relationships/image" Target="../media/image179.png"/><Relationship Id="rId340" Type="http://schemas.openxmlformats.org/officeDocument/2006/relationships/image" Target="../media/image344.png"/><Relationship Id="rId361" Type="http://schemas.openxmlformats.org/officeDocument/2006/relationships/image" Target="../media/image365.png"/><Relationship Id="rId196" Type="http://schemas.openxmlformats.org/officeDocument/2006/relationships/image" Target="../media/image200.png"/><Relationship Id="rId200" Type="http://schemas.openxmlformats.org/officeDocument/2006/relationships/image" Target="../media/image204.png"/><Relationship Id="rId16" Type="http://schemas.openxmlformats.org/officeDocument/2006/relationships/image" Target="../media/image20.png"/><Relationship Id="rId221" Type="http://schemas.openxmlformats.org/officeDocument/2006/relationships/image" Target="../media/image225.png"/><Relationship Id="rId242" Type="http://schemas.openxmlformats.org/officeDocument/2006/relationships/image" Target="../media/image246.png"/><Relationship Id="rId263" Type="http://schemas.openxmlformats.org/officeDocument/2006/relationships/image" Target="../media/image267.png"/><Relationship Id="rId284" Type="http://schemas.openxmlformats.org/officeDocument/2006/relationships/image" Target="../media/image288.png"/><Relationship Id="rId319" Type="http://schemas.openxmlformats.org/officeDocument/2006/relationships/image" Target="../media/image323.png"/><Relationship Id="rId37" Type="http://schemas.openxmlformats.org/officeDocument/2006/relationships/image" Target="../media/image41.png"/><Relationship Id="rId58" Type="http://schemas.openxmlformats.org/officeDocument/2006/relationships/image" Target="../media/image62.png"/><Relationship Id="rId79" Type="http://schemas.openxmlformats.org/officeDocument/2006/relationships/image" Target="../media/image83.png"/><Relationship Id="rId102" Type="http://schemas.openxmlformats.org/officeDocument/2006/relationships/image" Target="../media/image106.png"/><Relationship Id="rId123" Type="http://schemas.openxmlformats.org/officeDocument/2006/relationships/image" Target="../media/image127.png"/><Relationship Id="rId144" Type="http://schemas.openxmlformats.org/officeDocument/2006/relationships/image" Target="../media/image148.png"/><Relationship Id="rId330" Type="http://schemas.openxmlformats.org/officeDocument/2006/relationships/image" Target="../media/image334.png"/><Relationship Id="rId90" Type="http://schemas.openxmlformats.org/officeDocument/2006/relationships/image" Target="../media/image94.png"/><Relationship Id="rId165" Type="http://schemas.openxmlformats.org/officeDocument/2006/relationships/image" Target="../media/image169.png"/><Relationship Id="rId186" Type="http://schemas.openxmlformats.org/officeDocument/2006/relationships/image" Target="../media/image190.png"/><Relationship Id="rId351" Type="http://schemas.openxmlformats.org/officeDocument/2006/relationships/image" Target="../media/image355.png"/><Relationship Id="rId372" Type="http://schemas.openxmlformats.org/officeDocument/2006/relationships/image" Target="../media/image376.png"/><Relationship Id="rId211" Type="http://schemas.openxmlformats.org/officeDocument/2006/relationships/image" Target="../media/image215.png"/><Relationship Id="rId232" Type="http://schemas.openxmlformats.org/officeDocument/2006/relationships/image" Target="../media/image236.png"/><Relationship Id="rId253" Type="http://schemas.openxmlformats.org/officeDocument/2006/relationships/image" Target="../media/image257.png"/><Relationship Id="rId274" Type="http://schemas.openxmlformats.org/officeDocument/2006/relationships/image" Target="../media/image278.png"/><Relationship Id="rId295" Type="http://schemas.openxmlformats.org/officeDocument/2006/relationships/image" Target="../media/image299.png"/><Relationship Id="rId309" Type="http://schemas.openxmlformats.org/officeDocument/2006/relationships/image" Target="../media/image313.png"/><Relationship Id="rId27" Type="http://schemas.openxmlformats.org/officeDocument/2006/relationships/image" Target="../media/image31.png"/><Relationship Id="rId48" Type="http://schemas.openxmlformats.org/officeDocument/2006/relationships/image" Target="../media/image52.png"/><Relationship Id="rId69" Type="http://schemas.openxmlformats.org/officeDocument/2006/relationships/image" Target="../media/image73.png"/><Relationship Id="rId113" Type="http://schemas.openxmlformats.org/officeDocument/2006/relationships/image" Target="../media/image117.png"/><Relationship Id="rId134" Type="http://schemas.openxmlformats.org/officeDocument/2006/relationships/image" Target="../media/image138.png"/><Relationship Id="rId320" Type="http://schemas.openxmlformats.org/officeDocument/2006/relationships/image" Target="../media/image324.png"/><Relationship Id="rId80" Type="http://schemas.openxmlformats.org/officeDocument/2006/relationships/image" Target="../media/image84.png"/><Relationship Id="rId155" Type="http://schemas.openxmlformats.org/officeDocument/2006/relationships/image" Target="../media/image159.png"/><Relationship Id="rId176" Type="http://schemas.openxmlformats.org/officeDocument/2006/relationships/image" Target="../media/image180.png"/><Relationship Id="rId197" Type="http://schemas.openxmlformats.org/officeDocument/2006/relationships/image" Target="../media/image201.png"/><Relationship Id="rId341" Type="http://schemas.openxmlformats.org/officeDocument/2006/relationships/image" Target="../media/image345.png"/><Relationship Id="rId362" Type="http://schemas.openxmlformats.org/officeDocument/2006/relationships/image" Target="../media/image366.png"/><Relationship Id="rId201" Type="http://schemas.openxmlformats.org/officeDocument/2006/relationships/image" Target="../media/image205.png"/><Relationship Id="rId222" Type="http://schemas.openxmlformats.org/officeDocument/2006/relationships/image" Target="../media/image226.png"/><Relationship Id="rId243" Type="http://schemas.openxmlformats.org/officeDocument/2006/relationships/image" Target="../media/image247.png"/><Relationship Id="rId264" Type="http://schemas.openxmlformats.org/officeDocument/2006/relationships/image" Target="../media/image268.png"/><Relationship Id="rId285" Type="http://schemas.openxmlformats.org/officeDocument/2006/relationships/image" Target="../media/image289.png"/><Relationship Id="rId17" Type="http://schemas.openxmlformats.org/officeDocument/2006/relationships/image" Target="../media/image21.png"/><Relationship Id="rId38" Type="http://schemas.openxmlformats.org/officeDocument/2006/relationships/image" Target="../media/image42.png"/><Relationship Id="rId59" Type="http://schemas.openxmlformats.org/officeDocument/2006/relationships/image" Target="../media/image63.png"/><Relationship Id="rId103" Type="http://schemas.openxmlformats.org/officeDocument/2006/relationships/image" Target="../media/image107.png"/><Relationship Id="rId124" Type="http://schemas.openxmlformats.org/officeDocument/2006/relationships/image" Target="../media/image128.png"/><Relationship Id="rId310" Type="http://schemas.openxmlformats.org/officeDocument/2006/relationships/image" Target="../media/image314.png"/><Relationship Id="rId70" Type="http://schemas.openxmlformats.org/officeDocument/2006/relationships/image" Target="../media/image74.png"/><Relationship Id="rId91" Type="http://schemas.openxmlformats.org/officeDocument/2006/relationships/image" Target="../media/image95.png"/><Relationship Id="rId145" Type="http://schemas.openxmlformats.org/officeDocument/2006/relationships/image" Target="../media/image149.png"/><Relationship Id="rId166" Type="http://schemas.openxmlformats.org/officeDocument/2006/relationships/image" Target="../media/image170.png"/><Relationship Id="rId187" Type="http://schemas.openxmlformats.org/officeDocument/2006/relationships/image" Target="../media/image191.png"/><Relationship Id="rId331" Type="http://schemas.openxmlformats.org/officeDocument/2006/relationships/image" Target="../media/image335.png"/><Relationship Id="rId352" Type="http://schemas.openxmlformats.org/officeDocument/2006/relationships/image" Target="../media/image356.png"/><Relationship Id="rId373" Type="http://schemas.openxmlformats.org/officeDocument/2006/relationships/image" Target="../media/image377.png"/><Relationship Id="rId1" Type="http://schemas.openxmlformats.org/officeDocument/2006/relationships/image" Target="../media/image5.jpeg"/><Relationship Id="rId212" Type="http://schemas.openxmlformats.org/officeDocument/2006/relationships/image" Target="../media/image216.png"/><Relationship Id="rId233" Type="http://schemas.openxmlformats.org/officeDocument/2006/relationships/image" Target="../media/image237.png"/><Relationship Id="rId254" Type="http://schemas.openxmlformats.org/officeDocument/2006/relationships/image" Target="../media/image258.png"/><Relationship Id="rId28" Type="http://schemas.openxmlformats.org/officeDocument/2006/relationships/image" Target="../media/image32.png"/><Relationship Id="rId49" Type="http://schemas.openxmlformats.org/officeDocument/2006/relationships/image" Target="../media/image53.png"/><Relationship Id="rId114" Type="http://schemas.openxmlformats.org/officeDocument/2006/relationships/image" Target="../media/image118.png"/><Relationship Id="rId275" Type="http://schemas.openxmlformats.org/officeDocument/2006/relationships/image" Target="../media/image279.png"/><Relationship Id="rId296" Type="http://schemas.openxmlformats.org/officeDocument/2006/relationships/image" Target="../media/image300.png"/><Relationship Id="rId300" Type="http://schemas.openxmlformats.org/officeDocument/2006/relationships/image" Target="../media/image304.png"/><Relationship Id="rId60" Type="http://schemas.openxmlformats.org/officeDocument/2006/relationships/image" Target="../media/image64.png"/><Relationship Id="rId81" Type="http://schemas.openxmlformats.org/officeDocument/2006/relationships/image" Target="../media/image85.png"/><Relationship Id="rId135" Type="http://schemas.openxmlformats.org/officeDocument/2006/relationships/image" Target="../media/image139.png"/><Relationship Id="rId156" Type="http://schemas.openxmlformats.org/officeDocument/2006/relationships/image" Target="../media/image160.png"/><Relationship Id="rId177" Type="http://schemas.openxmlformats.org/officeDocument/2006/relationships/image" Target="../media/image181.png"/><Relationship Id="rId198" Type="http://schemas.openxmlformats.org/officeDocument/2006/relationships/image" Target="../media/image202.png"/><Relationship Id="rId321" Type="http://schemas.openxmlformats.org/officeDocument/2006/relationships/image" Target="../media/image325.png"/><Relationship Id="rId342" Type="http://schemas.openxmlformats.org/officeDocument/2006/relationships/image" Target="../media/image346.png"/><Relationship Id="rId363" Type="http://schemas.openxmlformats.org/officeDocument/2006/relationships/image" Target="../media/image367.png"/><Relationship Id="rId202" Type="http://schemas.openxmlformats.org/officeDocument/2006/relationships/image" Target="../media/image206.png"/><Relationship Id="rId223" Type="http://schemas.openxmlformats.org/officeDocument/2006/relationships/image" Target="../media/image227.png"/><Relationship Id="rId244" Type="http://schemas.openxmlformats.org/officeDocument/2006/relationships/image" Target="../media/image248.png"/><Relationship Id="rId18" Type="http://schemas.openxmlformats.org/officeDocument/2006/relationships/image" Target="../media/image22.png"/><Relationship Id="rId39" Type="http://schemas.openxmlformats.org/officeDocument/2006/relationships/image" Target="../media/image43.png"/><Relationship Id="rId265" Type="http://schemas.openxmlformats.org/officeDocument/2006/relationships/image" Target="../media/image269.png"/><Relationship Id="rId286" Type="http://schemas.openxmlformats.org/officeDocument/2006/relationships/image" Target="../media/image290.png"/><Relationship Id="rId50" Type="http://schemas.openxmlformats.org/officeDocument/2006/relationships/image" Target="../media/image54.png"/><Relationship Id="rId104" Type="http://schemas.openxmlformats.org/officeDocument/2006/relationships/image" Target="../media/image108.png"/><Relationship Id="rId125" Type="http://schemas.openxmlformats.org/officeDocument/2006/relationships/image" Target="../media/image129.png"/><Relationship Id="rId146" Type="http://schemas.openxmlformats.org/officeDocument/2006/relationships/image" Target="../media/image150.png"/><Relationship Id="rId167" Type="http://schemas.openxmlformats.org/officeDocument/2006/relationships/image" Target="../media/image171.png"/><Relationship Id="rId188" Type="http://schemas.openxmlformats.org/officeDocument/2006/relationships/image" Target="../media/image192.png"/><Relationship Id="rId311" Type="http://schemas.openxmlformats.org/officeDocument/2006/relationships/image" Target="../media/image315.png"/><Relationship Id="rId332" Type="http://schemas.openxmlformats.org/officeDocument/2006/relationships/image" Target="../media/image336.png"/><Relationship Id="rId353" Type="http://schemas.openxmlformats.org/officeDocument/2006/relationships/image" Target="../media/image357.png"/><Relationship Id="rId374" Type="http://schemas.openxmlformats.org/officeDocument/2006/relationships/image" Target="../media/image378.png"/><Relationship Id="rId71" Type="http://schemas.openxmlformats.org/officeDocument/2006/relationships/image" Target="../media/image75.png"/><Relationship Id="rId92" Type="http://schemas.openxmlformats.org/officeDocument/2006/relationships/image" Target="../media/image96.png"/><Relationship Id="rId213" Type="http://schemas.openxmlformats.org/officeDocument/2006/relationships/image" Target="../media/image217.png"/><Relationship Id="rId234" Type="http://schemas.openxmlformats.org/officeDocument/2006/relationships/image" Target="../media/image238.png"/><Relationship Id="rId2" Type="http://schemas.openxmlformats.org/officeDocument/2006/relationships/image" Target="../media/image6.jpeg"/><Relationship Id="rId29" Type="http://schemas.openxmlformats.org/officeDocument/2006/relationships/image" Target="../media/image33.png"/><Relationship Id="rId255" Type="http://schemas.openxmlformats.org/officeDocument/2006/relationships/image" Target="../media/image259.png"/><Relationship Id="rId276" Type="http://schemas.openxmlformats.org/officeDocument/2006/relationships/image" Target="../media/image280.png"/><Relationship Id="rId297" Type="http://schemas.openxmlformats.org/officeDocument/2006/relationships/image" Target="../media/image301.png"/><Relationship Id="rId40" Type="http://schemas.openxmlformats.org/officeDocument/2006/relationships/image" Target="../media/image44.png"/><Relationship Id="rId115" Type="http://schemas.openxmlformats.org/officeDocument/2006/relationships/image" Target="../media/image119.png"/><Relationship Id="rId136" Type="http://schemas.openxmlformats.org/officeDocument/2006/relationships/image" Target="../media/image140.png"/><Relationship Id="rId157" Type="http://schemas.openxmlformats.org/officeDocument/2006/relationships/image" Target="../media/image161.png"/><Relationship Id="rId178" Type="http://schemas.openxmlformats.org/officeDocument/2006/relationships/image" Target="../media/image182.png"/><Relationship Id="rId301" Type="http://schemas.openxmlformats.org/officeDocument/2006/relationships/image" Target="../media/image305.png"/><Relationship Id="rId322" Type="http://schemas.openxmlformats.org/officeDocument/2006/relationships/image" Target="../media/image326.png"/><Relationship Id="rId343" Type="http://schemas.openxmlformats.org/officeDocument/2006/relationships/image" Target="../media/image347.png"/><Relationship Id="rId364" Type="http://schemas.openxmlformats.org/officeDocument/2006/relationships/image" Target="../media/image368.png"/><Relationship Id="rId61" Type="http://schemas.openxmlformats.org/officeDocument/2006/relationships/image" Target="../media/image65.png"/><Relationship Id="rId82" Type="http://schemas.openxmlformats.org/officeDocument/2006/relationships/image" Target="../media/image86.png"/><Relationship Id="rId199" Type="http://schemas.openxmlformats.org/officeDocument/2006/relationships/image" Target="../media/image203.png"/><Relationship Id="rId203" Type="http://schemas.openxmlformats.org/officeDocument/2006/relationships/image" Target="../media/image207.png"/><Relationship Id="rId19" Type="http://schemas.openxmlformats.org/officeDocument/2006/relationships/image" Target="../media/image23.png"/><Relationship Id="rId224" Type="http://schemas.openxmlformats.org/officeDocument/2006/relationships/image" Target="../media/image228.png"/><Relationship Id="rId245" Type="http://schemas.openxmlformats.org/officeDocument/2006/relationships/image" Target="../media/image249.png"/><Relationship Id="rId266" Type="http://schemas.openxmlformats.org/officeDocument/2006/relationships/image" Target="../media/image270.png"/><Relationship Id="rId287" Type="http://schemas.openxmlformats.org/officeDocument/2006/relationships/image" Target="../media/image291.png"/><Relationship Id="rId30" Type="http://schemas.openxmlformats.org/officeDocument/2006/relationships/image" Target="../media/image34.png"/><Relationship Id="rId105" Type="http://schemas.openxmlformats.org/officeDocument/2006/relationships/image" Target="../media/image109.png"/><Relationship Id="rId126" Type="http://schemas.openxmlformats.org/officeDocument/2006/relationships/image" Target="../media/image130.png"/><Relationship Id="rId147" Type="http://schemas.openxmlformats.org/officeDocument/2006/relationships/image" Target="../media/image151.png"/><Relationship Id="rId168" Type="http://schemas.openxmlformats.org/officeDocument/2006/relationships/image" Target="../media/image172.png"/><Relationship Id="rId312" Type="http://schemas.openxmlformats.org/officeDocument/2006/relationships/image" Target="../media/image316.png"/><Relationship Id="rId333" Type="http://schemas.openxmlformats.org/officeDocument/2006/relationships/image" Target="../media/image337.png"/><Relationship Id="rId354" Type="http://schemas.openxmlformats.org/officeDocument/2006/relationships/image" Target="../media/image358.png"/><Relationship Id="rId51" Type="http://schemas.openxmlformats.org/officeDocument/2006/relationships/image" Target="../media/image55.png"/><Relationship Id="rId72" Type="http://schemas.openxmlformats.org/officeDocument/2006/relationships/image" Target="../media/image76.png"/><Relationship Id="rId93" Type="http://schemas.openxmlformats.org/officeDocument/2006/relationships/image" Target="../media/image97.png"/><Relationship Id="rId189" Type="http://schemas.openxmlformats.org/officeDocument/2006/relationships/image" Target="../media/image193.png"/><Relationship Id="rId375" Type="http://schemas.openxmlformats.org/officeDocument/2006/relationships/image" Target="../media/image379.png"/><Relationship Id="rId3" Type="http://schemas.openxmlformats.org/officeDocument/2006/relationships/image" Target="../media/image7.jpeg"/><Relationship Id="rId214" Type="http://schemas.openxmlformats.org/officeDocument/2006/relationships/image" Target="../media/image218.png"/><Relationship Id="rId235" Type="http://schemas.openxmlformats.org/officeDocument/2006/relationships/image" Target="../media/image239.png"/><Relationship Id="rId256" Type="http://schemas.openxmlformats.org/officeDocument/2006/relationships/image" Target="../media/image260.png"/><Relationship Id="rId277" Type="http://schemas.openxmlformats.org/officeDocument/2006/relationships/image" Target="../media/image281.png"/><Relationship Id="rId298" Type="http://schemas.openxmlformats.org/officeDocument/2006/relationships/image" Target="../media/image302.png"/><Relationship Id="rId116" Type="http://schemas.openxmlformats.org/officeDocument/2006/relationships/image" Target="../media/image120.png"/><Relationship Id="rId137" Type="http://schemas.openxmlformats.org/officeDocument/2006/relationships/image" Target="../media/image141.png"/><Relationship Id="rId158" Type="http://schemas.openxmlformats.org/officeDocument/2006/relationships/image" Target="../media/image162.png"/><Relationship Id="rId302" Type="http://schemas.openxmlformats.org/officeDocument/2006/relationships/image" Target="../media/image306.png"/><Relationship Id="rId323" Type="http://schemas.openxmlformats.org/officeDocument/2006/relationships/image" Target="../media/image327.png"/><Relationship Id="rId344" Type="http://schemas.openxmlformats.org/officeDocument/2006/relationships/image" Target="../media/image348.png"/><Relationship Id="rId20" Type="http://schemas.openxmlformats.org/officeDocument/2006/relationships/image" Target="../media/image24.png"/><Relationship Id="rId41" Type="http://schemas.openxmlformats.org/officeDocument/2006/relationships/image" Target="../media/image45.png"/><Relationship Id="rId62" Type="http://schemas.openxmlformats.org/officeDocument/2006/relationships/image" Target="../media/image66.png"/><Relationship Id="rId83" Type="http://schemas.openxmlformats.org/officeDocument/2006/relationships/image" Target="../media/image87.png"/><Relationship Id="rId179" Type="http://schemas.openxmlformats.org/officeDocument/2006/relationships/image" Target="../media/image183.png"/><Relationship Id="rId365" Type="http://schemas.openxmlformats.org/officeDocument/2006/relationships/image" Target="../media/image369.png"/><Relationship Id="rId190" Type="http://schemas.openxmlformats.org/officeDocument/2006/relationships/image" Target="../media/image194.png"/><Relationship Id="rId204" Type="http://schemas.openxmlformats.org/officeDocument/2006/relationships/image" Target="../media/image208.png"/><Relationship Id="rId225" Type="http://schemas.openxmlformats.org/officeDocument/2006/relationships/image" Target="../media/image229.png"/><Relationship Id="rId246" Type="http://schemas.openxmlformats.org/officeDocument/2006/relationships/image" Target="../media/image250.png"/><Relationship Id="rId267" Type="http://schemas.openxmlformats.org/officeDocument/2006/relationships/image" Target="../media/image271.png"/><Relationship Id="rId288" Type="http://schemas.openxmlformats.org/officeDocument/2006/relationships/image" Target="../media/image292.png"/><Relationship Id="rId106" Type="http://schemas.openxmlformats.org/officeDocument/2006/relationships/image" Target="../media/image110.png"/><Relationship Id="rId127" Type="http://schemas.openxmlformats.org/officeDocument/2006/relationships/image" Target="../media/image131.png"/><Relationship Id="rId313" Type="http://schemas.openxmlformats.org/officeDocument/2006/relationships/image" Target="../media/image317.png"/><Relationship Id="rId10" Type="http://schemas.openxmlformats.org/officeDocument/2006/relationships/image" Target="../media/image14.png"/><Relationship Id="rId31" Type="http://schemas.openxmlformats.org/officeDocument/2006/relationships/image" Target="../media/image35.png"/><Relationship Id="rId52" Type="http://schemas.openxmlformats.org/officeDocument/2006/relationships/image" Target="../media/image56.png"/><Relationship Id="rId73" Type="http://schemas.openxmlformats.org/officeDocument/2006/relationships/image" Target="../media/image77.png"/><Relationship Id="rId94" Type="http://schemas.openxmlformats.org/officeDocument/2006/relationships/image" Target="../media/image98.png"/><Relationship Id="rId148" Type="http://schemas.openxmlformats.org/officeDocument/2006/relationships/image" Target="../media/image152.png"/><Relationship Id="rId169" Type="http://schemas.openxmlformats.org/officeDocument/2006/relationships/image" Target="../media/image173.png"/><Relationship Id="rId334" Type="http://schemas.openxmlformats.org/officeDocument/2006/relationships/image" Target="../media/image338.png"/><Relationship Id="rId355" Type="http://schemas.openxmlformats.org/officeDocument/2006/relationships/image" Target="../media/image359.png"/><Relationship Id="rId376" Type="http://schemas.openxmlformats.org/officeDocument/2006/relationships/image" Target="../media/image380.png"/><Relationship Id="rId4" Type="http://schemas.openxmlformats.org/officeDocument/2006/relationships/image" Target="../media/image8.jpeg"/><Relationship Id="rId180" Type="http://schemas.openxmlformats.org/officeDocument/2006/relationships/image" Target="../media/image184.png"/><Relationship Id="rId215" Type="http://schemas.openxmlformats.org/officeDocument/2006/relationships/image" Target="../media/image219.png"/><Relationship Id="rId236" Type="http://schemas.openxmlformats.org/officeDocument/2006/relationships/image" Target="../media/image240.png"/><Relationship Id="rId257" Type="http://schemas.openxmlformats.org/officeDocument/2006/relationships/image" Target="../media/image261.png"/><Relationship Id="rId278" Type="http://schemas.openxmlformats.org/officeDocument/2006/relationships/image" Target="../media/image282.png"/><Relationship Id="rId303" Type="http://schemas.openxmlformats.org/officeDocument/2006/relationships/image" Target="../media/image307.png"/><Relationship Id="rId42" Type="http://schemas.openxmlformats.org/officeDocument/2006/relationships/image" Target="../media/image46.png"/><Relationship Id="rId84" Type="http://schemas.openxmlformats.org/officeDocument/2006/relationships/image" Target="../media/image88.png"/><Relationship Id="rId138" Type="http://schemas.openxmlformats.org/officeDocument/2006/relationships/image" Target="../media/image142.png"/><Relationship Id="rId345" Type="http://schemas.openxmlformats.org/officeDocument/2006/relationships/image" Target="../media/image349.png"/><Relationship Id="rId191" Type="http://schemas.openxmlformats.org/officeDocument/2006/relationships/image" Target="../media/image195.png"/><Relationship Id="rId205" Type="http://schemas.openxmlformats.org/officeDocument/2006/relationships/image" Target="../media/image209.png"/><Relationship Id="rId247" Type="http://schemas.openxmlformats.org/officeDocument/2006/relationships/image" Target="../media/image251.png"/><Relationship Id="rId107" Type="http://schemas.openxmlformats.org/officeDocument/2006/relationships/image" Target="../media/image111.png"/><Relationship Id="rId289" Type="http://schemas.openxmlformats.org/officeDocument/2006/relationships/image" Target="../media/image293.png"/><Relationship Id="rId11" Type="http://schemas.openxmlformats.org/officeDocument/2006/relationships/image" Target="../media/image15.png"/><Relationship Id="rId53" Type="http://schemas.openxmlformats.org/officeDocument/2006/relationships/image" Target="../media/image57.png"/><Relationship Id="rId149" Type="http://schemas.openxmlformats.org/officeDocument/2006/relationships/image" Target="../media/image153.png"/><Relationship Id="rId314" Type="http://schemas.openxmlformats.org/officeDocument/2006/relationships/image" Target="../media/image318.png"/><Relationship Id="rId356" Type="http://schemas.openxmlformats.org/officeDocument/2006/relationships/image" Target="../media/image360.png"/><Relationship Id="rId95" Type="http://schemas.openxmlformats.org/officeDocument/2006/relationships/image" Target="../media/image99.png"/><Relationship Id="rId160" Type="http://schemas.openxmlformats.org/officeDocument/2006/relationships/image" Target="../media/image164.png"/><Relationship Id="rId216" Type="http://schemas.openxmlformats.org/officeDocument/2006/relationships/image" Target="../media/image220.png"/><Relationship Id="rId258" Type="http://schemas.openxmlformats.org/officeDocument/2006/relationships/image" Target="../media/image262.png"/><Relationship Id="rId22" Type="http://schemas.openxmlformats.org/officeDocument/2006/relationships/image" Target="../media/image26.png"/><Relationship Id="rId64" Type="http://schemas.openxmlformats.org/officeDocument/2006/relationships/image" Target="../media/image68.png"/><Relationship Id="rId118" Type="http://schemas.openxmlformats.org/officeDocument/2006/relationships/image" Target="../media/image122.png"/><Relationship Id="rId325" Type="http://schemas.openxmlformats.org/officeDocument/2006/relationships/image" Target="../media/image329.png"/><Relationship Id="rId367" Type="http://schemas.openxmlformats.org/officeDocument/2006/relationships/image" Target="../media/image371.png"/><Relationship Id="rId171" Type="http://schemas.openxmlformats.org/officeDocument/2006/relationships/image" Target="../media/image175.png"/><Relationship Id="rId227" Type="http://schemas.openxmlformats.org/officeDocument/2006/relationships/image" Target="../media/image231.png"/><Relationship Id="rId269" Type="http://schemas.openxmlformats.org/officeDocument/2006/relationships/image" Target="../media/image273.png"/><Relationship Id="rId33" Type="http://schemas.openxmlformats.org/officeDocument/2006/relationships/image" Target="../media/image37.png"/><Relationship Id="rId129" Type="http://schemas.openxmlformats.org/officeDocument/2006/relationships/image" Target="../media/image133.png"/><Relationship Id="rId280" Type="http://schemas.openxmlformats.org/officeDocument/2006/relationships/image" Target="../media/image284.png"/><Relationship Id="rId336" Type="http://schemas.openxmlformats.org/officeDocument/2006/relationships/image" Target="../media/image340.png"/><Relationship Id="rId75" Type="http://schemas.openxmlformats.org/officeDocument/2006/relationships/image" Target="../media/image79.png"/><Relationship Id="rId140" Type="http://schemas.openxmlformats.org/officeDocument/2006/relationships/image" Target="../media/image144.png"/><Relationship Id="rId182" Type="http://schemas.openxmlformats.org/officeDocument/2006/relationships/image" Target="../media/image186.png"/><Relationship Id="rId6" Type="http://schemas.openxmlformats.org/officeDocument/2006/relationships/image" Target="../media/image10.png"/><Relationship Id="rId238" Type="http://schemas.openxmlformats.org/officeDocument/2006/relationships/image" Target="../media/image242.png"/><Relationship Id="rId291" Type="http://schemas.openxmlformats.org/officeDocument/2006/relationships/image" Target="../media/image295.png"/><Relationship Id="rId305" Type="http://schemas.openxmlformats.org/officeDocument/2006/relationships/image" Target="../media/image309.png"/><Relationship Id="rId347" Type="http://schemas.openxmlformats.org/officeDocument/2006/relationships/image" Target="../media/image351.png"/><Relationship Id="rId44" Type="http://schemas.openxmlformats.org/officeDocument/2006/relationships/image" Target="../media/image48.png"/><Relationship Id="rId86" Type="http://schemas.openxmlformats.org/officeDocument/2006/relationships/image" Target="../media/image90.png"/><Relationship Id="rId151" Type="http://schemas.openxmlformats.org/officeDocument/2006/relationships/image" Target="../media/image155.png"/><Relationship Id="rId193" Type="http://schemas.openxmlformats.org/officeDocument/2006/relationships/image" Target="../media/image197.png"/><Relationship Id="rId207" Type="http://schemas.openxmlformats.org/officeDocument/2006/relationships/image" Target="../media/image211.png"/><Relationship Id="rId249" Type="http://schemas.openxmlformats.org/officeDocument/2006/relationships/image" Target="../media/image253.png"/><Relationship Id="rId13" Type="http://schemas.openxmlformats.org/officeDocument/2006/relationships/image" Target="../media/image17.png"/><Relationship Id="rId109" Type="http://schemas.openxmlformats.org/officeDocument/2006/relationships/image" Target="../media/image113.png"/><Relationship Id="rId260" Type="http://schemas.openxmlformats.org/officeDocument/2006/relationships/image" Target="../media/image264.jpeg"/><Relationship Id="rId316" Type="http://schemas.openxmlformats.org/officeDocument/2006/relationships/image" Target="../media/image320.png"/><Relationship Id="rId55" Type="http://schemas.openxmlformats.org/officeDocument/2006/relationships/image" Target="../media/image59.png"/><Relationship Id="rId97" Type="http://schemas.openxmlformats.org/officeDocument/2006/relationships/image" Target="../media/image101.png"/><Relationship Id="rId120" Type="http://schemas.openxmlformats.org/officeDocument/2006/relationships/image" Target="../media/image124.png"/><Relationship Id="rId358" Type="http://schemas.openxmlformats.org/officeDocument/2006/relationships/image" Target="../media/image362.png"/><Relationship Id="rId162" Type="http://schemas.openxmlformats.org/officeDocument/2006/relationships/image" Target="../media/image166.png"/><Relationship Id="rId218" Type="http://schemas.openxmlformats.org/officeDocument/2006/relationships/image" Target="../media/image222.png"/><Relationship Id="rId271" Type="http://schemas.openxmlformats.org/officeDocument/2006/relationships/image" Target="../media/image275.png"/><Relationship Id="rId24" Type="http://schemas.openxmlformats.org/officeDocument/2006/relationships/image" Target="../media/image28.png"/><Relationship Id="rId66" Type="http://schemas.openxmlformats.org/officeDocument/2006/relationships/image" Target="../media/image70.png"/><Relationship Id="rId131" Type="http://schemas.openxmlformats.org/officeDocument/2006/relationships/image" Target="../media/image135.png"/><Relationship Id="rId327" Type="http://schemas.openxmlformats.org/officeDocument/2006/relationships/image" Target="../media/image331.png"/><Relationship Id="rId369" Type="http://schemas.openxmlformats.org/officeDocument/2006/relationships/image" Target="../media/image373.png"/><Relationship Id="rId173" Type="http://schemas.openxmlformats.org/officeDocument/2006/relationships/image" Target="../media/image177.png"/><Relationship Id="rId229" Type="http://schemas.openxmlformats.org/officeDocument/2006/relationships/image" Target="../media/image233.png"/><Relationship Id="rId240" Type="http://schemas.openxmlformats.org/officeDocument/2006/relationships/image" Target="../media/image244.png"/><Relationship Id="rId35" Type="http://schemas.openxmlformats.org/officeDocument/2006/relationships/image" Target="../media/image39.png"/><Relationship Id="rId77" Type="http://schemas.openxmlformats.org/officeDocument/2006/relationships/image" Target="../media/image81.png"/><Relationship Id="rId100" Type="http://schemas.openxmlformats.org/officeDocument/2006/relationships/image" Target="../media/image104.png"/><Relationship Id="rId282" Type="http://schemas.openxmlformats.org/officeDocument/2006/relationships/image" Target="../media/image286.png"/><Relationship Id="rId338" Type="http://schemas.openxmlformats.org/officeDocument/2006/relationships/image" Target="../media/image342.png"/><Relationship Id="rId8" Type="http://schemas.openxmlformats.org/officeDocument/2006/relationships/image" Target="../media/image12.png"/><Relationship Id="rId142" Type="http://schemas.openxmlformats.org/officeDocument/2006/relationships/image" Target="../media/image146.png"/><Relationship Id="rId184" Type="http://schemas.openxmlformats.org/officeDocument/2006/relationships/image" Target="../media/image188.png"/><Relationship Id="rId251" Type="http://schemas.openxmlformats.org/officeDocument/2006/relationships/image" Target="../media/image255.png"/><Relationship Id="rId46" Type="http://schemas.openxmlformats.org/officeDocument/2006/relationships/image" Target="../media/image50.png"/><Relationship Id="rId293" Type="http://schemas.openxmlformats.org/officeDocument/2006/relationships/image" Target="../media/image297.png"/><Relationship Id="rId307" Type="http://schemas.openxmlformats.org/officeDocument/2006/relationships/image" Target="../media/image311.png"/><Relationship Id="rId349" Type="http://schemas.openxmlformats.org/officeDocument/2006/relationships/image" Target="../media/image353.png"/><Relationship Id="rId88" Type="http://schemas.openxmlformats.org/officeDocument/2006/relationships/image" Target="../media/image92.png"/><Relationship Id="rId111" Type="http://schemas.openxmlformats.org/officeDocument/2006/relationships/image" Target="../media/image115.png"/><Relationship Id="rId153" Type="http://schemas.openxmlformats.org/officeDocument/2006/relationships/image" Target="../media/image157.png"/><Relationship Id="rId195" Type="http://schemas.openxmlformats.org/officeDocument/2006/relationships/image" Target="../media/image199.png"/><Relationship Id="rId209" Type="http://schemas.openxmlformats.org/officeDocument/2006/relationships/image" Target="../media/image213.png"/><Relationship Id="rId360" Type="http://schemas.openxmlformats.org/officeDocument/2006/relationships/image" Target="../media/image364.png"/><Relationship Id="rId220" Type="http://schemas.openxmlformats.org/officeDocument/2006/relationships/image" Target="../media/image224.png"/><Relationship Id="rId15" Type="http://schemas.openxmlformats.org/officeDocument/2006/relationships/image" Target="../media/image19.png"/><Relationship Id="rId57" Type="http://schemas.openxmlformats.org/officeDocument/2006/relationships/image" Target="../media/image61.png"/><Relationship Id="rId262" Type="http://schemas.openxmlformats.org/officeDocument/2006/relationships/image" Target="../media/image266.png"/><Relationship Id="rId318" Type="http://schemas.openxmlformats.org/officeDocument/2006/relationships/image" Target="../media/image32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3.png"/><Relationship Id="rId1" Type="http://schemas.openxmlformats.org/officeDocument/2006/relationships/image" Target="../media/image38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330200</xdr:colOff>
      <xdr:row>21</xdr:row>
      <xdr:rowOff>44450</xdr:rowOff>
    </xdr:from>
    <xdr:to>
      <xdr:col>1</xdr:col>
      <xdr:colOff>207250</xdr:colOff>
      <xdr:row>23</xdr:row>
      <xdr:rowOff>118350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>
          <a:grpSpLocks noChangeAspect="1"/>
        </xdr:cNvGrpSpPr>
      </xdr:nvGrpSpPr>
      <xdr:grpSpPr>
        <a:xfrm>
          <a:off x="330200" y="3997325"/>
          <a:ext cx="496175" cy="512050"/>
          <a:chOff x="701444" y="704920"/>
          <a:chExt cx="5184000" cy="5184000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662764" y="1747520"/>
            <a:ext cx="3261360" cy="3098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screen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701444" y="704920"/>
            <a:ext cx="5184000" cy="5184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323850</xdr:colOff>
      <xdr:row>36</xdr:row>
      <xdr:rowOff>38100</xdr:rowOff>
    </xdr:from>
    <xdr:to>
      <xdr:col>1</xdr:col>
      <xdr:colOff>200900</xdr:colOff>
      <xdr:row>38</xdr:row>
      <xdr:rowOff>112000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 noChangeAspect="1"/>
        </xdr:cNvGrpSpPr>
      </xdr:nvGrpSpPr>
      <xdr:grpSpPr>
        <a:xfrm>
          <a:off x="323850" y="6600825"/>
          <a:ext cx="496175" cy="512050"/>
          <a:chOff x="640080" y="704920"/>
          <a:chExt cx="5184000" cy="5184000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1662764" y="1747520"/>
            <a:ext cx="3261360" cy="3098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screen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640080" y="704920"/>
            <a:ext cx="5184000" cy="5184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323850</xdr:colOff>
      <xdr:row>48</xdr:row>
      <xdr:rowOff>31750</xdr:rowOff>
    </xdr:from>
    <xdr:to>
      <xdr:col>1</xdr:col>
      <xdr:colOff>204500</xdr:colOff>
      <xdr:row>50</xdr:row>
      <xdr:rowOff>109250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>
          <a:grpSpLocks noChangeAspect="1"/>
        </xdr:cNvGrpSpPr>
      </xdr:nvGrpSpPr>
      <xdr:grpSpPr>
        <a:xfrm>
          <a:off x="323850" y="8718550"/>
          <a:ext cx="499775" cy="515650"/>
          <a:chOff x="853440" y="838200"/>
          <a:chExt cx="5220000" cy="5220000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1778000" y="1788160"/>
            <a:ext cx="3461084" cy="349504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screen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853440" y="838200"/>
            <a:ext cx="5220000" cy="522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323850</xdr:colOff>
      <xdr:row>60</xdr:row>
      <xdr:rowOff>38100</xdr:rowOff>
    </xdr:from>
    <xdr:to>
      <xdr:col>1</xdr:col>
      <xdr:colOff>200900</xdr:colOff>
      <xdr:row>62</xdr:row>
      <xdr:rowOff>112000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>
          <a:grpSpLocks noChangeAspect="1"/>
        </xdr:cNvGrpSpPr>
      </xdr:nvGrpSpPr>
      <xdr:grpSpPr>
        <a:xfrm>
          <a:off x="323850" y="10848975"/>
          <a:ext cx="496175" cy="512050"/>
          <a:chOff x="1215724" y="1000760"/>
          <a:chExt cx="5184000" cy="5184000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2177044" y="2043360"/>
            <a:ext cx="3261360" cy="3098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pic>
        <xdr:nvPicPr>
          <xdr:cNvPr id="23" name="Pictur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screen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215724" y="1000760"/>
            <a:ext cx="5184000" cy="5184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349546</xdr:colOff>
      <xdr:row>24</xdr:row>
      <xdr:rowOff>153079</xdr:rowOff>
    </xdr:from>
    <xdr:to>
      <xdr:col>1</xdr:col>
      <xdr:colOff>251089</xdr:colOff>
      <xdr:row>26</xdr:row>
      <xdr:rowOff>127193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349546" y="7744504"/>
          <a:ext cx="482568" cy="507514"/>
          <a:chOff x="344714" y="7499598"/>
          <a:chExt cx="524998" cy="516750"/>
        </a:xfrm>
      </xdr:grpSpPr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id="{00000000-0008-0000-0100-00007A000000}"/>
              </a:ext>
            </a:extLst>
          </xdr:cNvPr>
          <xdr:cNvSpPr/>
        </xdr:nvSpPr>
        <xdr:spPr>
          <a:xfrm>
            <a:off x="442070" y="7603526"/>
            <a:ext cx="330287" cy="308894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pic>
        <xdr:nvPicPr>
          <xdr:cNvPr id="123" name="Picture 122">
            <a:extLst>
              <a:ext uri="{FF2B5EF4-FFF2-40B4-BE49-F238E27FC236}">
                <a16:creationId xmlns:a16="http://schemas.microsoft.com/office/drawing/2014/main" id="{00000000-0008-0000-0100-00007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screen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344714" y="7499598"/>
            <a:ext cx="524998" cy="51675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258536</xdr:colOff>
      <xdr:row>4</xdr:row>
      <xdr:rowOff>174625</xdr:rowOff>
    </xdr:from>
    <xdr:to>
      <xdr:col>3</xdr:col>
      <xdr:colOff>552948</xdr:colOff>
      <xdr:row>4</xdr:row>
      <xdr:rowOff>822625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2039711" y="1193800"/>
          <a:ext cx="1408837" cy="648000"/>
          <a:chOff x="2131786" y="1197427"/>
          <a:chExt cx="1187948" cy="648000"/>
        </a:xfrm>
      </xdr:grpSpPr>
      <xdr:grpSp>
        <xdr:nvGrpSpPr>
          <xdr:cNvPr id="139" name="Group 138">
            <a:extLst>
              <a:ext uri="{FF2B5EF4-FFF2-40B4-BE49-F238E27FC236}">
                <a16:creationId xmlns:a16="http://schemas.microsoft.com/office/drawing/2014/main" id="{00000000-0008-0000-0100-00008B000000}"/>
              </a:ext>
            </a:extLst>
          </xdr:cNvPr>
          <xdr:cNvGrpSpPr>
            <a:grpSpLocks noChangeAspect="1"/>
          </xdr:cNvGrpSpPr>
        </xdr:nvGrpSpPr>
        <xdr:grpSpPr>
          <a:xfrm>
            <a:off x="2131786" y="1197427"/>
            <a:ext cx="650038" cy="648000"/>
            <a:chOff x="701444" y="704920"/>
            <a:chExt cx="5184000" cy="5184000"/>
          </a:xfrm>
        </xdr:grpSpPr>
        <xdr:sp macro="" textlink="">
          <xdr:nvSpPr>
            <xdr:cNvPr id="140" name="Rectangle 139">
              <a:extLst>
                <a:ext uri="{FF2B5EF4-FFF2-40B4-BE49-F238E27FC236}">
                  <a16:creationId xmlns:a16="http://schemas.microsoft.com/office/drawing/2014/main" id="{00000000-0008-0000-0100-00008C000000}"/>
                </a:ext>
              </a:extLst>
            </xdr:cNvPr>
            <xdr:cNvSpPr/>
          </xdr:nvSpPr>
          <xdr:spPr>
            <a:xfrm>
              <a:off x="1662764" y="1747520"/>
              <a:ext cx="3261360" cy="30988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  <xdr:pic>
          <xdr:nvPicPr>
            <xdr:cNvPr id="141" name="Picture 140">
              <a:extLst>
                <a:ext uri="{FF2B5EF4-FFF2-40B4-BE49-F238E27FC236}">
                  <a16:creationId xmlns:a16="http://schemas.microsoft.com/office/drawing/2014/main" id="{00000000-0008-0000-0100-00008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screen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701444" y="704920"/>
              <a:ext cx="5184000" cy="5184000"/>
            </a:xfrm>
            <a:prstGeom prst="rect">
              <a:avLst/>
            </a:prstGeom>
          </xdr:spPr>
        </xdr:pic>
      </xdr:grpSp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pSpPr/>
        </xdr:nvGrpSpPr>
        <xdr:grpSpPr>
          <a:xfrm>
            <a:off x="2815734" y="1270807"/>
            <a:ext cx="504000" cy="504000"/>
            <a:chOff x="2815734" y="1243592"/>
            <a:chExt cx="504000" cy="504000"/>
          </a:xfrm>
        </xdr:grpSpPr>
        <xdr:sp macro="" textlink="$D$18">
          <xdr:nvSpPr>
            <xdr:cNvPr id="142" name="Rounded Rectangle 141">
              <a:extLst>
                <a:ext uri="{FF2B5EF4-FFF2-40B4-BE49-F238E27FC236}">
                  <a16:creationId xmlns:a16="http://schemas.microsoft.com/office/drawing/2014/main" id="{00000000-0008-0000-0100-00008E000000}"/>
                </a:ext>
              </a:extLst>
            </xdr:cNvPr>
            <xdr:cNvSpPr>
              <a:spLocks noChangeAspect="1"/>
            </xdr:cNvSpPr>
          </xdr:nvSpPr>
          <xdr:spPr>
            <a:xfrm>
              <a:off x="2815734" y="1243592"/>
              <a:ext cx="504000" cy="504000"/>
            </a:xfrm>
            <a:prstGeom prst="roundRect">
              <a:avLst>
                <a:gd name="adj" fmla="val 8010"/>
              </a:avLst>
            </a:prstGeom>
            <a:solidFill>
              <a:schemeClr val="bg1"/>
            </a:solidFill>
            <a:ln w="38100">
              <a:solidFill>
                <a:srgbClr val="FFD40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5FA2829B-0EA4-4D5E-98B1-C85C7DCD1D73}" type="TxLink">
                <a:rPr lang="en-US" sz="1400" b="1" i="0" u="none" strike="noStrike">
                  <a:solidFill>
                    <a:srgbClr val="FFFFFF"/>
                  </a:solidFill>
                  <a:latin typeface="Calibri"/>
                  <a:cs typeface="Arial"/>
                </a:rPr>
                <a:pPr algn="ctr"/>
                <a:t>0%</a:t>
              </a:fld>
              <a:endParaRPr lang="en-GB" sz="2000"/>
            </a:p>
          </xdr:txBody>
        </xdr:sp>
        <xdr:sp macro="" textlink="$D$18">
          <xdr:nvSpPr>
            <xdr:cNvPr id="143" name="Oval 142">
              <a:extLst>
                <a:ext uri="{FF2B5EF4-FFF2-40B4-BE49-F238E27FC236}">
                  <a16:creationId xmlns:a16="http://schemas.microsoft.com/office/drawing/2014/main" id="{00000000-0008-0000-0100-00008F000000}"/>
                </a:ext>
              </a:extLst>
            </xdr:cNvPr>
            <xdr:cNvSpPr/>
          </xdr:nvSpPr>
          <xdr:spPr bwMode="auto">
            <a:xfrm>
              <a:off x="2816800" y="1247942"/>
              <a:ext cx="501868" cy="495300"/>
            </a:xfrm>
            <a:prstGeom prst="ellipse">
              <a:avLst/>
            </a:prstGeom>
            <a:noFill/>
            <a:ln w="3810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fld id="{1F23820B-A60C-46F7-96CD-D2AE4BB94C0B}" type="TxLink">
                <a:rPr lang="en-US" sz="1400" b="1" i="0" u="none" strike="noStrike">
                  <a:solidFill>
                    <a:sysClr val="windowText" lastClr="000000"/>
                  </a:solidFill>
                  <a:latin typeface="Calibri"/>
                  <a:cs typeface="Arial"/>
                </a:rPr>
                <a:pPr algn="ctr"/>
                <a:t>0%</a:t>
              </a:fld>
              <a:endParaRPr lang="nl-BE" sz="1600" b="1">
                <a:solidFill>
                  <a:sysClr val="windowText" lastClr="000000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4</xdr:col>
      <xdr:colOff>258532</xdr:colOff>
      <xdr:row>4</xdr:row>
      <xdr:rowOff>174625</xdr:rowOff>
    </xdr:from>
    <xdr:to>
      <xdr:col>5</xdr:col>
      <xdr:colOff>549362</xdr:colOff>
      <xdr:row>4</xdr:row>
      <xdr:rowOff>822625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4001857" y="1193800"/>
          <a:ext cx="1405255" cy="648000"/>
          <a:chOff x="3918853" y="1197430"/>
          <a:chExt cx="1184366" cy="648000"/>
        </a:xfrm>
      </xdr:grpSpPr>
      <xdr:grpSp>
        <xdr:nvGrpSpPr>
          <xdr:cNvPr id="151" name="Group 150">
            <a:extLst>
              <a:ext uri="{FF2B5EF4-FFF2-40B4-BE49-F238E27FC236}">
                <a16:creationId xmlns:a16="http://schemas.microsoft.com/office/drawing/2014/main" id="{00000000-0008-0000-0100-000097000000}"/>
              </a:ext>
            </a:extLst>
          </xdr:cNvPr>
          <xdr:cNvGrpSpPr>
            <a:grpSpLocks noChangeAspect="1"/>
          </xdr:cNvGrpSpPr>
        </xdr:nvGrpSpPr>
        <xdr:grpSpPr>
          <a:xfrm>
            <a:off x="3918853" y="1197430"/>
            <a:ext cx="648000" cy="648000"/>
            <a:chOff x="640080" y="704920"/>
            <a:chExt cx="5184000" cy="5184000"/>
          </a:xfrm>
        </xdr:grpSpPr>
        <xdr:sp macro="" textlink="">
          <xdr:nvSpPr>
            <xdr:cNvPr id="152" name="Rectangle 151">
              <a:extLst>
                <a:ext uri="{FF2B5EF4-FFF2-40B4-BE49-F238E27FC236}">
                  <a16:creationId xmlns:a16="http://schemas.microsoft.com/office/drawing/2014/main" id="{00000000-0008-0000-0100-000098000000}"/>
                </a:ext>
              </a:extLst>
            </xdr:cNvPr>
            <xdr:cNvSpPr/>
          </xdr:nvSpPr>
          <xdr:spPr>
            <a:xfrm>
              <a:off x="1662764" y="1747520"/>
              <a:ext cx="3261360" cy="30988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  <xdr:pic>
          <xdr:nvPicPr>
            <xdr:cNvPr id="153" name="Picture 152">
              <a:extLst>
                <a:ext uri="{FF2B5EF4-FFF2-40B4-BE49-F238E27FC236}">
                  <a16:creationId xmlns:a16="http://schemas.microsoft.com/office/drawing/2014/main" id="{00000000-0008-0000-0100-00009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screen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640080" y="704920"/>
              <a:ext cx="5184000" cy="5184000"/>
            </a:xfrm>
            <a:prstGeom prst="rect">
              <a:avLst/>
            </a:prstGeom>
          </xdr:spPr>
        </xdr:pic>
      </xdr:grp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pSpPr/>
        </xdr:nvGrpSpPr>
        <xdr:grpSpPr>
          <a:xfrm>
            <a:off x="4599219" y="1269146"/>
            <a:ext cx="504000" cy="504000"/>
            <a:chOff x="4667249" y="1251002"/>
            <a:chExt cx="504000" cy="504000"/>
          </a:xfrm>
        </xdr:grpSpPr>
        <xdr:sp macro="" textlink="">
          <xdr:nvSpPr>
            <xdr:cNvPr id="154" name="Rounded Rectangle 153">
              <a:extLst>
                <a:ext uri="{FF2B5EF4-FFF2-40B4-BE49-F238E27FC236}">
                  <a16:creationId xmlns:a16="http://schemas.microsoft.com/office/drawing/2014/main" id="{00000000-0008-0000-0100-00009A000000}"/>
                </a:ext>
              </a:extLst>
            </xdr:cNvPr>
            <xdr:cNvSpPr>
              <a:spLocks noChangeAspect="1"/>
            </xdr:cNvSpPr>
          </xdr:nvSpPr>
          <xdr:spPr>
            <a:xfrm>
              <a:off x="4667249" y="1251002"/>
              <a:ext cx="504000" cy="504000"/>
            </a:xfrm>
            <a:prstGeom prst="roundRect">
              <a:avLst>
                <a:gd name="adj" fmla="val 8010"/>
              </a:avLst>
            </a:prstGeom>
            <a:solidFill>
              <a:schemeClr val="bg1"/>
            </a:solidFill>
            <a:ln w="38100">
              <a:solidFill>
                <a:srgbClr val="0097EA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algn="ctr"/>
              <a:endParaRPr lang="en-US" sz="1400">
                <a:solidFill>
                  <a:sysClr val="windowText" lastClr="000000"/>
                </a:solidFill>
                <a:latin typeface="+mn-lt"/>
              </a:endParaRPr>
            </a:p>
          </xdr:txBody>
        </xdr:sp>
        <xdr:sp macro="" textlink="$F$18">
          <xdr:nvSpPr>
            <xdr:cNvPr id="157" name="Oval 156">
              <a:extLst>
                <a:ext uri="{FF2B5EF4-FFF2-40B4-BE49-F238E27FC236}">
                  <a16:creationId xmlns:a16="http://schemas.microsoft.com/office/drawing/2014/main" id="{00000000-0008-0000-0100-00009D000000}"/>
                </a:ext>
              </a:extLst>
            </xdr:cNvPr>
            <xdr:cNvSpPr/>
          </xdr:nvSpPr>
          <xdr:spPr bwMode="auto">
            <a:xfrm>
              <a:off x="4668315" y="1255352"/>
              <a:ext cx="501868" cy="495300"/>
            </a:xfrm>
            <a:prstGeom prst="ellipse">
              <a:avLst/>
            </a:prstGeom>
            <a:noFill/>
            <a:ln w="3810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fld id="{10A2B778-6DB6-4A8A-8328-117AFA15D8A3}" type="TxLink">
                <a:rPr lang="en-US" sz="1400" b="1" i="0" u="none" strike="noStrike">
                  <a:solidFill>
                    <a:sysClr val="windowText" lastClr="000000"/>
                  </a:solidFill>
                  <a:latin typeface="Calibri"/>
                  <a:cs typeface="Arial"/>
                </a:rPr>
                <a:pPr algn="ctr"/>
                <a:t>0%</a:t>
              </a:fld>
              <a:endParaRPr lang="nl-BE" sz="1400" b="1">
                <a:solidFill>
                  <a:sysClr val="windowText" lastClr="000000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6</xdr:col>
      <xdr:colOff>317499</xdr:colOff>
      <xdr:row>4</xdr:row>
      <xdr:rowOff>174625</xdr:rowOff>
    </xdr:from>
    <xdr:to>
      <xdr:col>7</xdr:col>
      <xdr:colOff>619871</xdr:colOff>
      <xdr:row>4</xdr:row>
      <xdr:rowOff>822625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6022974" y="1193800"/>
          <a:ext cx="1416797" cy="648000"/>
          <a:chOff x="5764892" y="1183821"/>
          <a:chExt cx="1195908" cy="648000"/>
        </a:xfrm>
      </xdr:grpSpPr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GrpSpPr/>
        </xdr:nvGrpSpPr>
        <xdr:grpSpPr>
          <a:xfrm>
            <a:off x="6429262" y="1255821"/>
            <a:ext cx="531538" cy="504000"/>
            <a:chOff x="6433798" y="1264742"/>
            <a:chExt cx="531538" cy="504000"/>
          </a:xfrm>
        </xdr:grpSpPr>
        <xdr:sp macro="" textlink="">
          <xdr:nvSpPr>
            <xdr:cNvPr id="165" name="Rounded Rectangle 164">
              <a:extLst>
                <a:ext uri="{FF2B5EF4-FFF2-40B4-BE49-F238E27FC236}">
                  <a16:creationId xmlns:a16="http://schemas.microsoft.com/office/drawing/2014/main" id="{00000000-0008-0000-0100-0000A5000000}"/>
                </a:ext>
              </a:extLst>
            </xdr:cNvPr>
            <xdr:cNvSpPr>
              <a:spLocks noChangeAspect="1"/>
            </xdr:cNvSpPr>
          </xdr:nvSpPr>
          <xdr:spPr>
            <a:xfrm>
              <a:off x="6447567" y="1264742"/>
              <a:ext cx="504000" cy="504000"/>
            </a:xfrm>
            <a:prstGeom prst="roundRect">
              <a:avLst>
                <a:gd name="adj" fmla="val 8010"/>
              </a:avLst>
            </a:prstGeom>
            <a:solidFill>
              <a:schemeClr val="bg1"/>
            </a:solidFill>
            <a:ln w="38100">
              <a:solidFill>
                <a:srgbClr val="3B9C33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 sz="1400">
                <a:latin typeface="+mn-lt"/>
              </a:endParaRPr>
            </a:p>
          </xdr:txBody>
        </xdr:sp>
        <xdr:sp macro="" textlink="$H$18">
          <xdr:nvSpPr>
            <xdr:cNvPr id="47" name="Oval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 bwMode="auto">
            <a:xfrm>
              <a:off x="6433798" y="1269092"/>
              <a:ext cx="531538" cy="495300"/>
            </a:xfrm>
            <a:prstGeom prst="ellipse">
              <a:avLst/>
            </a:prstGeom>
            <a:noFill/>
            <a:ln w="3810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fld id="{DA8C4D73-9766-4857-9673-AE8F138CC794}" type="TxLink">
                <a:rPr lang="en-US" sz="1400" b="1" i="0" u="none" strike="noStrike">
                  <a:solidFill>
                    <a:srgbClr val="000000"/>
                  </a:solidFill>
                  <a:latin typeface="+mn-lt"/>
                  <a:cs typeface="Arial"/>
                </a:rPr>
                <a:pPr algn="ctr"/>
                <a:t>0%</a:t>
              </a:fld>
              <a:endParaRPr lang="nl-BE" sz="1400" b="1">
                <a:latin typeface="+mn-lt"/>
              </a:endParaRPr>
            </a:p>
          </xdr:txBody>
        </xdr:sp>
      </xdr:grpSp>
      <xdr:grpSp>
        <xdr:nvGrpSpPr>
          <xdr:cNvPr id="162" name="Group 161">
            <a:extLst>
              <a:ext uri="{FF2B5EF4-FFF2-40B4-BE49-F238E27FC236}">
                <a16:creationId xmlns:a16="http://schemas.microsoft.com/office/drawing/2014/main" id="{00000000-0008-0000-0100-0000A2000000}"/>
              </a:ext>
            </a:extLst>
          </xdr:cNvPr>
          <xdr:cNvGrpSpPr>
            <a:grpSpLocks noChangeAspect="1"/>
          </xdr:cNvGrpSpPr>
        </xdr:nvGrpSpPr>
        <xdr:grpSpPr>
          <a:xfrm>
            <a:off x="5764892" y="1183821"/>
            <a:ext cx="648000" cy="648000"/>
            <a:chOff x="853440" y="838200"/>
            <a:chExt cx="5220000" cy="5220000"/>
          </a:xfrm>
        </xdr:grpSpPr>
        <xdr:sp macro="" textlink="">
          <xdr:nvSpPr>
            <xdr:cNvPr id="163" name="Rectangle 162">
              <a:extLst>
                <a:ext uri="{FF2B5EF4-FFF2-40B4-BE49-F238E27FC236}">
                  <a16:creationId xmlns:a16="http://schemas.microsoft.com/office/drawing/2014/main" id="{00000000-0008-0000-0100-0000A3000000}"/>
                </a:ext>
              </a:extLst>
            </xdr:cNvPr>
            <xdr:cNvSpPr/>
          </xdr:nvSpPr>
          <xdr:spPr>
            <a:xfrm>
              <a:off x="1778000" y="1788160"/>
              <a:ext cx="3461084" cy="349504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  <xdr:pic>
          <xdr:nvPicPr>
            <xdr:cNvPr id="164" name="Picture 163">
              <a:extLst>
                <a:ext uri="{FF2B5EF4-FFF2-40B4-BE49-F238E27FC236}">
                  <a16:creationId xmlns:a16="http://schemas.microsoft.com/office/drawing/2014/main" id="{00000000-0008-0000-0100-0000A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screen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853440" y="838200"/>
              <a:ext cx="5220000" cy="52200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294821</xdr:colOff>
      <xdr:row>4</xdr:row>
      <xdr:rowOff>174625</xdr:rowOff>
    </xdr:from>
    <xdr:to>
      <xdr:col>9</xdr:col>
      <xdr:colOff>591122</xdr:colOff>
      <xdr:row>4</xdr:row>
      <xdr:rowOff>822625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7962446" y="1193800"/>
          <a:ext cx="1410726" cy="648000"/>
          <a:chOff x="7529285" y="1197428"/>
          <a:chExt cx="1189837" cy="648000"/>
        </a:xfrm>
      </xdr:grpSpPr>
      <xdr:grpSp>
        <xdr:nvGrpSpPr>
          <xdr:cNvPr id="168" name="Group 167">
            <a:extLst>
              <a:ext uri="{FF2B5EF4-FFF2-40B4-BE49-F238E27FC236}">
                <a16:creationId xmlns:a16="http://schemas.microsoft.com/office/drawing/2014/main" id="{00000000-0008-0000-0100-0000A8000000}"/>
              </a:ext>
            </a:extLst>
          </xdr:cNvPr>
          <xdr:cNvGrpSpPr/>
        </xdr:nvGrpSpPr>
        <xdr:grpSpPr>
          <a:xfrm>
            <a:off x="7529285" y="1197428"/>
            <a:ext cx="648000" cy="648000"/>
            <a:chOff x="1215724" y="1000760"/>
            <a:chExt cx="5184000" cy="5184000"/>
          </a:xfrm>
        </xdr:grpSpPr>
        <xdr:sp macro="" textlink="">
          <xdr:nvSpPr>
            <xdr:cNvPr id="169" name="Rectangle 168">
              <a:extLst>
                <a:ext uri="{FF2B5EF4-FFF2-40B4-BE49-F238E27FC236}">
                  <a16:creationId xmlns:a16="http://schemas.microsoft.com/office/drawing/2014/main" id="{00000000-0008-0000-0100-0000A9000000}"/>
                </a:ext>
              </a:extLst>
            </xdr:cNvPr>
            <xdr:cNvSpPr/>
          </xdr:nvSpPr>
          <xdr:spPr>
            <a:xfrm>
              <a:off x="2177044" y="2043360"/>
              <a:ext cx="3261360" cy="30988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  <xdr:pic>
          <xdr:nvPicPr>
            <xdr:cNvPr id="170" name="Picture 169">
              <a:extLst>
                <a:ext uri="{FF2B5EF4-FFF2-40B4-BE49-F238E27FC236}">
                  <a16:creationId xmlns:a16="http://schemas.microsoft.com/office/drawing/2014/main" id="{00000000-0008-0000-0100-0000A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screen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1215724" y="1000760"/>
              <a:ext cx="5184000" cy="5184000"/>
            </a:xfrm>
            <a:prstGeom prst="rect">
              <a:avLst/>
            </a:prstGeom>
          </xdr:spPr>
        </xdr:pic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GrpSpPr/>
        </xdr:nvGrpSpPr>
        <xdr:grpSpPr>
          <a:xfrm>
            <a:off x="8207414" y="1269428"/>
            <a:ext cx="511708" cy="504000"/>
            <a:chOff x="8234622" y="1271999"/>
            <a:chExt cx="511708" cy="504000"/>
          </a:xfrm>
        </xdr:grpSpPr>
        <xdr:sp macro="" textlink="">
          <xdr:nvSpPr>
            <xdr:cNvPr id="171" name="Rounded Rectangle 170">
              <a:extLst>
                <a:ext uri="{FF2B5EF4-FFF2-40B4-BE49-F238E27FC236}">
                  <a16:creationId xmlns:a16="http://schemas.microsoft.com/office/drawing/2014/main" id="{00000000-0008-0000-0100-0000AB000000}"/>
                </a:ext>
              </a:extLst>
            </xdr:cNvPr>
            <xdr:cNvSpPr>
              <a:spLocks noChangeAspect="1"/>
            </xdr:cNvSpPr>
          </xdr:nvSpPr>
          <xdr:spPr>
            <a:xfrm>
              <a:off x="8238476" y="1271999"/>
              <a:ext cx="504000" cy="504000"/>
            </a:xfrm>
            <a:prstGeom prst="roundRect">
              <a:avLst>
                <a:gd name="adj" fmla="val 8010"/>
              </a:avLst>
            </a:prstGeom>
            <a:solidFill>
              <a:schemeClr val="bg1"/>
            </a:solidFill>
            <a:ln w="38100">
              <a:solidFill>
                <a:srgbClr val="710084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>
                <a:latin typeface="+mn-lt"/>
              </a:endParaRPr>
            </a:p>
          </xdr:txBody>
        </xdr:sp>
        <xdr:sp macro="" textlink="$J$18">
          <xdr:nvSpPr>
            <xdr:cNvPr id="48" name="Oval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 bwMode="auto">
            <a:xfrm>
              <a:off x="8234622" y="1276349"/>
              <a:ext cx="511708" cy="495300"/>
            </a:xfrm>
            <a:prstGeom prst="ellipse">
              <a:avLst/>
            </a:prstGeom>
            <a:noFill/>
            <a:ln w="38100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fld id="{B630055D-FC6A-4AB7-AA7D-7C132C3CAFFF}" type="TxLink">
                <a:rPr lang="en-US" sz="1400" b="1" i="0" u="none" strike="noStrike">
                  <a:solidFill>
                    <a:srgbClr val="000000"/>
                  </a:solidFill>
                  <a:latin typeface="+mn-lt"/>
                  <a:cs typeface="Arial"/>
                </a:rPr>
                <a:pPr algn="ctr"/>
                <a:t>0%</a:t>
              </a:fld>
              <a:endParaRPr lang="nl-BE" sz="1400" b="1">
                <a:latin typeface="+mn-lt"/>
              </a:endParaRPr>
            </a:p>
          </xdr:txBody>
        </xdr:sp>
      </xdr:grpSp>
    </xdr:grpSp>
    <xdr:clientData/>
  </xdr:twoCellAnchor>
  <xdr:twoCellAnchor>
    <xdr:from>
      <xdr:col>0</xdr:col>
      <xdr:colOff>351311</xdr:colOff>
      <xdr:row>40</xdr:row>
      <xdr:rowOff>278544</xdr:rowOff>
    </xdr:from>
    <xdr:to>
      <xdr:col>1</xdr:col>
      <xdr:colOff>249324</xdr:colOff>
      <xdr:row>43</xdr:row>
      <xdr:rowOff>131637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351311" y="12337194"/>
          <a:ext cx="479038" cy="510318"/>
          <a:chOff x="357909" y="9813636"/>
          <a:chExt cx="521468" cy="518400"/>
        </a:xfrm>
      </xdr:grpSpPr>
      <xdr:sp macro="" textlink="">
        <xdr:nvSpPr>
          <xdr:cNvPr id="113" name="Rectangle 112">
            <a:extLst>
              <a:ext uri="{FF2B5EF4-FFF2-40B4-BE49-F238E27FC236}">
                <a16:creationId xmlns:a16="http://schemas.microsoft.com/office/drawing/2014/main" id="{00000000-0008-0000-0100-000071000000}"/>
              </a:ext>
            </a:extLst>
          </xdr:cNvPr>
          <xdr:cNvSpPr/>
        </xdr:nvSpPr>
        <xdr:spPr>
          <a:xfrm>
            <a:off x="450273" y="9917546"/>
            <a:ext cx="330287" cy="308894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pic>
        <xdr:nvPicPr>
          <xdr:cNvPr id="112" name="Picture 111">
            <a:extLst>
              <a:ext uri="{FF2B5EF4-FFF2-40B4-BE49-F238E27FC236}">
                <a16:creationId xmlns:a16="http://schemas.microsoft.com/office/drawing/2014/main" id="{00000000-0008-0000-0100-00007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screen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357909" y="9813636"/>
            <a:ext cx="521468" cy="5184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1144761</xdr:colOff>
      <xdr:row>35</xdr:row>
      <xdr:rowOff>152576</xdr:rowOff>
    </xdr:from>
    <xdr:to>
      <xdr:col>2</xdr:col>
      <xdr:colOff>697508</xdr:colOff>
      <xdr:row>38</xdr:row>
      <xdr:rowOff>208510</xdr:rowOff>
    </xdr:to>
    <xdr:grpSp>
      <xdr:nvGrpSpPr>
        <xdr:cNvPr id="317" name="Whiplash_Front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GrpSpPr>
          <a:grpSpLocks noChangeAspect="1"/>
        </xdr:cNvGrpSpPr>
      </xdr:nvGrpSpPr>
      <xdr:grpSpPr>
        <a:xfrm>
          <a:off x="1725786" y="10782476"/>
          <a:ext cx="752897" cy="913184"/>
          <a:chOff x="2408625" y="634575"/>
          <a:chExt cx="1155194" cy="1304547"/>
        </a:xfrm>
      </xdr:grpSpPr>
      <xdr:pic>
        <xdr:nvPicPr>
          <xdr:cNvPr id="320" name="Whiplash_Driver_Green" hidden="1">
            <a:extLst>
              <a:ext uri="{FF2B5EF4-FFF2-40B4-BE49-F238E27FC236}">
                <a16:creationId xmlns:a16="http://schemas.microsoft.com/office/drawing/2014/main" id="{00000000-0008-0000-0100-00004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08625" y="634575"/>
            <a:ext cx="1155194" cy="1304547"/>
          </a:xfrm>
          <a:prstGeom prst="rect">
            <a:avLst/>
          </a:prstGeom>
        </xdr:spPr>
      </xdr:pic>
      <xdr:pic>
        <xdr:nvPicPr>
          <xdr:cNvPr id="318" name="Whiplash_Driver_Orange" hidden="1">
            <a:extLst>
              <a:ext uri="{FF2B5EF4-FFF2-40B4-BE49-F238E27FC236}">
                <a16:creationId xmlns:a16="http://schemas.microsoft.com/office/drawing/2014/main" id="{00000000-0008-0000-0100-00003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08625" y="634575"/>
            <a:ext cx="1155194" cy="1304547"/>
          </a:xfrm>
          <a:prstGeom prst="rect">
            <a:avLst/>
          </a:prstGeom>
        </xdr:spPr>
      </xdr:pic>
      <xdr:pic>
        <xdr:nvPicPr>
          <xdr:cNvPr id="319" name="Whiplash_Driver_Red">
            <a:extLst>
              <a:ext uri="{FF2B5EF4-FFF2-40B4-BE49-F238E27FC236}">
                <a16:creationId xmlns:a16="http://schemas.microsoft.com/office/drawing/2014/main" id="{00000000-0008-0000-0100-00003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08625" y="634575"/>
            <a:ext cx="1155194" cy="1304547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389816</xdr:colOff>
      <xdr:row>36</xdr:row>
      <xdr:rowOff>127881</xdr:rowOff>
    </xdr:from>
    <xdr:to>
      <xdr:col>1</xdr:col>
      <xdr:colOff>967413</xdr:colOff>
      <xdr:row>38</xdr:row>
      <xdr:rowOff>208656</xdr:rowOff>
    </xdr:to>
    <xdr:grpSp>
      <xdr:nvGrpSpPr>
        <xdr:cNvPr id="321" name="Whiplash_Rear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GrpSpPr>
          <a:grpSpLocks noChangeAspect="1"/>
        </xdr:cNvGrpSpPr>
      </xdr:nvGrpSpPr>
      <xdr:grpSpPr>
        <a:xfrm>
          <a:off x="970841" y="11043531"/>
          <a:ext cx="577597" cy="652275"/>
          <a:chOff x="2408625" y="634575"/>
          <a:chExt cx="1155194" cy="1304547"/>
        </a:xfrm>
      </xdr:grpSpPr>
      <xdr:pic>
        <xdr:nvPicPr>
          <xdr:cNvPr id="324" name="Whiplash_Rear_Green" hidden="1">
            <a:extLst>
              <a:ext uri="{FF2B5EF4-FFF2-40B4-BE49-F238E27FC236}">
                <a16:creationId xmlns:a16="http://schemas.microsoft.com/office/drawing/2014/main" id="{00000000-0008-0000-0100-00004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08625" y="634575"/>
            <a:ext cx="1155194" cy="1304547"/>
          </a:xfrm>
          <a:prstGeom prst="rect">
            <a:avLst/>
          </a:prstGeom>
        </xdr:spPr>
      </xdr:pic>
      <xdr:pic>
        <xdr:nvPicPr>
          <xdr:cNvPr id="322" name="Whiplash_Rear_Orange" hidden="1">
            <a:extLst>
              <a:ext uri="{FF2B5EF4-FFF2-40B4-BE49-F238E27FC236}">
                <a16:creationId xmlns:a16="http://schemas.microsoft.com/office/drawing/2014/main" id="{00000000-0008-0000-0100-00004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08625" y="634575"/>
            <a:ext cx="1155194" cy="1304547"/>
          </a:xfrm>
          <a:prstGeom prst="rect">
            <a:avLst/>
          </a:prstGeom>
        </xdr:spPr>
      </xdr:pic>
      <xdr:pic>
        <xdr:nvPicPr>
          <xdr:cNvPr id="323" name="Whiplash_Rear_Red">
            <a:extLst>
              <a:ext uri="{FF2B5EF4-FFF2-40B4-BE49-F238E27FC236}">
                <a16:creationId xmlns:a16="http://schemas.microsoft.com/office/drawing/2014/main" id="{00000000-0008-0000-0100-00004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08625" y="634575"/>
            <a:ext cx="1155194" cy="1304547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1206500</xdr:colOff>
      <xdr:row>43</xdr:row>
      <xdr:rowOff>277814</xdr:rowOff>
    </xdr:from>
    <xdr:to>
      <xdr:col>4</xdr:col>
      <xdr:colOff>355478</xdr:colOff>
      <xdr:row>49</xdr:row>
      <xdr:rowOff>136085</xdr:rowOff>
    </xdr:to>
    <xdr:grpSp>
      <xdr:nvGrpSpPr>
        <xdr:cNvPr id="276" name="COP_Front">
          <a:extLst>
            <a:ext uri="{FF2B5EF4-FFF2-40B4-BE49-F238E27FC236}">
              <a16:creationId xmlns:a16="http://schemas.microsoft.com/office/drawing/2014/main" id="{00000000-0008-0000-0100-000014010000}"/>
            </a:ext>
          </a:extLst>
        </xdr:cNvPr>
        <xdr:cNvGrpSpPr/>
      </xdr:nvGrpSpPr>
      <xdr:grpSpPr>
        <a:xfrm>
          <a:off x="1778000" y="12993689"/>
          <a:ext cx="2320803" cy="1572771"/>
          <a:chOff x="3457575" y="2562225"/>
          <a:chExt cx="2212853" cy="1572771"/>
        </a:xfrm>
      </xdr:grpSpPr>
      <xdr:pic>
        <xdr:nvPicPr>
          <xdr:cNvPr id="277" name="COP_Front_General">
            <a:extLst>
              <a:ext uri="{FF2B5EF4-FFF2-40B4-BE49-F238E27FC236}">
                <a16:creationId xmlns:a16="http://schemas.microsoft.com/office/drawing/2014/main" id="{00000000-0008-0000-0100-00001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278" name="Q6_Front_Head_Orange" hidden="1">
            <a:extLst>
              <a:ext uri="{FF2B5EF4-FFF2-40B4-BE49-F238E27FC236}">
                <a16:creationId xmlns:a16="http://schemas.microsoft.com/office/drawing/2014/main" id="{00000000-0008-0000-0100-00001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281" name="Q6_Front_Head_Brown" hidden="1">
            <a:extLst>
              <a:ext uri="{FF2B5EF4-FFF2-40B4-BE49-F238E27FC236}">
                <a16:creationId xmlns:a16="http://schemas.microsoft.com/office/drawing/2014/main" id="{00000000-0008-0000-0100-00001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283" name="Q6_Front_Neck_Yellow" hidden="1">
            <a:extLst>
              <a:ext uri="{FF2B5EF4-FFF2-40B4-BE49-F238E27FC236}">
                <a16:creationId xmlns:a16="http://schemas.microsoft.com/office/drawing/2014/main" id="{00000000-0008-0000-0100-00001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284" name="Q6_Front_Neck_Orange" hidden="1">
            <a:extLst>
              <a:ext uri="{FF2B5EF4-FFF2-40B4-BE49-F238E27FC236}">
                <a16:creationId xmlns:a16="http://schemas.microsoft.com/office/drawing/2014/main" id="{00000000-0008-0000-0100-00001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286" name="Q6_Front_Neck_Brown" hidden="1">
            <a:extLst>
              <a:ext uri="{FF2B5EF4-FFF2-40B4-BE49-F238E27FC236}">
                <a16:creationId xmlns:a16="http://schemas.microsoft.com/office/drawing/2014/main" id="{00000000-0008-0000-0100-00001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288" name="Q6_Front_Chest_Yellow" hidden="1">
            <a:extLst>
              <a:ext uri="{FF2B5EF4-FFF2-40B4-BE49-F238E27FC236}">
                <a16:creationId xmlns:a16="http://schemas.microsoft.com/office/drawing/2014/main" id="{00000000-0008-0000-0100-00002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289" name="Q6_Front_Chest_Orange" hidden="1">
            <a:extLst>
              <a:ext uri="{FF2B5EF4-FFF2-40B4-BE49-F238E27FC236}">
                <a16:creationId xmlns:a16="http://schemas.microsoft.com/office/drawing/2014/main" id="{00000000-0008-0000-0100-00002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313" name="Q6_Front_Chest_Brown" hidden="1">
            <a:extLst>
              <a:ext uri="{FF2B5EF4-FFF2-40B4-BE49-F238E27FC236}">
                <a16:creationId xmlns:a16="http://schemas.microsoft.com/office/drawing/2014/main" id="{00000000-0008-0000-0100-00003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316" name="Q10_Front_Head_Orange" hidden="1">
            <a:extLst>
              <a:ext uri="{FF2B5EF4-FFF2-40B4-BE49-F238E27FC236}">
                <a16:creationId xmlns:a16="http://schemas.microsoft.com/office/drawing/2014/main" id="{00000000-0008-0000-0100-00003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327" name="Q10_Front_Head_Brown" hidden="1">
            <a:extLst>
              <a:ext uri="{FF2B5EF4-FFF2-40B4-BE49-F238E27FC236}">
                <a16:creationId xmlns:a16="http://schemas.microsoft.com/office/drawing/2014/main" id="{00000000-0008-0000-0100-00004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330" name="Q10_Front_Neck_Orange" hidden="1">
            <a:extLst>
              <a:ext uri="{FF2B5EF4-FFF2-40B4-BE49-F238E27FC236}">
                <a16:creationId xmlns:a16="http://schemas.microsoft.com/office/drawing/2014/main" id="{00000000-0008-0000-0100-00004A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332" name="Q10_Front_Neck_Brown" hidden="1">
            <a:extLst>
              <a:ext uri="{FF2B5EF4-FFF2-40B4-BE49-F238E27FC236}">
                <a16:creationId xmlns:a16="http://schemas.microsoft.com/office/drawing/2014/main" id="{00000000-0008-0000-0100-00004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335" name="Q10_Front_Chest_Green" hidden="1">
            <a:extLst>
              <a:ext uri="{FF2B5EF4-FFF2-40B4-BE49-F238E27FC236}">
                <a16:creationId xmlns:a16="http://schemas.microsoft.com/office/drawing/2014/main" id="{00000000-0008-0000-0100-00004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336" name="Q10_Front_Chest_Orange" hidden="1">
            <a:extLst>
              <a:ext uri="{FF2B5EF4-FFF2-40B4-BE49-F238E27FC236}">
                <a16:creationId xmlns:a16="http://schemas.microsoft.com/office/drawing/2014/main" id="{00000000-0008-0000-0100-00005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337" name="Q10_Front_Chest_Brown" hidden="1">
            <a:extLst>
              <a:ext uri="{FF2B5EF4-FFF2-40B4-BE49-F238E27FC236}">
                <a16:creationId xmlns:a16="http://schemas.microsoft.com/office/drawing/2014/main" id="{00000000-0008-0000-0100-00005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334" name="Q10_Front_Chest_Yellow" hidden="1">
            <a:extLst>
              <a:ext uri="{FF2B5EF4-FFF2-40B4-BE49-F238E27FC236}">
                <a16:creationId xmlns:a16="http://schemas.microsoft.com/office/drawing/2014/main" id="{00000000-0008-0000-0100-00004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279" name="Q6_Front_Head_Yellow" hidden="1">
            <a:extLst>
              <a:ext uri="{FF2B5EF4-FFF2-40B4-BE49-F238E27FC236}">
                <a16:creationId xmlns:a16="http://schemas.microsoft.com/office/drawing/2014/main" id="{00000000-0008-0000-0100-00001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315" name="Q10_Front_Head_Yellow" hidden="1">
            <a:extLst>
              <a:ext uri="{FF2B5EF4-FFF2-40B4-BE49-F238E27FC236}">
                <a16:creationId xmlns:a16="http://schemas.microsoft.com/office/drawing/2014/main" id="{00000000-0008-0000-0100-00003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329" name="Q10_Front_Neck_Yellow" hidden="1">
            <a:extLst>
              <a:ext uri="{FF2B5EF4-FFF2-40B4-BE49-F238E27FC236}">
                <a16:creationId xmlns:a16="http://schemas.microsoft.com/office/drawing/2014/main" id="{00000000-0008-0000-0100-00004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280" name="Q6_Front_Head_Green" hidden="1">
            <a:extLst>
              <a:ext uri="{FF2B5EF4-FFF2-40B4-BE49-F238E27FC236}">
                <a16:creationId xmlns:a16="http://schemas.microsoft.com/office/drawing/2014/main" id="{00000000-0008-0000-0100-00001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285" name="Q6_Front_Neck_Green" hidden="1">
            <a:extLst>
              <a:ext uri="{FF2B5EF4-FFF2-40B4-BE49-F238E27FC236}">
                <a16:creationId xmlns:a16="http://schemas.microsoft.com/office/drawing/2014/main" id="{00000000-0008-0000-0100-00001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290" name="Q6_Front_Chest_Green" hidden="1">
            <a:extLst>
              <a:ext uri="{FF2B5EF4-FFF2-40B4-BE49-F238E27FC236}">
                <a16:creationId xmlns:a16="http://schemas.microsoft.com/office/drawing/2014/main" id="{00000000-0008-0000-0100-00002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325" name="Q10_Front_Head_Green" hidden="1">
            <a:extLst>
              <a:ext uri="{FF2B5EF4-FFF2-40B4-BE49-F238E27FC236}">
                <a16:creationId xmlns:a16="http://schemas.microsoft.com/office/drawing/2014/main" id="{00000000-0008-0000-0100-00004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331" name="Q10_Front_Neck_Green" hidden="1">
            <a:extLst>
              <a:ext uri="{FF2B5EF4-FFF2-40B4-BE49-F238E27FC236}">
                <a16:creationId xmlns:a16="http://schemas.microsoft.com/office/drawing/2014/main" id="{00000000-0008-0000-0100-00004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282" name="Q6_Front_Head_Red">
            <a:extLst>
              <a:ext uri="{FF2B5EF4-FFF2-40B4-BE49-F238E27FC236}">
                <a16:creationId xmlns:a16="http://schemas.microsoft.com/office/drawing/2014/main" id="{00000000-0008-0000-0100-00001A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287" name="Q6_Front_Neck_Red">
            <a:extLst>
              <a:ext uri="{FF2B5EF4-FFF2-40B4-BE49-F238E27FC236}">
                <a16:creationId xmlns:a16="http://schemas.microsoft.com/office/drawing/2014/main" id="{00000000-0008-0000-0100-00001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314" name="Q6_Front_Chest_Red">
            <a:extLst>
              <a:ext uri="{FF2B5EF4-FFF2-40B4-BE49-F238E27FC236}">
                <a16:creationId xmlns:a16="http://schemas.microsoft.com/office/drawing/2014/main" id="{00000000-0008-0000-0100-00003A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328" name="Q10_Front_Head_Red">
            <a:extLst>
              <a:ext uri="{FF2B5EF4-FFF2-40B4-BE49-F238E27FC236}">
                <a16:creationId xmlns:a16="http://schemas.microsoft.com/office/drawing/2014/main" id="{00000000-0008-0000-0100-00004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333" name="Q10_Front_Neck_Red">
            <a:extLst>
              <a:ext uri="{FF2B5EF4-FFF2-40B4-BE49-F238E27FC236}">
                <a16:creationId xmlns:a16="http://schemas.microsoft.com/office/drawing/2014/main" id="{00000000-0008-0000-0100-00004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  <xdr:pic>
        <xdr:nvPicPr>
          <xdr:cNvPr id="338" name="Q10_Front_Chest_Red">
            <a:extLst>
              <a:ext uri="{FF2B5EF4-FFF2-40B4-BE49-F238E27FC236}">
                <a16:creationId xmlns:a16="http://schemas.microsoft.com/office/drawing/2014/main" id="{00000000-0008-0000-0100-00005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57575" y="2562225"/>
            <a:ext cx="2212853" cy="1572771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190493</xdr:colOff>
      <xdr:row>43</xdr:row>
      <xdr:rowOff>268670</xdr:rowOff>
    </xdr:from>
    <xdr:to>
      <xdr:col>9</xdr:col>
      <xdr:colOff>703324</xdr:colOff>
      <xdr:row>49</xdr:row>
      <xdr:rowOff>145229</xdr:rowOff>
    </xdr:to>
    <xdr:grpSp>
      <xdr:nvGrpSpPr>
        <xdr:cNvPr id="339" name="COP_Side">
          <a:extLst>
            <a:ext uri="{FF2B5EF4-FFF2-40B4-BE49-F238E27FC236}">
              <a16:creationId xmlns:a16="http://schemas.microsoft.com/office/drawing/2014/main" id="{00000000-0008-0000-0100-000053010000}"/>
            </a:ext>
          </a:extLst>
        </xdr:cNvPr>
        <xdr:cNvGrpSpPr/>
      </xdr:nvGrpSpPr>
      <xdr:grpSpPr>
        <a:xfrm>
          <a:off x="7010393" y="12984545"/>
          <a:ext cx="2474981" cy="1591059"/>
          <a:chOff x="3469200" y="2802450"/>
          <a:chExt cx="2322581" cy="1591059"/>
        </a:xfrm>
      </xdr:grpSpPr>
      <xdr:pic>
        <xdr:nvPicPr>
          <xdr:cNvPr id="340" name="COP_Side_General">
            <a:extLst>
              <a:ext uri="{FF2B5EF4-FFF2-40B4-BE49-F238E27FC236}">
                <a16:creationId xmlns:a16="http://schemas.microsoft.com/office/drawing/2014/main" id="{00000000-0008-0000-0100-00005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42" name="Q6_Side_Head_Brown" hidden="1">
            <a:extLst>
              <a:ext uri="{FF2B5EF4-FFF2-40B4-BE49-F238E27FC236}">
                <a16:creationId xmlns:a16="http://schemas.microsoft.com/office/drawing/2014/main" id="{00000000-0008-0000-0100-00005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47" name="Q6_Side_Neck_Brown" hidden="1">
            <a:extLst>
              <a:ext uri="{FF2B5EF4-FFF2-40B4-BE49-F238E27FC236}">
                <a16:creationId xmlns:a16="http://schemas.microsoft.com/office/drawing/2014/main" id="{00000000-0008-0000-0100-00005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48" name="Q6_Side_Neck_Orange" hidden="1">
            <a:extLst>
              <a:ext uri="{FF2B5EF4-FFF2-40B4-BE49-F238E27FC236}">
                <a16:creationId xmlns:a16="http://schemas.microsoft.com/office/drawing/2014/main" id="{00000000-0008-0000-0100-00005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51" name="Q6_Side_Chest_Yellow" hidden="1">
            <a:extLst>
              <a:ext uri="{FF2B5EF4-FFF2-40B4-BE49-F238E27FC236}">
                <a16:creationId xmlns:a16="http://schemas.microsoft.com/office/drawing/2014/main" id="{00000000-0008-0000-0100-00005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52" name="Q6_Side_Chest_Orange" hidden="1">
            <a:extLst>
              <a:ext uri="{FF2B5EF4-FFF2-40B4-BE49-F238E27FC236}">
                <a16:creationId xmlns:a16="http://schemas.microsoft.com/office/drawing/2014/main" id="{00000000-0008-0000-0100-00006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54" name="Q6_Side_Chest_Brown" hidden="1">
            <a:extLst>
              <a:ext uri="{FF2B5EF4-FFF2-40B4-BE49-F238E27FC236}">
                <a16:creationId xmlns:a16="http://schemas.microsoft.com/office/drawing/2014/main" id="{00000000-0008-0000-0100-00006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58" name="Q10_Side_Neck_Orange" hidden="1">
            <a:extLst>
              <a:ext uri="{FF2B5EF4-FFF2-40B4-BE49-F238E27FC236}">
                <a16:creationId xmlns:a16="http://schemas.microsoft.com/office/drawing/2014/main" id="{00000000-0008-0000-0100-00006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59" name="Q10_Side_Neck_Brown" hidden="1">
            <a:extLst>
              <a:ext uri="{FF2B5EF4-FFF2-40B4-BE49-F238E27FC236}">
                <a16:creationId xmlns:a16="http://schemas.microsoft.com/office/drawing/2014/main" id="{00000000-0008-0000-0100-00006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64" name="Q10_Side_Head_Brown" hidden="1">
            <a:extLst>
              <a:ext uri="{FF2B5EF4-FFF2-40B4-BE49-F238E27FC236}">
                <a16:creationId xmlns:a16="http://schemas.microsoft.com/office/drawing/2014/main" id="{00000000-0008-0000-0100-00006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66" name="Q10_Side_Chest_Orange" hidden="1">
            <a:extLst>
              <a:ext uri="{FF2B5EF4-FFF2-40B4-BE49-F238E27FC236}">
                <a16:creationId xmlns:a16="http://schemas.microsoft.com/office/drawing/2014/main" id="{00000000-0008-0000-0100-00006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67" name="Q10_Side_Chest_Yellow" hidden="1">
            <a:extLst>
              <a:ext uri="{FF2B5EF4-FFF2-40B4-BE49-F238E27FC236}">
                <a16:creationId xmlns:a16="http://schemas.microsoft.com/office/drawing/2014/main" id="{00000000-0008-0000-0100-00006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68" name="Q10_Side_Chest_Green" hidden="1">
            <a:extLst>
              <a:ext uri="{FF2B5EF4-FFF2-40B4-BE49-F238E27FC236}">
                <a16:creationId xmlns:a16="http://schemas.microsoft.com/office/drawing/2014/main" id="{00000000-0008-0000-0100-00007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70" name="Q10_Side_Chest_Brown" hidden="1">
            <a:extLst>
              <a:ext uri="{FF2B5EF4-FFF2-40B4-BE49-F238E27FC236}">
                <a16:creationId xmlns:a16="http://schemas.microsoft.com/office/drawing/2014/main" id="{00000000-0008-0000-0100-00007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43" name="Q6_Side_Head_Orange" hidden="1">
            <a:extLst>
              <a:ext uri="{FF2B5EF4-FFF2-40B4-BE49-F238E27FC236}">
                <a16:creationId xmlns:a16="http://schemas.microsoft.com/office/drawing/2014/main" id="{00000000-0008-0000-0100-00005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63" name="Q10_Side_Head_Orange" hidden="1">
            <a:extLst>
              <a:ext uri="{FF2B5EF4-FFF2-40B4-BE49-F238E27FC236}">
                <a16:creationId xmlns:a16="http://schemas.microsoft.com/office/drawing/2014/main" id="{00000000-0008-0000-0100-00006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44" name="Q6_Side_Head_Yellow" hidden="1">
            <a:extLst>
              <a:ext uri="{FF2B5EF4-FFF2-40B4-BE49-F238E27FC236}">
                <a16:creationId xmlns:a16="http://schemas.microsoft.com/office/drawing/2014/main" id="{00000000-0008-0000-0100-00005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61" name="Q10_Side_Head_Yellow" hidden="1">
            <a:extLst>
              <a:ext uri="{FF2B5EF4-FFF2-40B4-BE49-F238E27FC236}">
                <a16:creationId xmlns:a16="http://schemas.microsoft.com/office/drawing/2014/main" id="{00000000-0008-0000-0100-00006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41" name="Q6_Side_Head_Green" hidden="1">
            <a:extLst>
              <a:ext uri="{FF2B5EF4-FFF2-40B4-BE49-F238E27FC236}">
                <a16:creationId xmlns:a16="http://schemas.microsoft.com/office/drawing/2014/main" id="{00000000-0008-0000-0100-00005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46" name="Q6_Side_Neck_Green" hidden="1">
            <a:extLst>
              <a:ext uri="{FF2B5EF4-FFF2-40B4-BE49-F238E27FC236}">
                <a16:creationId xmlns:a16="http://schemas.microsoft.com/office/drawing/2014/main" id="{00000000-0008-0000-0100-00005A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53" name="Q6_Side_Chest_Green" hidden="1">
            <a:extLst>
              <a:ext uri="{FF2B5EF4-FFF2-40B4-BE49-F238E27FC236}">
                <a16:creationId xmlns:a16="http://schemas.microsoft.com/office/drawing/2014/main" id="{00000000-0008-0000-0100-00006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62" name="Q10_Side_Head_Green" hidden="1">
            <a:extLst>
              <a:ext uri="{FF2B5EF4-FFF2-40B4-BE49-F238E27FC236}">
                <a16:creationId xmlns:a16="http://schemas.microsoft.com/office/drawing/2014/main" id="{00000000-0008-0000-0100-00006A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57" name="Q10_Side_Neck_Green" hidden="1">
            <a:extLst>
              <a:ext uri="{FF2B5EF4-FFF2-40B4-BE49-F238E27FC236}">
                <a16:creationId xmlns:a16="http://schemas.microsoft.com/office/drawing/2014/main" id="{00000000-0008-0000-0100-00006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49" name="Q6_Side_Neck_Yellow" hidden="1">
            <a:extLst>
              <a:ext uri="{FF2B5EF4-FFF2-40B4-BE49-F238E27FC236}">
                <a16:creationId xmlns:a16="http://schemas.microsoft.com/office/drawing/2014/main" id="{00000000-0008-0000-0100-00005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56" name="Q10_Side_Neck_Yellow" hidden="1">
            <a:extLst>
              <a:ext uri="{FF2B5EF4-FFF2-40B4-BE49-F238E27FC236}">
                <a16:creationId xmlns:a16="http://schemas.microsoft.com/office/drawing/2014/main" id="{00000000-0008-0000-0100-00006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45" name="Q6_Side_Head_Red">
            <a:extLst>
              <a:ext uri="{FF2B5EF4-FFF2-40B4-BE49-F238E27FC236}">
                <a16:creationId xmlns:a16="http://schemas.microsoft.com/office/drawing/2014/main" id="{00000000-0008-0000-0100-00005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50" name="Q6_Side_Neck_Red">
            <a:extLst>
              <a:ext uri="{FF2B5EF4-FFF2-40B4-BE49-F238E27FC236}">
                <a16:creationId xmlns:a16="http://schemas.microsoft.com/office/drawing/2014/main" id="{00000000-0008-0000-0100-00005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55" name="Q6_Side_Chest_Red">
            <a:extLst>
              <a:ext uri="{FF2B5EF4-FFF2-40B4-BE49-F238E27FC236}">
                <a16:creationId xmlns:a16="http://schemas.microsoft.com/office/drawing/2014/main" id="{00000000-0008-0000-0100-00006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65" name="Q10_Side_Head_Red">
            <a:extLst>
              <a:ext uri="{FF2B5EF4-FFF2-40B4-BE49-F238E27FC236}">
                <a16:creationId xmlns:a16="http://schemas.microsoft.com/office/drawing/2014/main" id="{00000000-0008-0000-0100-00006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60" name="Q10_Side_Neck_Red">
            <a:extLst>
              <a:ext uri="{FF2B5EF4-FFF2-40B4-BE49-F238E27FC236}">
                <a16:creationId xmlns:a16="http://schemas.microsoft.com/office/drawing/2014/main" id="{00000000-0008-0000-0100-00006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  <xdr:pic>
        <xdr:nvPicPr>
          <xdr:cNvPr id="369" name="Q10_Side_Chest_Red">
            <a:extLst>
              <a:ext uri="{FF2B5EF4-FFF2-40B4-BE49-F238E27FC236}">
                <a16:creationId xmlns:a16="http://schemas.microsoft.com/office/drawing/2014/main" id="{00000000-0008-0000-0100-00007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9200" y="2802450"/>
            <a:ext cx="2322581" cy="1591059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444513</xdr:colOff>
      <xdr:row>26</xdr:row>
      <xdr:rowOff>211667</xdr:rowOff>
    </xdr:from>
    <xdr:to>
      <xdr:col>2</xdr:col>
      <xdr:colOff>828093</xdr:colOff>
      <xdr:row>31</xdr:row>
      <xdr:rowOff>205279</xdr:rowOff>
    </xdr:to>
    <xdr:grpSp>
      <xdr:nvGrpSpPr>
        <xdr:cNvPr id="326" name="MPDB_Driver&amp;Passenger">
          <a:extLs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GrpSpPr>
          <a:grpSpLocks noChangeAspect="1"/>
        </xdr:cNvGrpSpPr>
      </xdr:nvGrpSpPr>
      <xdr:grpSpPr>
        <a:xfrm>
          <a:off x="1025538" y="8336492"/>
          <a:ext cx="1583730" cy="1422362"/>
          <a:chOff x="18199859" y="8444713"/>
          <a:chExt cx="7619047" cy="6692063"/>
        </a:xfrm>
      </xdr:grpSpPr>
      <xdr:pic>
        <xdr:nvPicPr>
          <xdr:cNvPr id="371" name="MPDB_General">
            <a:extLst>
              <a:ext uri="{FF2B5EF4-FFF2-40B4-BE49-F238E27FC236}">
                <a16:creationId xmlns:a16="http://schemas.microsoft.com/office/drawing/2014/main" id="{00000000-0008-0000-0100-000073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372" name="MPDB_Passenger_Chest_Green" hidden="1">
            <a:extLst>
              <a:ext uri="{FF2B5EF4-FFF2-40B4-BE49-F238E27FC236}">
                <a16:creationId xmlns:a16="http://schemas.microsoft.com/office/drawing/2014/main" id="{00000000-0008-0000-0100-000074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373" name="MPDB_Passenger_Chest_Yellow" hidden="1">
            <a:extLst>
              <a:ext uri="{FF2B5EF4-FFF2-40B4-BE49-F238E27FC236}">
                <a16:creationId xmlns:a16="http://schemas.microsoft.com/office/drawing/2014/main" id="{00000000-0008-0000-0100-000075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374" name="MPDB_Passenger_Chest_Orange" hidden="1">
            <a:extLst>
              <a:ext uri="{FF2B5EF4-FFF2-40B4-BE49-F238E27FC236}">
                <a16:creationId xmlns:a16="http://schemas.microsoft.com/office/drawing/2014/main" id="{00000000-0008-0000-0100-000076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375" name="MPDB_Passenger_Chest_Brown" hidden="1">
            <a:extLst>
              <a:ext uri="{FF2B5EF4-FFF2-40B4-BE49-F238E27FC236}">
                <a16:creationId xmlns:a16="http://schemas.microsoft.com/office/drawing/2014/main" id="{00000000-0008-0000-0100-000077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377" name="MPDB_Driver_Chest_Green" hidden="1">
            <a:extLst>
              <a:ext uri="{FF2B5EF4-FFF2-40B4-BE49-F238E27FC236}">
                <a16:creationId xmlns:a16="http://schemas.microsoft.com/office/drawing/2014/main" id="{00000000-0008-0000-0100-000079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378" name="MPDB_Driver_Chest_Yellow" hidden="1">
            <a:extLst>
              <a:ext uri="{FF2B5EF4-FFF2-40B4-BE49-F238E27FC236}">
                <a16:creationId xmlns:a16="http://schemas.microsoft.com/office/drawing/2014/main" id="{00000000-0008-0000-0100-00007A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381" name="MPDB_Driver_Chest_Orange" hidden="1">
            <a:extLst>
              <a:ext uri="{FF2B5EF4-FFF2-40B4-BE49-F238E27FC236}">
                <a16:creationId xmlns:a16="http://schemas.microsoft.com/office/drawing/2014/main" id="{00000000-0008-0000-0100-00007D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392" name="MPDB_Driver_Chest_Brown" hidden="1">
            <a:extLst>
              <a:ext uri="{FF2B5EF4-FFF2-40B4-BE49-F238E27FC236}">
                <a16:creationId xmlns:a16="http://schemas.microsoft.com/office/drawing/2014/main" id="{00000000-0008-0000-0100-000088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394" name="MPDB_Driver_Head_Green" hidden="1">
            <a:extLst>
              <a:ext uri="{FF2B5EF4-FFF2-40B4-BE49-F238E27FC236}">
                <a16:creationId xmlns:a16="http://schemas.microsoft.com/office/drawing/2014/main" id="{00000000-0008-0000-0100-00008A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395" name="MPDB_Driver_Head_Yellow" hidden="1">
            <a:extLst>
              <a:ext uri="{FF2B5EF4-FFF2-40B4-BE49-F238E27FC236}">
                <a16:creationId xmlns:a16="http://schemas.microsoft.com/office/drawing/2014/main" id="{00000000-0008-0000-0100-00008B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396" name="MPDB_Driver_Head_Orange" hidden="1">
            <a:extLst>
              <a:ext uri="{FF2B5EF4-FFF2-40B4-BE49-F238E27FC236}">
                <a16:creationId xmlns:a16="http://schemas.microsoft.com/office/drawing/2014/main" id="{00000000-0008-0000-0100-00008C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397" name="MPDB_Driver_Head_Brown" hidden="1">
            <a:extLst>
              <a:ext uri="{FF2B5EF4-FFF2-40B4-BE49-F238E27FC236}">
                <a16:creationId xmlns:a16="http://schemas.microsoft.com/office/drawing/2014/main" id="{00000000-0008-0000-0100-00008D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398" name="MPDB_Passenger_Head_Green" hidden="1">
            <a:extLst>
              <a:ext uri="{FF2B5EF4-FFF2-40B4-BE49-F238E27FC236}">
                <a16:creationId xmlns:a16="http://schemas.microsoft.com/office/drawing/2014/main" id="{00000000-0008-0000-0100-00008E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399" name="MPDB_Passenger_Head_Yellow" hidden="1">
            <a:extLst>
              <a:ext uri="{FF2B5EF4-FFF2-40B4-BE49-F238E27FC236}">
                <a16:creationId xmlns:a16="http://schemas.microsoft.com/office/drawing/2014/main" id="{00000000-0008-0000-0100-00008F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00" name="MPDB_Passenger_Head_Orange" hidden="1">
            <a:extLst>
              <a:ext uri="{FF2B5EF4-FFF2-40B4-BE49-F238E27FC236}">
                <a16:creationId xmlns:a16="http://schemas.microsoft.com/office/drawing/2014/main" id="{00000000-0008-0000-0100-000090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01" name="MPDB_Passenger_Head_Brown" hidden="1">
            <a:extLst>
              <a:ext uri="{FF2B5EF4-FFF2-40B4-BE49-F238E27FC236}">
                <a16:creationId xmlns:a16="http://schemas.microsoft.com/office/drawing/2014/main" id="{00000000-0008-0000-0100-000091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04" name="MPDB_Driver_Neck_Green" hidden="1">
            <a:extLst>
              <a:ext uri="{FF2B5EF4-FFF2-40B4-BE49-F238E27FC236}">
                <a16:creationId xmlns:a16="http://schemas.microsoft.com/office/drawing/2014/main" id="{00000000-0008-0000-0100-000094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05" name="MPDB_Driver_Neck_Yellow" hidden="1">
            <a:extLst>
              <a:ext uri="{FF2B5EF4-FFF2-40B4-BE49-F238E27FC236}">
                <a16:creationId xmlns:a16="http://schemas.microsoft.com/office/drawing/2014/main" id="{00000000-0008-0000-0100-000095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06" name="MPDB_Driver_Neck_Orange" hidden="1">
            <a:extLst>
              <a:ext uri="{FF2B5EF4-FFF2-40B4-BE49-F238E27FC236}">
                <a16:creationId xmlns:a16="http://schemas.microsoft.com/office/drawing/2014/main" id="{00000000-0008-0000-0100-000096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07" name="MPDB_Driver_Neck_Brown" hidden="1">
            <a:extLst>
              <a:ext uri="{FF2B5EF4-FFF2-40B4-BE49-F238E27FC236}">
                <a16:creationId xmlns:a16="http://schemas.microsoft.com/office/drawing/2014/main" id="{00000000-0008-0000-0100-000097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09" name="MPDB_Passenger_Neck_Green" hidden="1">
            <a:extLst>
              <a:ext uri="{FF2B5EF4-FFF2-40B4-BE49-F238E27FC236}">
                <a16:creationId xmlns:a16="http://schemas.microsoft.com/office/drawing/2014/main" id="{00000000-0008-0000-0100-000099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10" name="MPDB_Passenger_Neck_Yellow" hidden="1">
            <a:extLst>
              <a:ext uri="{FF2B5EF4-FFF2-40B4-BE49-F238E27FC236}">
                <a16:creationId xmlns:a16="http://schemas.microsoft.com/office/drawing/2014/main" id="{00000000-0008-0000-0100-00009A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11" name="MPDB_Passenger_Neck_Orange" hidden="1">
            <a:extLst>
              <a:ext uri="{FF2B5EF4-FFF2-40B4-BE49-F238E27FC236}">
                <a16:creationId xmlns:a16="http://schemas.microsoft.com/office/drawing/2014/main" id="{00000000-0008-0000-0100-00009B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12" name="MPDB_Passenger_Neck_Brown" hidden="1">
            <a:extLst>
              <a:ext uri="{FF2B5EF4-FFF2-40B4-BE49-F238E27FC236}">
                <a16:creationId xmlns:a16="http://schemas.microsoft.com/office/drawing/2014/main" id="{00000000-0008-0000-0100-00009C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14" name="MPDB_Driver_Abdomen_Green" hidden="1">
            <a:extLst>
              <a:ext uri="{FF2B5EF4-FFF2-40B4-BE49-F238E27FC236}">
                <a16:creationId xmlns:a16="http://schemas.microsoft.com/office/drawing/2014/main" id="{00000000-0008-0000-0100-00009E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15" name="MPDB_Driver_Abdomen_Yellow" hidden="1">
            <a:extLst>
              <a:ext uri="{FF2B5EF4-FFF2-40B4-BE49-F238E27FC236}">
                <a16:creationId xmlns:a16="http://schemas.microsoft.com/office/drawing/2014/main" id="{00000000-0008-0000-0100-00009F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16" name="MPDB_Driver_Abdomen_Orange" hidden="1">
            <a:extLst>
              <a:ext uri="{FF2B5EF4-FFF2-40B4-BE49-F238E27FC236}">
                <a16:creationId xmlns:a16="http://schemas.microsoft.com/office/drawing/2014/main" id="{00000000-0008-0000-0100-0000A0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17" name="MPDB_Driver_Abdomen_Brown" hidden="1">
            <a:extLst>
              <a:ext uri="{FF2B5EF4-FFF2-40B4-BE49-F238E27FC236}">
                <a16:creationId xmlns:a16="http://schemas.microsoft.com/office/drawing/2014/main" id="{00000000-0008-0000-0100-0000A1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19" name="MPDB_Driver_LeftFemur_Green" hidden="1">
            <a:extLst>
              <a:ext uri="{FF2B5EF4-FFF2-40B4-BE49-F238E27FC236}">
                <a16:creationId xmlns:a16="http://schemas.microsoft.com/office/drawing/2014/main" id="{00000000-0008-0000-0100-0000A3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20" name="MPDB_Driver_LeftFemur_Yellow" hidden="1">
            <a:extLst>
              <a:ext uri="{FF2B5EF4-FFF2-40B4-BE49-F238E27FC236}">
                <a16:creationId xmlns:a16="http://schemas.microsoft.com/office/drawing/2014/main" id="{00000000-0008-0000-0100-0000A4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21" name="MPDB_Driver_LeftFemur_Orange" hidden="1">
            <a:extLst>
              <a:ext uri="{FF2B5EF4-FFF2-40B4-BE49-F238E27FC236}">
                <a16:creationId xmlns:a16="http://schemas.microsoft.com/office/drawing/2014/main" id="{00000000-0008-0000-0100-0000A5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22" name="MPDB_Driver_LeftFemur_Brown" hidden="1">
            <a:extLst>
              <a:ext uri="{FF2B5EF4-FFF2-40B4-BE49-F238E27FC236}">
                <a16:creationId xmlns:a16="http://schemas.microsoft.com/office/drawing/2014/main" id="{00000000-0008-0000-0100-0000A6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24" name="MPDB_Driver_RightFemur_Green" hidden="1">
            <a:extLst>
              <a:ext uri="{FF2B5EF4-FFF2-40B4-BE49-F238E27FC236}">
                <a16:creationId xmlns:a16="http://schemas.microsoft.com/office/drawing/2014/main" id="{00000000-0008-0000-0100-0000A8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25" name="MPDB_Driver_RightFemur_Yellow" hidden="1">
            <a:extLst>
              <a:ext uri="{FF2B5EF4-FFF2-40B4-BE49-F238E27FC236}">
                <a16:creationId xmlns:a16="http://schemas.microsoft.com/office/drawing/2014/main" id="{00000000-0008-0000-0100-0000A9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26" name="MPDB_Driver_RightFemur_Orange" hidden="1">
            <a:extLst>
              <a:ext uri="{FF2B5EF4-FFF2-40B4-BE49-F238E27FC236}">
                <a16:creationId xmlns:a16="http://schemas.microsoft.com/office/drawing/2014/main" id="{00000000-0008-0000-0100-0000AA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27" name="MPDB_Driver_RightFemur_Brown" hidden="1">
            <a:extLst>
              <a:ext uri="{FF2B5EF4-FFF2-40B4-BE49-F238E27FC236}">
                <a16:creationId xmlns:a16="http://schemas.microsoft.com/office/drawing/2014/main" id="{00000000-0008-0000-0100-0000AB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30" name="MPDB_Driver_Pelvis_Yellow" hidden="1">
            <a:extLst>
              <a:ext uri="{FF2B5EF4-FFF2-40B4-BE49-F238E27FC236}">
                <a16:creationId xmlns:a16="http://schemas.microsoft.com/office/drawing/2014/main" id="{00000000-0008-0000-0100-0000AE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31" name="MPDB_Driver_Pelvis_Orange" hidden="1">
            <a:extLst>
              <a:ext uri="{FF2B5EF4-FFF2-40B4-BE49-F238E27FC236}">
                <a16:creationId xmlns:a16="http://schemas.microsoft.com/office/drawing/2014/main" id="{00000000-0008-0000-0100-0000AF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32" name="MPDB_Driver_Pelvis_Brown" hidden="1">
            <a:extLst>
              <a:ext uri="{FF2B5EF4-FFF2-40B4-BE49-F238E27FC236}">
                <a16:creationId xmlns:a16="http://schemas.microsoft.com/office/drawing/2014/main" id="{00000000-0008-0000-0100-0000B0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34" name="MPDB_Driver_LeftTibia_Green" hidden="1">
            <a:extLst>
              <a:ext uri="{FF2B5EF4-FFF2-40B4-BE49-F238E27FC236}">
                <a16:creationId xmlns:a16="http://schemas.microsoft.com/office/drawing/2014/main" id="{00000000-0008-0000-0100-0000B2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35" name="MPDB_Driver_LeftTibia_Yellow" hidden="1">
            <a:extLst>
              <a:ext uri="{FF2B5EF4-FFF2-40B4-BE49-F238E27FC236}">
                <a16:creationId xmlns:a16="http://schemas.microsoft.com/office/drawing/2014/main" id="{00000000-0008-0000-0100-0000B3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36" name="MPDB_Driver_LeftTibia_Orange" hidden="1">
            <a:extLst>
              <a:ext uri="{FF2B5EF4-FFF2-40B4-BE49-F238E27FC236}">
                <a16:creationId xmlns:a16="http://schemas.microsoft.com/office/drawing/2014/main" id="{00000000-0008-0000-0100-0000B4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37" name="MPDB_Driver_LeftTibia_Brown" hidden="1">
            <a:extLst>
              <a:ext uri="{FF2B5EF4-FFF2-40B4-BE49-F238E27FC236}">
                <a16:creationId xmlns:a16="http://schemas.microsoft.com/office/drawing/2014/main" id="{00000000-0008-0000-0100-0000B5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39" name="MPDB_Driver_RightTibia_Green" hidden="1">
            <a:extLst>
              <a:ext uri="{FF2B5EF4-FFF2-40B4-BE49-F238E27FC236}">
                <a16:creationId xmlns:a16="http://schemas.microsoft.com/office/drawing/2014/main" id="{00000000-0008-0000-0100-0000B7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40" name="MPDB_Driver_RightTibia_Yellow" hidden="1">
            <a:extLst>
              <a:ext uri="{FF2B5EF4-FFF2-40B4-BE49-F238E27FC236}">
                <a16:creationId xmlns:a16="http://schemas.microsoft.com/office/drawing/2014/main" id="{00000000-0008-0000-0100-0000B8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41" name="MPDB_Driver_RightTibia_Orange" hidden="1">
            <a:extLst>
              <a:ext uri="{FF2B5EF4-FFF2-40B4-BE49-F238E27FC236}">
                <a16:creationId xmlns:a16="http://schemas.microsoft.com/office/drawing/2014/main" id="{00000000-0008-0000-0100-0000B9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42" name="MPDB_Driver_RightTibia_Brown" hidden="1">
            <a:extLst>
              <a:ext uri="{FF2B5EF4-FFF2-40B4-BE49-F238E27FC236}">
                <a16:creationId xmlns:a16="http://schemas.microsoft.com/office/drawing/2014/main" id="{00000000-0008-0000-0100-0000BA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44" name="MPDB_Driver_Feet_Green" hidden="1">
            <a:extLst>
              <a:ext uri="{FF2B5EF4-FFF2-40B4-BE49-F238E27FC236}">
                <a16:creationId xmlns:a16="http://schemas.microsoft.com/office/drawing/2014/main" id="{00000000-0008-0000-0100-0000B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45" name="MPDB_Driver_Feet_Yellow" hidden="1">
            <a:extLst>
              <a:ext uri="{FF2B5EF4-FFF2-40B4-BE49-F238E27FC236}">
                <a16:creationId xmlns:a16="http://schemas.microsoft.com/office/drawing/2014/main" id="{00000000-0008-0000-0100-0000B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46" name="MPDB_Driver_Feet_Orange" hidden="1">
            <a:extLst>
              <a:ext uri="{FF2B5EF4-FFF2-40B4-BE49-F238E27FC236}">
                <a16:creationId xmlns:a16="http://schemas.microsoft.com/office/drawing/2014/main" id="{00000000-0008-0000-0100-0000B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47" name="MPDB_Driver_Feet_Brown" hidden="1">
            <a:extLst>
              <a:ext uri="{FF2B5EF4-FFF2-40B4-BE49-F238E27FC236}">
                <a16:creationId xmlns:a16="http://schemas.microsoft.com/office/drawing/2014/main" id="{00000000-0008-0000-0100-0000B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48" name="MPDB_Passenger_LeftTibia_Green" hidden="1">
            <a:extLst>
              <a:ext uri="{FF2B5EF4-FFF2-40B4-BE49-F238E27FC236}">
                <a16:creationId xmlns:a16="http://schemas.microsoft.com/office/drawing/2014/main" id="{00000000-0008-0000-0100-0000C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49" name="MPDB_Passenger_LeftTibia_Yellow" hidden="1">
            <a:extLst>
              <a:ext uri="{FF2B5EF4-FFF2-40B4-BE49-F238E27FC236}">
                <a16:creationId xmlns:a16="http://schemas.microsoft.com/office/drawing/2014/main" id="{00000000-0008-0000-0100-0000C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50" name="MPDB_Passenger_LeftTibia_Orange" hidden="1">
            <a:extLst>
              <a:ext uri="{FF2B5EF4-FFF2-40B4-BE49-F238E27FC236}">
                <a16:creationId xmlns:a16="http://schemas.microsoft.com/office/drawing/2014/main" id="{00000000-0008-0000-0100-0000C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51" name="MPDB_Passenger_LeftTibia_Brown" hidden="1">
            <a:extLst>
              <a:ext uri="{FF2B5EF4-FFF2-40B4-BE49-F238E27FC236}">
                <a16:creationId xmlns:a16="http://schemas.microsoft.com/office/drawing/2014/main" id="{00000000-0008-0000-0100-0000C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53" name="MPDB_Passenger_RightTibia_Green" hidden="1">
            <a:extLst>
              <a:ext uri="{FF2B5EF4-FFF2-40B4-BE49-F238E27FC236}">
                <a16:creationId xmlns:a16="http://schemas.microsoft.com/office/drawing/2014/main" id="{00000000-0008-0000-0100-0000C5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54" name="MPDB_Passenger_RightTibia_Yellow" hidden="1">
            <a:extLst>
              <a:ext uri="{FF2B5EF4-FFF2-40B4-BE49-F238E27FC236}">
                <a16:creationId xmlns:a16="http://schemas.microsoft.com/office/drawing/2014/main" id="{00000000-0008-0000-0100-0000C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55" name="MPDB_Passenger_RightTibia_Orange" hidden="1">
            <a:extLst>
              <a:ext uri="{FF2B5EF4-FFF2-40B4-BE49-F238E27FC236}">
                <a16:creationId xmlns:a16="http://schemas.microsoft.com/office/drawing/2014/main" id="{00000000-0008-0000-0100-0000C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56" name="MPDB_Passenger_RightTibia_Brown" hidden="1">
            <a:extLst>
              <a:ext uri="{FF2B5EF4-FFF2-40B4-BE49-F238E27FC236}">
                <a16:creationId xmlns:a16="http://schemas.microsoft.com/office/drawing/2014/main" id="{00000000-0008-0000-0100-0000C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59" name="MPDB_Passenger_LeftFemur_Green" hidden="1">
            <a:extLst>
              <a:ext uri="{FF2B5EF4-FFF2-40B4-BE49-F238E27FC236}">
                <a16:creationId xmlns:a16="http://schemas.microsoft.com/office/drawing/2014/main" id="{00000000-0008-0000-0100-0000C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60" name="MPDB_Passenger_LeftFemur_Yellow" hidden="1">
            <a:extLst>
              <a:ext uri="{FF2B5EF4-FFF2-40B4-BE49-F238E27FC236}">
                <a16:creationId xmlns:a16="http://schemas.microsoft.com/office/drawing/2014/main" id="{00000000-0008-0000-0100-0000C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61" name="MPDB_Passenger_LeftFemur_Orange" hidden="1">
            <a:extLst>
              <a:ext uri="{FF2B5EF4-FFF2-40B4-BE49-F238E27FC236}">
                <a16:creationId xmlns:a16="http://schemas.microsoft.com/office/drawing/2014/main" id="{00000000-0008-0000-0100-0000C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62" name="MPDB_Passenger_LeftFemur_Brown" hidden="1">
            <a:extLst>
              <a:ext uri="{FF2B5EF4-FFF2-40B4-BE49-F238E27FC236}">
                <a16:creationId xmlns:a16="http://schemas.microsoft.com/office/drawing/2014/main" id="{00000000-0008-0000-0100-0000C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64" name="MPDB_Passenger_RightFemur_Green" hidden="1">
            <a:extLst>
              <a:ext uri="{FF2B5EF4-FFF2-40B4-BE49-F238E27FC236}">
                <a16:creationId xmlns:a16="http://schemas.microsoft.com/office/drawing/2014/main" id="{00000000-0008-0000-0100-0000D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65" name="MPDB_Passenger_RightFemur_Yellow" hidden="1">
            <a:extLst>
              <a:ext uri="{FF2B5EF4-FFF2-40B4-BE49-F238E27FC236}">
                <a16:creationId xmlns:a16="http://schemas.microsoft.com/office/drawing/2014/main" id="{00000000-0008-0000-0100-0000D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66" name="MPDB_Passenger_RightFemur_Orange" hidden="1">
            <a:extLst>
              <a:ext uri="{FF2B5EF4-FFF2-40B4-BE49-F238E27FC236}">
                <a16:creationId xmlns:a16="http://schemas.microsoft.com/office/drawing/2014/main" id="{00000000-0008-0000-0100-0000D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67" name="MPDB_Passenger_RightFemur_Brown" hidden="1">
            <a:extLst>
              <a:ext uri="{FF2B5EF4-FFF2-40B4-BE49-F238E27FC236}">
                <a16:creationId xmlns:a16="http://schemas.microsoft.com/office/drawing/2014/main" id="{00000000-0008-0000-0100-0000D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29" name="MPDB_Driver_Pelvis_Green" hidden="1">
            <a:extLst>
              <a:ext uri="{FF2B5EF4-FFF2-40B4-BE49-F238E27FC236}">
                <a16:creationId xmlns:a16="http://schemas.microsoft.com/office/drawing/2014/main" id="{00000000-0008-0000-0100-0000AD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4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02" name="MPDB_Driver_Head_Red">
            <a:extLst>
              <a:ext uri="{FF2B5EF4-FFF2-40B4-BE49-F238E27FC236}">
                <a16:creationId xmlns:a16="http://schemas.microsoft.com/office/drawing/2014/main" id="{00000000-0008-0000-0100-000092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4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08" name="MPDB_Driver_Neck_Red">
            <a:extLst>
              <a:ext uri="{FF2B5EF4-FFF2-40B4-BE49-F238E27FC236}">
                <a16:creationId xmlns:a16="http://schemas.microsoft.com/office/drawing/2014/main" id="{00000000-0008-0000-0100-000098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4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393" name="MPDB_Driver_Chest_Red">
            <a:extLst>
              <a:ext uri="{FF2B5EF4-FFF2-40B4-BE49-F238E27FC236}">
                <a16:creationId xmlns:a16="http://schemas.microsoft.com/office/drawing/2014/main" id="{00000000-0008-0000-0100-000089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4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18" name="MPDB_Driver_Abdomen_Red">
            <a:extLst>
              <a:ext uri="{FF2B5EF4-FFF2-40B4-BE49-F238E27FC236}">
                <a16:creationId xmlns:a16="http://schemas.microsoft.com/office/drawing/2014/main" id="{00000000-0008-0000-0100-0000A2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4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23" name="MPDB_Driver_LeftFemur_Red">
            <a:extLst>
              <a:ext uri="{FF2B5EF4-FFF2-40B4-BE49-F238E27FC236}">
                <a16:creationId xmlns:a16="http://schemas.microsoft.com/office/drawing/2014/main" id="{00000000-0008-0000-0100-0000A7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4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28" name="MPDB_Driver_RightFemur_Red">
            <a:extLst>
              <a:ext uri="{FF2B5EF4-FFF2-40B4-BE49-F238E27FC236}">
                <a16:creationId xmlns:a16="http://schemas.microsoft.com/office/drawing/2014/main" id="{00000000-0008-0000-0100-0000AC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4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33" name="MPDB_Driver_Pelvis_Red">
            <a:extLst>
              <a:ext uri="{FF2B5EF4-FFF2-40B4-BE49-F238E27FC236}">
                <a16:creationId xmlns:a16="http://schemas.microsoft.com/office/drawing/2014/main" id="{00000000-0008-0000-0100-0000B1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38" name="MPDB_Driver_LeftTibia_Red">
            <a:extLst>
              <a:ext uri="{FF2B5EF4-FFF2-40B4-BE49-F238E27FC236}">
                <a16:creationId xmlns:a16="http://schemas.microsoft.com/office/drawing/2014/main" id="{00000000-0008-0000-0100-0000B6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4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43" name="MPDB_Driver_RightTibia_Red">
            <a:extLst>
              <a:ext uri="{FF2B5EF4-FFF2-40B4-BE49-F238E27FC236}">
                <a16:creationId xmlns:a16="http://schemas.microsoft.com/office/drawing/2014/main" id="{00000000-0008-0000-0100-0000BB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5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58" name="MPDB_Driver_Feet_Red">
            <a:extLst>
              <a:ext uri="{FF2B5EF4-FFF2-40B4-BE49-F238E27FC236}">
                <a16:creationId xmlns:a16="http://schemas.microsoft.com/office/drawing/2014/main" id="{00000000-0008-0000-0100-0000CA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03" name="MPDB_Passenger_Head_Red">
            <a:extLst>
              <a:ext uri="{FF2B5EF4-FFF2-40B4-BE49-F238E27FC236}">
                <a16:creationId xmlns:a16="http://schemas.microsoft.com/office/drawing/2014/main" id="{00000000-0008-0000-0100-000093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5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13" name="MPDB_Passenger_Neck_Red">
            <a:extLst>
              <a:ext uri="{FF2B5EF4-FFF2-40B4-BE49-F238E27FC236}">
                <a16:creationId xmlns:a16="http://schemas.microsoft.com/office/drawing/2014/main" id="{00000000-0008-0000-0100-00009D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5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376" name="MPDB_Passenger_Chest_Red">
            <a:extLst>
              <a:ext uri="{FF2B5EF4-FFF2-40B4-BE49-F238E27FC236}">
                <a16:creationId xmlns:a16="http://schemas.microsoft.com/office/drawing/2014/main" id="{00000000-0008-0000-0100-000078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5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63" name="MPDB_Passenger_LeftFemur_Red">
            <a:extLst>
              <a:ext uri="{FF2B5EF4-FFF2-40B4-BE49-F238E27FC236}">
                <a16:creationId xmlns:a16="http://schemas.microsoft.com/office/drawing/2014/main" id="{00000000-0008-0000-0100-0000C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68" name="MPDB_Passenger_RightFemur_Red">
            <a:extLst>
              <a:ext uri="{FF2B5EF4-FFF2-40B4-BE49-F238E27FC236}">
                <a16:creationId xmlns:a16="http://schemas.microsoft.com/office/drawing/2014/main" id="{00000000-0008-0000-0100-0000D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52" name="MPDB_Passenger_LeftTibia_Red">
            <a:extLst>
              <a:ext uri="{FF2B5EF4-FFF2-40B4-BE49-F238E27FC236}">
                <a16:creationId xmlns:a16="http://schemas.microsoft.com/office/drawing/2014/main" id="{00000000-0008-0000-0100-0000C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  <xdr:pic>
        <xdr:nvPicPr>
          <xdr:cNvPr id="457" name="MPDB_Passenger_RightTibia_Red">
            <a:extLst>
              <a:ext uri="{FF2B5EF4-FFF2-40B4-BE49-F238E27FC236}">
                <a16:creationId xmlns:a16="http://schemas.microsoft.com/office/drawing/2014/main" id="{00000000-0008-0000-0100-0000C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99859" y="8444713"/>
            <a:ext cx="7619047" cy="669206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818453</xdr:colOff>
      <xdr:row>26</xdr:row>
      <xdr:rowOff>141111</xdr:rowOff>
    </xdr:from>
    <xdr:to>
      <xdr:col>10</xdr:col>
      <xdr:colOff>165890</xdr:colOff>
      <xdr:row>32</xdr:row>
      <xdr:rowOff>25445</xdr:rowOff>
    </xdr:to>
    <xdr:grpSp>
      <xdr:nvGrpSpPr>
        <xdr:cNvPr id="469" name="FW_Driver&amp;Passenger"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GrpSpPr>
          <a:grpSpLocks noChangeAspect="1"/>
        </xdr:cNvGrpSpPr>
      </xdr:nvGrpSpPr>
      <xdr:grpSpPr>
        <a:xfrm>
          <a:off x="7638353" y="8265936"/>
          <a:ext cx="2157312" cy="1598834"/>
          <a:chOff x="5129703" y="4525088"/>
          <a:chExt cx="5716800" cy="4549620"/>
        </a:xfrm>
      </xdr:grpSpPr>
      <xdr:pic>
        <xdr:nvPicPr>
          <xdr:cNvPr id="470" name="FW_General">
            <a:extLst>
              <a:ext uri="{FF2B5EF4-FFF2-40B4-BE49-F238E27FC236}">
                <a16:creationId xmlns:a16="http://schemas.microsoft.com/office/drawing/2014/main" id="{00000000-0008-0000-0100-0000D6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5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71" name="FW_Driver_Chest_Green" hidden="1">
            <a:extLst>
              <a:ext uri="{FF2B5EF4-FFF2-40B4-BE49-F238E27FC236}">
                <a16:creationId xmlns:a16="http://schemas.microsoft.com/office/drawing/2014/main" id="{00000000-0008-0000-0100-0000D7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6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72" name="FW_Driver_Chest_Yellow" hidden="1">
            <a:extLst>
              <a:ext uri="{FF2B5EF4-FFF2-40B4-BE49-F238E27FC236}">
                <a16:creationId xmlns:a16="http://schemas.microsoft.com/office/drawing/2014/main" id="{00000000-0008-0000-0100-0000D8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6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73" name="FW_Driver_Chest_Orange" hidden="1">
            <a:extLst>
              <a:ext uri="{FF2B5EF4-FFF2-40B4-BE49-F238E27FC236}">
                <a16:creationId xmlns:a16="http://schemas.microsoft.com/office/drawing/2014/main" id="{00000000-0008-0000-0100-0000D9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6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74" name="FW_Driver_Chest_Brown" hidden="1">
            <a:extLst>
              <a:ext uri="{FF2B5EF4-FFF2-40B4-BE49-F238E27FC236}">
                <a16:creationId xmlns:a16="http://schemas.microsoft.com/office/drawing/2014/main" id="{00000000-0008-0000-0100-0000DA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6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76" name="FW_Driver_LeftFemur_Green" hidden="1">
            <a:extLst>
              <a:ext uri="{FF2B5EF4-FFF2-40B4-BE49-F238E27FC236}">
                <a16:creationId xmlns:a16="http://schemas.microsoft.com/office/drawing/2014/main" id="{00000000-0008-0000-0100-0000DC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6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77" name="FW_Driver_LeftFemur_Yellow" hidden="1">
            <a:extLst>
              <a:ext uri="{FF2B5EF4-FFF2-40B4-BE49-F238E27FC236}">
                <a16:creationId xmlns:a16="http://schemas.microsoft.com/office/drawing/2014/main" id="{00000000-0008-0000-0100-0000DD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6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78" name="FW_Driver_LeftFemur_Orange" hidden="1">
            <a:extLst>
              <a:ext uri="{FF2B5EF4-FFF2-40B4-BE49-F238E27FC236}">
                <a16:creationId xmlns:a16="http://schemas.microsoft.com/office/drawing/2014/main" id="{00000000-0008-0000-0100-0000DE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6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79" name="FW_Driver_LeftFemur_Brown" hidden="1">
            <a:extLst>
              <a:ext uri="{FF2B5EF4-FFF2-40B4-BE49-F238E27FC236}">
                <a16:creationId xmlns:a16="http://schemas.microsoft.com/office/drawing/2014/main" id="{00000000-0008-0000-0100-0000DF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6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81" name="FW_Driver_RightFemur_Green" hidden="1">
            <a:extLst>
              <a:ext uri="{FF2B5EF4-FFF2-40B4-BE49-F238E27FC236}">
                <a16:creationId xmlns:a16="http://schemas.microsoft.com/office/drawing/2014/main" id="{00000000-0008-0000-0100-0000E1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6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82" name="FW_Driver_RightFemur_Yellow" hidden="1">
            <a:extLst>
              <a:ext uri="{FF2B5EF4-FFF2-40B4-BE49-F238E27FC236}">
                <a16:creationId xmlns:a16="http://schemas.microsoft.com/office/drawing/2014/main" id="{00000000-0008-0000-0100-0000E2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6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83" name="FW_Driver_RightFemur_Orange" hidden="1">
            <a:extLst>
              <a:ext uri="{FF2B5EF4-FFF2-40B4-BE49-F238E27FC236}">
                <a16:creationId xmlns:a16="http://schemas.microsoft.com/office/drawing/2014/main" id="{00000000-0008-0000-0100-0000E3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7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84" name="FW_Driver_RightFemur_Brown" hidden="1">
            <a:extLst>
              <a:ext uri="{FF2B5EF4-FFF2-40B4-BE49-F238E27FC236}">
                <a16:creationId xmlns:a16="http://schemas.microsoft.com/office/drawing/2014/main" id="{00000000-0008-0000-0100-0000E4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7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86" name="FW_Driver_Head_Green" hidden="1">
            <a:extLst>
              <a:ext uri="{FF2B5EF4-FFF2-40B4-BE49-F238E27FC236}">
                <a16:creationId xmlns:a16="http://schemas.microsoft.com/office/drawing/2014/main" id="{00000000-0008-0000-0100-0000E6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7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87" name="FW_Driver_Head_Yellow" hidden="1">
            <a:extLst>
              <a:ext uri="{FF2B5EF4-FFF2-40B4-BE49-F238E27FC236}">
                <a16:creationId xmlns:a16="http://schemas.microsoft.com/office/drawing/2014/main" id="{00000000-0008-0000-0100-0000E7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7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88" name="FW_Driver_Head_Orange" hidden="1">
            <a:extLst>
              <a:ext uri="{FF2B5EF4-FFF2-40B4-BE49-F238E27FC236}">
                <a16:creationId xmlns:a16="http://schemas.microsoft.com/office/drawing/2014/main" id="{00000000-0008-0000-0100-0000E8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7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89" name="FW_Driver_Head_Brown" hidden="1">
            <a:extLst>
              <a:ext uri="{FF2B5EF4-FFF2-40B4-BE49-F238E27FC236}">
                <a16:creationId xmlns:a16="http://schemas.microsoft.com/office/drawing/2014/main" id="{00000000-0008-0000-0100-0000E9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7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91" name="FW_Driver_Neck_Green" hidden="1">
            <a:extLst>
              <a:ext uri="{FF2B5EF4-FFF2-40B4-BE49-F238E27FC236}">
                <a16:creationId xmlns:a16="http://schemas.microsoft.com/office/drawing/2014/main" id="{00000000-0008-0000-0100-0000EB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7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92" name="FW_Driver_Neck_Yellow" hidden="1">
            <a:extLst>
              <a:ext uri="{FF2B5EF4-FFF2-40B4-BE49-F238E27FC236}">
                <a16:creationId xmlns:a16="http://schemas.microsoft.com/office/drawing/2014/main" id="{00000000-0008-0000-0100-0000EC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7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93" name="FW_Driver_Neck_Orange" hidden="1">
            <a:extLst>
              <a:ext uri="{FF2B5EF4-FFF2-40B4-BE49-F238E27FC236}">
                <a16:creationId xmlns:a16="http://schemas.microsoft.com/office/drawing/2014/main" id="{00000000-0008-0000-0100-0000ED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7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94" name="FW_Driver_Neck_Brown" hidden="1">
            <a:extLst>
              <a:ext uri="{FF2B5EF4-FFF2-40B4-BE49-F238E27FC236}">
                <a16:creationId xmlns:a16="http://schemas.microsoft.com/office/drawing/2014/main" id="{00000000-0008-0000-0100-0000EE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7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97" name="FW_Driver_Pelvis_Yellow" hidden="1">
            <a:extLst>
              <a:ext uri="{FF2B5EF4-FFF2-40B4-BE49-F238E27FC236}">
                <a16:creationId xmlns:a16="http://schemas.microsoft.com/office/drawing/2014/main" id="{00000000-0008-0000-0100-0000F1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8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98" name="FW_Driver_Pelvis_Orange" hidden="1">
            <a:extLst>
              <a:ext uri="{FF2B5EF4-FFF2-40B4-BE49-F238E27FC236}">
                <a16:creationId xmlns:a16="http://schemas.microsoft.com/office/drawing/2014/main" id="{00000000-0008-0000-0100-0000F2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8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99" name="FW_Driver_Pelvis_Brown" hidden="1">
            <a:extLst>
              <a:ext uri="{FF2B5EF4-FFF2-40B4-BE49-F238E27FC236}">
                <a16:creationId xmlns:a16="http://schemas.microsoft.com/office/drawing/2014/main" id="{00000000-0008-0000-0100-0000F3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8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00" name="FW_Driver_Pelvis_Red">
            <a:extLst>
              <a:ext uri="{FF2B5EF4-FFF2-40B4-BE49-F238E27FC236}">
                <a16:creationId xmlns:a16="http://schemas.microsoft.com/office/drawing/2014/main" id="{00000000-0008-0000-0100-0000F4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8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01" name="FW_Rear_Passenger_Chest_Green" hidden="1">
            <a:extLst>
              <a:ext uri="{FF2B5EF4-FFF2-40B4-BE49-F238E27FC236}">
                <a16:creationId xmlns:a16="http://schemas.microsoft.com/office/drawing/2014/main" id="{00000000-0008-0000-0100-0000F5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8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02" name="FW_Rear_Passenger_Chest_Yellow" hidden="1">
            <a:extLst>
              <a:ext uri="{FF2B5EF4-FFF2-40B4-BE49-F238E27FC236}">
                <a16:creationId xmlns:a16="http://schemas.microsoft.com/office/drawing/2014/main" id="{00000000-0008-0000-0100-0000F6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8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03" name="FW_Rear_Passenger_Chest_Orange" hidden="1">
            <a:extLst>
              <a:ext uri="{FF2B5EF4-FFF2-40B4-BE49-F238E27FC236}">
                <a16:creationId xmlns:a16="http://schemas.microsoft.com/office/drawing/2014/main" id="{00000000-0008-0000-0100-0000F7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8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04" name="FW_Rear_Passenger_Chest_Brown" hidden="1">
            <a:extLst>
              <a:ext uri="{FF2B5EF4-FFF2-40B4-BE49-F238E27FC236}">
                <a16:creationId xmlns:a16="http://schemas.microsoft.com/office/drawing/2014/main" id="{00000000-0008-0000-0100-0000F8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8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06" name="FW_Rear_Passenger_LFemur_Green" hidden="1">
            <a:extLst>
              <a:ext uri="{FF2B5EF4-FFF2-40B4-BE49-F238E27FC236}">
                <a16:creationId xmlns:a16="http://schemas.microsoft.com/office/drawing/2014/main" id="{00000000-0008-0000-0100-0000FA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8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07" name="FW_Rear_Passenger_LFemur_Yellow" hidden="1">
            <a:extLst>
              <a:ext uri="{FF2B5EF4-FFF2-40B4-BE49-F238E27FC236}">
                <a16:creationId xmlns:a16="http://schemas.microsoft.com/office/drawing/2014/main" id="{00000000-0008-0000-0100-0000FB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8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08" name="FW_Rear_Passenger_LFemur_Orange" hidden="1">
            <a:extLst>
              <a:ext uri="{FF2B5EF4-FFF2-40B4-BE49-F238E27FC236}">
                <a16:creationId xmlns:a16="http://schemas.microsoft.com/office/drawing/2014/main" id="{00000000-0008-0000-0100-0000FC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9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09" name="FW_Rear_Passenger_LFemur_Brown" hidden="1">
            <a:extLst>
              <a:ext uri="{FF2B5EF4-FFF2-40B4-BE49-F238E27FC236}">
                <a16:creationId xmlns:a16="http://schemas.microsoft.com/office/drawing/2014/main" id="{00000000-0008-0000-0100-0000FD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9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11" name="FW_Rear_Passenger_RFemur_Green" hidden="1">
            <a:extLst>
              <a:ext uri="{FF2B5EF4-FFF2-40B4-BE49-F238E27FC236}">
                <a16:creationId xmlns:a16="http://schemas.microsoft.com/office/drawing/2014/main" id="{00000000-0008-0000-0100-0000FF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9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12" name="FW_Rear_Passenger_RFemur_Yellow" hidden="1">
            <a:extLst>
              <a:ext uri="{FF2B5EF4-FFF2-40B4-BE49-F238E27FC236}">
                <a16:creationId xmlns:a16="http://schemas.microsoft.com/office/drawing/2014/main" id="{00000000-0008-0000-0100-00000002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9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13" name="FW_Rear_Passenger_RFemur_Orange" hidden="1">
            <a:extLst>
              <a:ext uri="{FF2B5EF4-FFF2-40B4-BE49-F238E27FC236}">
                <a16:creationId xmlns:a16="http://schemas.microsoft.com/office/drawing/2014/main" id="{00000000-0008-0000-0100-00000102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9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14" name="FW_Rear_Passenger_RFemur_Brown" hidden="1">
            <a:extLst>
              <a:ext uri="{FF2B5EF4-FFF2-40B4-BE49-F238E27FC236}">
                <a16:creationId xmlns:a16="http://schemas.microsoft.com/office/drawing/2014/main" id="{00000000-0008-0000-0100-00000202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9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16" name="FW_Rear_Passenger_Head_Green" hidden="1">
            <a:extLst>
              <a:ext uri="{FF2B5EF4-FFF2-40B4-BE49-F238E27FC236}">
                <a16:creationId xmlns:a16="http://schemas.microsoft.com/office/drawing/2014/main" id="{00000000-0008-0000-0100-00000402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9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17" name="FW_Rear_Passenger_Head_Yellow" hidden="1">
            <a:extLst>
              <a:ext uri="{FF2B5EF4-FFF2-40B4-BE49-F238E27FC236}">
                <a16:creationId xmlns:a16="http://schemas.microsoft.com/office/drawing/2014/main" id="{00000000-0008-0000-0100-00000502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9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18" name="FW_Rear_Passenger_Head_Orange" hidden="1">
            <a:extLst>
              <a:ext uri="{FF2B5EF4-FFF2-40B4-BE49-F238E27FC236}">
                <a16:creationId xmlns:a16="http://schemas.microsoft.com/office/drawing/2014/main" id="{00000000-0008-0000-0100-00000602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9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19" name="FW_Rear_Passenger_Head_Brown" hidden="1">
            <a:extLst>
              <a:ext uri="{FF2B5EF4-FFF2-40B4-BE49-F238E27FC236}">
                <a16:creationId xmlns:a16="http://schemas.microsoft.com/office/drawing/2014/main" id="{00000000-0008-0000-0100-00000702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9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21" name="FW_Rear_Passenger_Neck_Green" hidden="1">
            <a:extLst>
              <a:ext uri="{FF2B5EF4-FFF2-40B4-BE49-F238E27FC236}">
                <a16:creationId xmlns:a16="http://schemas.microsoft.com/office/drawing/2014/main" id="{00000000-0008-0000-0100-00000902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0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22" name="FW_Rear_Passenger_Neck_Yellow" hidden="1">
            <a:extLst>
              <a:ext uri="{FF2B5EF4-FFF2-40B4-BE49-F238E27FC236}">
                <a16:creationId xmlns:a16="http://schemas.microsoft.com/office/drawing/2014/main" id="{00000000-0008-0000-0100-00000A02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0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23" name="FW_Rear_Passenger_Neck_Orange" hidden="1">
            <a:extLst>
              <a:ext uri="{FF2B5EF4-FFF2-40B4-BE49-F238E27FC236}">
                <a16:creationId xmlns:a16="http://schemas.microsoft.com/office/drawing/2014/main" id="{00000000-0008-0000-0100-00000B02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0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24" name="FW_Rear_Passenger_Neck_Brown" hidden="1">
            <a:extLst>
              <a:ext uri="{FF2B5EF4-FFF2-40B4-BE49-F238E27FC236}">
                <a16:creationId xmlns:a16="http://schemas.microsoft.com/office/drawing/2014/main" id="{00000000-0008-0000-0100-00000C02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0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27" name="FW_Rear_Passenger_Pelvis_Yellow" hidden="1">
            <a:extLst>
              <a:ext uri="{FF2B5EF4-FFF2-40B4-BE49-F238E27FC236}">
                <a16:creationId xmlns:a16="http://schemas.microsoft.com/office/drawing/2014/main" id="{00000000-0008-0000-0100-00000F02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0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28" name="FW_Rear_Passenger_Pelvis_Orange" hidden="1">
            <a:extLst>
              <a:ext uri="{FF2B5EF4-FFF2-40B4-BE49-F238E27FC236}">
                <a16:creationId xmlns:a16="http://schemas.microsoft.com/office/drawing/2014/main" id="{00000000-0008-0000-0100-00001002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0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29" name="FW_Rear_Passenger_Pelvis_Brown" hidden="1">
            <a:extLst>
              <a:ext uri="{FF2B5EF4-FFF2-40B4-BE49-F238E27FC236}">
                <a16:creationId xmlns:a16="http://schemas.microsoft.com/office/drawing/2014/main" id="{00000000-0008-0000-0100-00001102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0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30" name="FW_Rear_Passenger_Pelvis_Red">
            <a:extLst>
              <a:ext uri="{FF2B5EF4-FFF2-40B4-BE49-F238E27FC236}">
                <a16:creationId xmlns:a16="http://schemas.microsoft.com/office/drawing/2014/main" id="{00000000-0008-0000-0100-00001202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0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90" name="FW_Driver_Head_Red">
            <a:extLst>
              <a:ext uri="{FF2B5EF4-FFF2-40B4-BE49-F238E27FC236}">
                <a16:creationId xmlns:a16="http://schemas.microsoft.com/office/drawing/2014/main" id="{00000000-0008-0000-0100-0000EA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0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95" name="FW_Driver_Neck_Red">
            <a:extLst>
              <a:ext uri="{FF2B5EF4-FFF2-40B4-BE49-F238E27FC236}">
                <a16:creationId xmlns:a16="http://schemas.microsoft.com/office/drawing/2014/main" id="{00000000-0008-0000-0100-0000EF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0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75" name="FW_Driver_Chest_Red">
            <a:extLst>
              <a:ext uri="{FF2B5EF4-FFF2-40B4-BE49-F238E27FC236}">
                <a16:creationId xmlns:a16="http://schemas.microsoft.com/office/drawing/2014/main" id="{00000000-0008-0000-0100-0000DB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80" name="FW_Driver_LeftFemur_Red">
            <a:extLst>
              <a:ext uri="{FF2B5EF4-FFF2-40B4-BE49-F238E27FC236}">
                <a16:creationId xmlns:a16="http://schemas.microsoft.com/office/drawing/2014/main" id="{00000000-0008-0000-0100-0000E0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485" name="FW_Driver_RightFemur_Red">
            <a:extLst>
              <a:ext uri="{FF2B5EF4-FFF2-40B4-BE49-F238E27FC236}">
                <a16:creationId xmlns:a16="http://schemas.microsoft.com/office/drawing/2014/main" id="{00000000-0008-0000-0100-0000E5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9853"/>
            <a:ext cx="5716800" cy="4544855"/>
          </a:xfrm>
          <a:prstGeom prst="rect">
            <a:avLst/>
          </a:prstGeom>
        </xdr:spPr>
      </xdr:pic>
      <xdr:pic>
        <xdr:nvPicPr>
          <xdr:cNvPr id="496" name="FW_Driver_Pelvis_Green">
            <a:extLst>
              <a:ext uri="{FF2B5EF4-FFF2-40B4-BE49-F238E27FC236}">
                <a16:creationId xmlns:a16="http://schemas.microsoft.com/office/drawing/2014/main" id="{00000000-0008-0000-0100-0000F0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20" name="FW_Rear_Passenger_Head_Red">
            <a:extLst>
              <a:ext uri="{FF2B5EF4-FFF2-40B4-BE49-F238E27FC236}">
                <a16:creationId xmlns:a16="http://schemas.microsoft.com/office/drawing/2014/main" id="{00000000-0008-0000-0100-00000802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25" name="FW_Rear_Passenger_Neck_Red">
            <a:extLst>
              <a:ext uri="{FF2B5EF4-FFF2-40B4-BE49-F238E27FC236}">
                <a16:creationId xmlns:a16="http://schemas.microsoft.com/office/drawing/2014/main" id="{00000000-0008-0000-0100-00000D02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05" name="FW_Rear_Passenger_Chest_Red">
            <a:extLst>
              <a:ext uri="{FF2B5EF4-FFF2-40B4-BE49-F238E27FC236}">
                <a16:creationId xmlns:a16="http://schemas.microsoft.com/office/drawing/2014/main" id="{00000000-0008-0000-0100-0000F9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10" name="FW_Rear_Passenger_LFemur_Red">
            <a:extLst>
              <a:ext uri="{FF2B5EF4-FFF2-40B4-BE49-F238E27FC236}">
                <a16:creationId xmlns:a16="http://schemas.microsoft.com/office/drawing/2014/main" id="{00000000-0008-0000-0100-0000FE01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15" name="FW_Rear_Passenger_RFemur_Red">
            <a:extLst>
              <a:ext uri="{FF2B5EF4-FFF2-40B4-BE49-F238E27FC236}">
                <a16:creationId xmlns:a16="http://schemas.microsoft.com/office/drawing/2014/main" id="{00000000-0008-0000-0100-00000302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  <xdr:pic>
        <xdr:nvPicPr>
          <xdr:cNvPr id="526" name="FW_Rear_Passenger_Pelvis_Green">
            <a:extLst>
              <a:ext uri="{FF2B5EF4-FFF2-40B4-BE49-F238E27FC236}">
                <a16:creationId xmlns:a16="http://schemas.microsoft.com/office/drawing/2014/main" id="{00000000-0008-0000-0100-00000E02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9703" y="4525088"/>
            <a:ext cx="5716800" cy="4548034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529165</xdr:colOff>
      <xdr:row>34</xdr:row>
      <xdr:rowOff>275167</xdr:rowOff>
    </xdr:from>
    <xdr:to>
      <xdr:col>4</xdr:col>
      <xdr:colOff>378580</xdr:colOff>
      <xdr:row>39</xdr:row>
      <xdr:rowOff>268778</xdr:rowOff>
    </xdr:to>
    <xdr:grpSp>
      <xdr:nvGrpSpPr>
        <xdr:cNvPr id="531" name="Side_Driver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GrpSpPr>
          <a:grpSpLocks noChangeAspect="1"/>
        </xdr:cNvGrpSpPr>
      </xdr:nvGrpSpPr>
      <xdr:grpSpPr>
        <a:xfrm>
          <a:off x="3424765" y="10619317"/>
          <a:ext cx="697140" cy="1422361"/>
          <a:chOff x="8480438" y="3550000"/>
          <a:chExt cx="3809524" cy="7358731"/>
        </a:xfrm>
      </xdr:grpSpPr>
      <xdr:pic>
        <xdr:nvPicPr>
          <xdr:cNvPr id="537" name="Side_General">
            <a:extLst>
              <a:ext uri="{FF2B5EF4-FFF2-40B4-BE49-F238E27FC236}">
                <a16:creationId xmlns:a16="http://schemas.microsoft.com/office/drawing/2014/main" id="{00000000-0008-0000-0100-000019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80438" y="3556350"/>
            <a:ext cx="3809524" cy="7346031"/>
          </a:xfrm>
          <a:prstGeom prst="rect">
            <a:avLst/>
          </a:prstGeom>
        </xdr:spPr>
      </xdr:pic>
      <xdr:pic>
        <xdr:nvPicPr>
          <xdr:cNvPr id="532" name="Side_Driver_Abdomen_Green" hidden="1">
            <a:extLst>
              <a:ext uri="{FF2B5EF4-FFF2-40B4-BE49-F238E27FC236}">
                <a16:creationId xmlns:a16="http://schemas.microsoft.com/office/drawing/2014/main" id="{00000000-0008-0000-0100-000014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80438" y="3553175"/>
            <a:ext cx="3809524" cy="7352381"/>
          </a:xfrm>
          <a:prstGeom prst="rect">
            <a:avLst/>
          </a:prstGeom>
        </xdr:spPr>
      </xdr:pic>
      <xdr:pic>
        <xdr:nvPicPr>
          <xdr:cNvPr id="533" name="Side_Driver_Abdomen_Yellow" hidden="1">
            <a:extLst>
              <a:ext uri="{FF2B5EF4-FFF2-40B4-BE49-F238E27FC236}">
                <a16:creationId xmlns:a16="http://schemas.microsoft.com/office/drawing/2014/main" id="{00000000-0008-0000-0100-00001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80438" y="3553175"/>
            <a:ext cx="3809524" cy="7352381"/>
          </a:xfrm>
          <a:prstGeom prst="rect">
            <a:avLst/>
          </a:prstGeom>
        </xdr:spPr>
      </xdr:pic>
      <xdr:pic>
        <xdr:nvPicPr>
          <xdr:cNvPr id="534" name="Side_Driver_Abdomen_Orange" hidden="1">
            <a:extLst>
              <a:ext uri="{FF2B5EF4-FFF2-40B4-BE49-F238E27FC236}">
                <a16:creationId xmlns:a16="http://schemas.microsoft.com/office/drawing/2014/main" id="{00000000-0008-0000-0100-00001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80438" y="3553175"/>
            <a:ext cx="3809524" cy="7352381"/>
          </a:xfrm>
          <a:prstGeom prst="rect">
            <a:avLst/>
          </a:prstGeom>
        </xdr:spPr>
      </xdr:pic>
      <xdr:pic>
        <xdr:nvPicPr>
          <xdr:cNvPr id="535" name="Side_Driver_Abdomen_Brown" hidden="1">
            <a:extLst>
              <a:ext uri="{FF2B5EF4-FFF2-40B4-BE49-F238E27FC236}">
                <a16:creationId xmlns:a16="http://schemas.microsoft.com/office/drawing/2014/main" id="{00000000-0008-0000-0100-000017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80438" y="3553175"/>
            <a:ext cx="3809524" cy="7352381"/>
          </a:xfrm>
          <a:prstGeom prst="rect">
            <a:avLst/>
          </a:prstGeom>
        </xdr:spPr>
      </xdr:pic>
      <xdr:pic>
        <xdr:nvPicPr>
          <xdr:cNvPr id="538" name="Side_Driver_Chest_Green" hidden="1">
            <a:extLst>
              <a:ext uri="{FF2B5EF4-FFF2-40B4-BE49-F238E27FC236}">
                <a16:creationId xmlns:a16="http://schemas.microsoft.com/office/drawing/2014/main" id="{00000000-0008-0000-0100-00001A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80438" y="3553175"/>
            <a:ext cx="3809524" cy="7352381"/>
          </a:xfrm>
          <a:prstGeom prst="rect">
            <a:avLst/>
          </a:prstGeom>
        </xdr:spPr>
      </xdr:pic>
      <xdr:pic>
        <xdr:nvPicPr>
          <xdr:cNvPr id="539" name="Side_Driver_Chest_Yellow" hidden="1">
            <a:extLst>
              <a:ext uri="{FF2B5EF4-FFF2-40B4-BE49-F238E27FC236}">
                <a16:creationId xmlns:a16="http://schemas.microsoft.com/office/drawing/2014/main" id="{00000000-0008-0000-0100-00001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80438" y="3553175"/>
            <a:ext cx="3809524" cy="7352381"/>
          </a:xfrm>
          <a:prstGeom prst="rect">
            <a:avLst/>
          </a:prstGeom>
        </xdr:spPr>
      </xdr:pic>
      <xdr:pic>
        <xdr:nvPicPr>
          <xdr:cNvPr id="540" name="Side_Driver_Chest_Orange" hidden="1">
            <a:extLst>
              <a:ext uri="{FF2B5EF4-FFF2-40B4-BE49-F238E27FC236}">
                <a16:creationId xmlns:a16="http://schemas.microsoft.com/office/drawing/2014/main" id="{00000000-0008-0000-0100-00001C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80438" y="3553175"/>
            <a:ext cx="3809524" cy="7352381"/>
          </a:xfrm>
          <a:prstGeom prst="rect">
            <a:avLst/>
          </a:prstGeom>
        </xdr:spPr>
      </xdr:pic>
      <xdr:pic>
        <xdr:nvPicPr>
          <xdr:cNvPr id="541" name="Side_Driver_Chest_Brown" hidden="1">
            <a:extLst>
              <a:ext uri="{FF2B5EF4-FFF2-40B4-BE49-F238E27FC236}">
                <a16:creationId xmlns:a16="http://schemas.microsoft.com/office/drawing/2014/main" id="{00000000-0008-0000-0100-00001D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80438" y="3553175"/>
            <a:ext cx="3809524" cy="7352381"/>
          </a:xfrm>
          <a:prstGeom prst="rect">
            <a:avLst/>
          </a:prstGeom>
        </xdr:spPr>
      </xdr:pic>
      <xdr:pic>
        <xdr:nvPicPr>
          <xdr:cNvPr id="543" name="Side_Driver_Head_Green" hidden="1">
            <a:extLst>
              <a:ext uri="{FF2B5EF4-FFF2-40B4-BE49-F238E27FC236}">
                <a16:creationId xmlns:a16="http://schemas.microsoft.com/office/drawing/2014/main" id="{00000000-0008-0000-0100-00001F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80438" y="3550000"/>
            <a:ext cx="3809524" cy="7358731"/>
          </a:xfrm>
          <a:prstGeom prst="rect">
            <a:avLst/>
          </a:prstGeom>
        </xdr:spPr>
      </xdr:pic>
      <xdr:pic>
        <xdr:nvPicPr>
          <xdr:cNvPr id="544" name="Side_Driver_Head_Yellow" hidden="1">
            <a:extLst>
              <a:ext uri="{FF2B5EF4-FFF2-40B4-BE49-F238E27FC236}">
                <a16:creationId xmlns:a16="http://schemas.microsoft.com/office/drawing/2014/main" id="{00000000-0008-0000-0100-000020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80438" y="3553175"/>
            <a:ext cx="3809524" cy="7352381"/>
          </a:xfrm>
          <a:prstGeom prst="rect">
            <a:avLst/>
          </a:prstGeom>
        </xdr:spPr>
      </xdr:pic>
      <xdr:pic>
        <xdr:nvPicPr>
          <xdr:cNvPr id="545" name="Side_Driver_Head_Orange" hidden="1">
            <a:extLst>
              <a:ext uri="{FF2B5EF4-FFF2-40B4-BE49-F238E27FC236}">
                <a16:creationId xmlns:a16="http://schemas.microsoft.com/office/drawing/2014/main" id="{00000000-0008-0000-0100-00002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80438" y="3553175"/>
            <a:ext cx="3809524" cy="7352381"/>
          </a:xfrm>
          <a:prstGeom prst="rect">
            <a:avLst/>
          </a:prstGeom>
        </xdr:spPr>
      </xdr:pic>
      <xdr:pic>
        <xdr:nvPicPr>
          <xdr:cNvPr id="546" name="Side_Driver_Head_Brown" hidden="1">
            <a:extLst>
              <a:ext uri="{FF2B5EF4-FFF2-40B4-BE49-F238E27FC236}">
                <a16:creationId xmlns:a16="http://schemas.microsoft.com/office/drawing/2014/main" id="{00000000-0008-0000-0100-000022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80438" y="3553175"/>
            <a:ext cx="3809524" cy="7352381"/>
          </a:xfrm>
          <a:prstGeom prst="rect">
            <a:avLst/>
          </a:prstGeom>
        </xdr:spPr>
      </xdr:pic>
      <xdr:pic>
        <xdr:nvPicPr>
          <xdr:cNvPr id="548" name="Side_Driver_Pelvis_Green" hidden="1">
            <a:extLst>
              <a:ext uri="{FF2B5EF4-FFF2-40B4-BE49-F238E27FC236}">
                <a16:creationId xmlns:a16="http://schemas.microsoft.com/office/drawing/2014/main" id="{00000000-0008-0000-0100-000024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56451" y="4471880"/>
            <a:ext cx="2857498" cy="5514975"/>
          </a:xfrm>
          <a:prstGeom prst="rect">
            <a:avLst/>
          </a:prstGeom>
        </xdr:spPr>
      </xdr:pic>
      <xdr:pic>
        <xdr:nvPicPr>
          <xdr:cNvPr id="549" name="Side_Driver_Pelvis_Yellow" hidden="1">
            <a:extLst>
              <a:ext uri="{FF2B5EF4-FFF2-40B4-BE49-F238E27FC236}">
                <a16:creationId xmlns:a16="http://schemas.microsoft.com/office/drawing/2014/main" id="{00000000-0008-0000-0100-00002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56450" y="4468703"/>
            <a:ext cx="2857500" cy="5521325"/>
          </a:xfrm>
          <a:prstGeom prst="rect">
            <a:avLst/>
          </a:prstGeom>
        </xdr:spPr>
      </xdr:pic>
      <xdr:pic>
        <xdr:nvPicPr>
          <xdr:cNvPr id="550" name="Side_Driver_Pelvis_Orange" hidden="1">
            <a:extLst>
              <a:ext uri="{FF2B5EF4-FFF2-40B4-BE49-F238E27FC236}">
                <a16:creationId xmlns:a16="http://schemas.microsoft.com/office/drawing/2014/main" id="{00000000-0008-0000-0100-00002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56450" y="4471878"/>
            <a:ext cx="2857500" cy="5514975"/>
          </a:xfrm>
          <a:prstGeom prst="rect">
            <a:avLst/>
          </a:prstGeom>
        </xdr:spPr>
      </xdr:pic>
      <xdr:pic>
        <xdr:nvPicPr>
          <xdr:cNvPr id="551" name="Side_Driver_Pelvis_Brown" hidden="1">
            <a:extLst>
              <a:ext uri="{FF2B5EF4-FFF2-40B4-BE49-F238E27FC236}">
                <a16:creationId xmlns:a16="http://schemas.microsoft.com/office/drawing/2014/main" id="{00000000-0008-0000-0100-000027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56450" y="4471878"/>
            <a:ext cx="2857500" cy="5514975"/>
          </a:xfrm>
          <a:prstGeom prst="rect">
            <a:avLst/>
          </a:prstGeom>
        </xdr:spPr>
      </xdr:pic>
      <xdr:pic>
        <xdr:nvPicPr>
          <xdr:cNvPr id="547" name="Side_Driver_Head_Red">
            <a:extLst>
              <a:ext uri="{FF2B5EF4-FFF2-40B4-BE49-F238E27FC236}">
                <a16:creationId xmlns:a16="http://schemas.microsoft.com/office/drawing/2014/main" id="{00000000-0008-0000-0100-000023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80438" y="3553175"/>
            <a:ext cx="3809524" cy="7352381"/>
          </a:xfrm>
          <a:prstGeom prst="rect">
            <a:avLst/>
          </a:prstGeom>
        </xdr:spPr>
      </xdr:pic>
      <xdr:pic>
        <xdr:nvPicPr>
          <xdr:cNvPr id="542" name="Side_Driver_Chest_Red">
            <a:extLst>
              <a:ext uri="{FF2B5EF4-FFF2-40B4-BE49-F238E27FC236}">
                <a16:creationId xmlns:a16="http://schemas.microsoft.com/office/drawing/2014/main" id="{00000000-0008-0000-0100-00001E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80438" y="3553175"/>
            <a:ext cx="3809524" cy="7352381"/>
          </a:xfrm>
          <a:prstGeom prst="rect">
            <a:avLst/>
          </a:prstGeom>
        </xdr:spPr>
      </xdr:pic>
      <xdr:pic>
        <xdr:nvPicPr>
          <xdr:cNvPr id="536" name="Side_Driver_Abdomen_Red">
            <a:extLst>
              <a:ext uri="{FF2B5EF4-FFF2-40B4-BE49-F238E27FC236}">
                <a16:creationId xmlns:a16="http://schemas.microsoft.com/office/drawing/2014/main" id="{00000000-0008-0000-0100-000018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80438" y="3553175"/>
            <a:ext cx="3809524" cy="7352381"/>
          </a:xfrm>
          <a:prstGeom prst="rect">
            <a:avLst/>
          </a:prstGeom>
        </xdr:spPr>
      </xdr:pic>
      <xdr:pic>
        <xdr:nvPicPr>
          <xdr:cNvPr id="552" name="Side_Driver_Pelvis_Red">
            <a:extLst>
              <a:ext uri="{FF2B5EF4-FFF2-40B4-BE49-F238E27FC236}">
                <a16:creationId xmlns:a16="http://schemas.microsoft.com/office/drawing/2014/main" id="{00000000-0008-0000-0100-000028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56450" y="4471878"/>
            <a:ext cx="2857500" cy="551497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515057</xdr:colOff>
      <xdr:row>35</xdr:row>
      <xdr:rowOff>21166</xdr:rowOff>
    </xdr:from>
    <xdr:to>
      <xdr:col>6</xdr:col>
      <xdr:colOff>365116</xdr:colOff>
      <xdr:row>40</xdr:row>
      <xdr:rowOff>14777</xdr:rowOff>
    </xdr:to>
    <xdr:grpSp>
      <xdr:nvGrpSpPr>
        <xdr:cNvPr id="553" name="Pole_Driver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GrpSpPr>
          <a:grpSpLocks noChangeAspect="1"/>
        </xdr:cNvGrpSpPr>
      </xdr:nvGrpSpPr>
      <xdr:grpSpPr>
        <a:xfrm>
          <a:off x="5372807" y="10651066"/>
          <a:ext cx="697784" cy="1422361"/>
          <a:chOff x="8401400" y="2389150"/>
          <a:chExt cx="3809524" cy="7352381"/>
        </a:xfrm>
      </xdr:grpSpPr>
      <xdr:pic>
        <xdr:nvPicPr>
          <xdr:cNvPr id="559" name="Pole_General">
            <a:extLst>
              <a:ext uri="{FF2B5EF4-FFF2-40B4-BE49-F238E27FC236}">
                <a16:creationId xmlns:a16="http://schemas.microsoft.com/office/drawing/2014/main" id="{00000000-0008-0000-0100-00002F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01400" y="2389150"/>
            <a:ext cx="3809524" cy="7352381"/>
          </a:xfrm>
          <a:prstGeom prst="rect">
            <a:avLst/>
          </a:prstGeom>
        </xdr:spPr>
      </xdr:pic>
      <xdr:pic>
        <xdr:nvPicPr>
          <xdr:cNvPr id="554" name="Pole_Driver_Abdomen_Green" hidden="1">
            <a:extLst>
              <a:ext uri="{FF2B5EF4-FFF2-40B4-BE49-F238E27FC236}">
                <a16:creationId xmlns:a16="http://schemas.microsoft.com/office/drawing/2014/main" id="{00000000-0008-0000-0100-00002A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01400" y="2392325"/>
            <a:ext cx="3809524" cy="7339681"/>
          </a:xfrm>
          <a:prstGeom prst="rect">
            <a:avLst/>
          </a:prstGeom>
        </xdr:spPr>
      </xdr:pic>
      <xdr:pic>
        <xdr:nvPicPr>
          <xdr:cNvPr id="555" name="Pole_Driver_Abdomen_Yellow" hidden="1">
            <a:extLst>
              <a:ext uri="{FF2B5EF4-FFF2-40B4-BE49-F238E27FC236}">
                <a16:creationId xmlns:a16="http://schemas.microsoft.com/office/drawing/2014/main" id="{00000000-0008-0000-0100-00002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01400" y="2389150"/>
            <a:ext cx="3809524" cy="7352381"/>
          </a:xfrm>
          <a:prstGeom prst="rect">
            <a:avLst/>
          </a:prstGeom>
        </xdr:spPr>
      </xdr:pic>
      <xdr:pic>
        <xdr:nvPicPr>
          <xdr:cNvPr id="556" name="Pole_Driver_Abdomen_Orange" hidden="1">
            <a:extLst>
              <a:ext uri="{FF2B5EF4-FFF2-40B4-BE49-F238E27FC236}">
                <a16:creationId xmlns:a16="http://schemas.microsoft.com/office/drawing/2014/main" id="{00000000-0008-0000-0100-00002C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01400" y="2389150"/>
            <a:ext cx="3809524" cy="7352381"/>
          </a:xfrm>
          <a:prstGeom prst="rect">
            <a:avLst/>
          </a:prstGeom>
        </xdr:spPr>
      </xdr:pic>
      <xdr:pic>
        <xdr:nvPicPr>
          <xdr:cNvPr id="557" name="Pole_Driver_Abdomen_Brown" hidden="1">
            <a:extLst>
              <a:ext uri="{FF2B5EF4-FFF2-40B4-BE49-F238E27FC236}">
                <a16:creationId xmlns:a16="http://schemas.microsoft.com/office/drawing/2014/main" id="{00000000-0008-0000-0100-00002D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01400" y="2389150"/>
            <a:ext cx="3809524" cy="7352381"/>
          </a:xfrm>
          <a:prstGeom prst="rect">
            <a:avLst/>
          </a:prstGeom>
        </xdr:spPr>
      </xdr:pic>
      <xdr:pic>
        <xdr:nvPicPr>
          <xdr:cNvPr id="560" name="Pole_Driver_Chest_Green" hidden="1">
            <a:extLst>
              <a:ext uri="{FF2B5EF4-FFF2-40B4-BE49-F238E27FC236}">
                <a16:creationId xmlns:a16="http://schemas.microsoft.com/office/drawing/2014/main" id="{00000000-0008-0000-0100-000030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01400" y="2392325"/>
            <a:ext cx="3809524" cy="7339681"/>
          </a:xfrm>
          <a:prstGeom prst="rect">
            <a:avLst/>
          </a:prstGeom>
        </xdr:spPr>
      </xdr:pic>
      <xdr:pic>
        <xdr:nvPicPr>
          <xdr:cNvPr id="561" name="Pole_Driver_Chest_Yellow" hidden="1">
            <a:extLst>
              <a:ext uri="{FF2B5EF4-FFF2-40B4-BE49-F238E27FC236}">
                <a16:creationId xmlns:a16="http://schemas.microsoft.com/office/drawing/2014/main" id="{00000000-0008-0000-0100-00003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01400" y="2389150"/>
            <a:ext cx="3809524" cy="7352381"/>
          </a:xfrm>
          <a:prstGeom prst="rect">
            <a:avLst/>
          </a:prstGeom>
        </xdr:spPr>
      </xdr:pic>
      <xdr:pic>
        <xdr:nvPicPr>
          <xdr:cNvPr id="562" name="Pole_Driver_Chest_Orange" hidden="1">
            <a:extLst>
              <a:ext uri="{FF2B5EF4-FFF2-40B4-BE49-F238E27FC236}">
                <a16:creationId xmlns:a16="http://schemas.microsoft.com/office/drawing/2014/main" id="{00000000-0008-0000-0100-000032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01400" y="2389150"/>
            <a:ext cx="3809524" cy="7352381"/>
          </a:xfrm>
          <a:prstGeom prst="rect">
            <a:avLst/>
          </a:prstGeom>
        </xdr:spPr>
      </xdr:pic>
      <xdr:pic>
        <xdr:nvPicPr>
          <xdr:cNvPr id="563" name="Pole_Driver_Chest_Brown" hidden="1">
            <a:extLst>
              <a:ext uri="{FF2B5EF4-FFF2-40B4-BE49-F238E27FC236}">
                <a16:creationId xmlns:a16="http://schemas.microsoft.com/office/drawing/2014/main" id="{00000000-0008-0000-0100-000033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01400" y="2389150"/>
            <a:ext cx="3809524" cy="7352381"/>
          </a:xfrm>
          <a:prstGeom prst="rect">
            <a:avLst/>
          </a:prstGeom>
        </xdr:spPr>
      </xdr:pic>
      <xdr:pic>
        <xdr:nvPicPr>
          <xdr:cNvPr id="565" name="Pole_Driver_Head_Green" hidden="1">
            <a:extLst>
              <a:ext uri="{FF2B5EF4-FFF2-40B4-BE49-F238E27FC236}">
                <a16:creationId xmlns:a16="http://schemas.microsoft.com/office/drawing/2014/main" id="{00000000-0008-0000-0100-00003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01400" y="2389150"/>
            <a:ext cx="3809524" cy="7352381"/>
          </a:xfrm>
          <a:prstGeom prst="rect">
            <a:avLst/>
          </a:prstGeom>
        </xdr:spPr>
      </xdr:pic>
      <xdr:pic>
        <xdr:nvPicPr>
          <xdr:cNvPr id="566" name="Pole_Driver_Head_Yellow" hidden="1">
            <a:extLst>
              <a:ext uri="{FF2B5EF4-FFF2-40B4-BE49-F238E27FC236}">
                <a16:creationId xmlns:a16="http://schemas.microsoft.com/office/drawing/2014/main" id="{00000000-0008-0000-0100-00003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01400" y="2389150"/>
            <a:ext cx="3809524" cy="7352381"/>
          </a:xfrm>
          <a:prstGeom prst="rect">
            <a:avLst/>
          </a:prstGeom>
        </xdr:spPr>
      </xdr:pic>
      <xdr:pic>
        <xdr:nvPicPr>
          <xdr:cNvPr id="567" name="Pole_Driver_Head_Orange" hidden="1">
            <a:extLst>
              <a:ext uri="{FF2B5EF4-FFF2-40B4-BE49-F238E27FC236}">
                <a16:creationId xmlns:a16="http://schemas.microsoft.com/office/drawing/2014/main" id="{00000000-0008-0000-0100-000037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01400" y="2389150"/>
            <a:ext cx="3809524" cy="7352381"/>
          </a:xfrm>
          <a:prstGeom prst="rect">
            <a:avLst/>
          </a:prstGeom>
        </xdr:spPr>
      </xdr:pic>
      <xdr:pic>
        <xdr:nvPicPr>
          <xdr:cNvPr id="568" name="Pole_Driver_Head_Brown" hidden="1">
            <a:extLst>
              <a:ext uri="{FF2B5EF4-FFF2-40B4-BE49-F238E27FC236}">
                <a16:creationId xmlns:a16="http://schemas.microsoft.com/office/drawing/2014/main" id="{00000000-0008-0000-0100-000038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01400" y="2389150"/>
            <a:ext cx="3809524" cy="7352381"/>
          </a:xfrm>
          <a:prstGeom prst="rect">
            <a:avLst/>
          </a:prstGeom>
        </xdr:spPr>
      </xdr:pic>
      <xdr:pic>
        <xdr:nvPicPr>
          <xdr:cNvPr id="570" name="Pole_Driver_Pelvis_Green" hidden="1">
            <a:extLst>
              <a:ext uri="{FF2B5EF4-FFF2-40B4-BE49-F238E27FC236}">
                <a16:creationId xmlns:a16="http://schemas.microsoft.com/office/drawing/2014/main" id="{00000000-0008-0000-0100-00003A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77412" y="3304678"/>
            <a:ext cx="2857500" cy="5521325"/>
          </a:xfrm>
          <a:prstGeom prst="rect">
            <a:avLst/>
          </a:prstGeom>
        </xdr:spPr>
      </xdr:pic>
      <xdr:pic>
        <xdr:nvPicPr>
          <xdr:cNvPr id="571" name="Pole_Driver_Pelvis_Yellow" hidden="1">
            <a:extLst>
              <a:ext uri="{FF2B5EF4-FFF2-40B4-BE49-F238E27FC236}">
                <a16:creationId xmlns:a16="http://schemas.microsoft.com/office/drawing/2014/main" id="{00000000-0008-0000-0100-00003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77412" y="3307853"/>
            <a:ext cx="2857500" cy="5514975"/>
          </a:xfrm>
          <a:prstGeom prst="rect">
            <a:avLst/>
          </a:prstGeom>
        </xdr:spPr>
      </xdr:pic>
      <xdr:pic>
        <xdr:nvPicPr>
          <xdr:cNvPr id="572" name="Pole_Driver_Pelvis_Orange" hidden="1">
            <a:extLst>
              <a:ext uri="{FF2B5EF4-FFF2-40B4-BE49-F238E27FC236}">
                <a16:creationId xmlns:a16="http://schemas.microsoft.com/office/drawing/2014/main" id="{00000000-0008-0000-0100-00003C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77412" y="3307853"/>
            <a:ext cx="2857500" cy="5514975"/>
          </a:xfrm>
          <a:prstGeom prst="rect">
            <a:avLst/>
          </a:prstGeom>
        </xdr:spPr>
      </xdr:pic>
      <xdr:pic>
        <xdr:nvPicPr>
          <xdr:cNvPr id="573" name="Pole_Driver_Pelvis_Brown" hidden="1">
            <a:extLst>
              <a:ext uri="{FF2B5EF4-FFF2-40B4-BE49-F238E27FC236}">
                <a16:creationId xmlns:a16="http://schemas.microsoft.com/office/drawing/2014/main" id="{00000000-0008-0000-0100-00003D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77412" y="3307853"/>
            <a:ext cx="2857500" cy="5514975"/>
          </a:xfrm>
          <a:prstGeom prst="rect">
            <a:avLst/>
          </a:prstGeom>
        </xdr:spPr>
      </xdr:pic>
      <xdr:pic>
        <xdr:nvPicPr>
          <xdr:cNvPr id="569" name="Pole_Driver_Head_Red">
            <a:extLst>
              <a:ext uri="{FF2B5EF4-FFF2-40B4-BE49-F238E27FC236}">
                <a16:creationId xmlns:a16="http://schemas.microsoft.com/office/drawing/2014/main" id="{00000000-0008-0000-0100-000039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01400" y="2389150"/>
            <a:ext cx="3809524" cy="7352381"/>
          </a:xfrm>
          <a:prstGeom prst="rect">
            <a:avLst/>
          </a:prstGeom>
        </xdr:spPr>
      </xdr:pic>
      <xdr:pic>
        <xdr:nvPicPr>
          <xdr:cNvPr id="564" name="Pole_Driver_Chest_Red">
            <a:extLst>
              <a:ext uri="{FF2B5EF4-FFF2-40B4-BE49-F238E27FC236}">
                <a16:creationId xmlns:a16="http://schemas.microsoft.com/office/drawing/2014/main" id="{00000000-0008-0000-0100-000034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01400" y="2389150"/>
            <a:ext cx="3809524" cy="7352381"/>
          </a:xfrm>
          <a:prstGeom prst="rect">
            <a:avLst/>
          </a:prstGeom>
        </xdr:spPr>
      </xdr:pic>
      <xdr:pic>
        <xdr:nvPicPr>
          <xdr:cNvPr id="558" name="Pole_Driver_Abdomen_Red">
            <a:extLst>
              <a:ext uri="{FF2B5EF4-FFF2-40B4-BE49-F238E27FC236}">
                <a16:creationId xmlns:a16="http://schemas.microsoft.com/office/drawing/2014/main" id="{00000000-0008-0000-0100-00002E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01400" y="2389150"/>
            <a:ext cx="3809524" cy="7352381"/>
          </a:xfrm>
          <a:prstGeom prst="rect">
            <a:avLst/>
          </a:prstGeom>
        </xdr:spPr>
      </xdr:pic>
      <xdr:pic>
        <xdr:nvPicPr>
          <xdr:cNvPr id="574" name="Pole_Driver_Pelvis_Red">
            <a:extLst>
              <a:ext uri="{FF2B5EF4-FFF2-40B4-BE49-F238E27FC236}">
                <a16:creationId xmlns:a16="http://schemas.microsoft.com/office/drawing/2014/main" id="{00000000-0008-0000-0100-00003E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77412" y="3307853"/>
            <a:ext cx="2857500" cy="5514975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204611</xdr:colOff>
      <xdr:row>35</xdr:row>
      <xdr:rowOff>105833</xdr:rowOff>
    </xdr:from>
    <xdr:to>
      <xdr:col>10</xdr:col>
      <xdr:colOff>926899</xdr:colOff>
      <xdr:row>40</xdr:row>
      <xdr:rowOff>99444</xdr:rowOff>
    </xdr:to>
    <xdr:grpSp>
      <xdr:nvGrpSpPr>
        <xdr:cNvPr id="575" name="Farside_O2O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GrpSpPr>
          <a:grpSpLocks noChangeAspect="1"/>
        </xdr:cNvGrpSpPr>
      </xdr:nvGrpSpPr>
      <xdr:grpSpPr>
        <a:xfrm>
          <a:off x="8986661" y="10735733"/>
          <a:ext cx="1560488" cy="1422361"/>
          <a:chOff x="12636093" y="2401093"/>
          <a:chExt cx="5716800" cy="5086800"/>
        </a:xfrm>
      </xdr:grpSpPr>
      <xdr:pic>
        <xdr:nvPicPr>
          <xdr:cNvPr id="577" name="Side_Farside_O2O_Red" hidden="1">
            <a:extLst>
              <a:ext uri="{FF2B5EF4-FFF2-40B4-BE49-F238E27FC236}">
                <a16:creationId xmlns:a16="http://schemas.microsoft.com/office/drawing/2014/main" id="{00000000-0008-0000-0100-00004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36993" y="2401318"/>
            <a:ext cx="5715000" cy="5086350"/>
          </a:xfrm>
          <a:prstGeom prst="rect">
            <a:avLst/>
          </a:prstGeom>
        </xdr:spPr>
      </xdr:pic>
      <xdr:pic>
        <xdr:nvPicPr>
          <xdr:cNvPr id="576" name="Side_Farside_O2O_Green" hidden="1">
            <a:extLst>
              <a:ext uri="{FF2B5EF4-FFF2-40B4-BE49-F238E27FC236}">
                <a16:creationId xmlns:a16="http://schemas.microsoft.com/office/drawing/2014/main" id="{00000000-0008-0000-0100-000040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36993" y="2401318"/>
            <a:ext cx="5715000" cy="5086350"/>
          </a:xfrm>
          <a:prstGeom prst="rect">
            <a:avLst/>
          </a:prstGeom>
        </xdr:spPr>
      </xdr:pic>
      <xdr:sp macro="" textlink="">
        <xdr:nvSpPr>
          <xdr:cNvPr id="578" name="Side_Farside_O2O_None" hidden="1">
            <a:extLst>
              <a:ext uri="{FF2B5EF4-FFF2-40B4-BE49-F238E27FC236}">
                <a16:creationId xmlns:a16="http://schemas.microsoft.com/office/drawing/2014/main" id="{00000000-0008-0000-0100-000042020000}"/>
              </a:ext>
            </a:extLst>
          </xdr:cNvPr>
          <xdr:cNvSpPr/>
        </xdr:nvSpPr>
        <xdr:spPr bwMode="auto">
          <a:xfrm>
            <a:off x="12636093" y="2401093"/>
            <a:ext cx="5716800" cy="5086800"/>
          </a:xfrm>
          <a:prstGeom prst="rect">
            <a:avLst/>
          </a:prstGeom>
          <a:solidFill>
            <a:schemeClr val="bg1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</xdr:grpSp>
    <xdr:clientData/>
  </xdr:twoCellAnchor>
  <xdr:twoCellAnchor editAs="oneCell">
    <xdr:from>
      <xdr:col>3</xdr:col>
      <xdr:colOff>352780</xdr:colOff>
      <xdr:row>26</xdr:row>
      <xdr:rowOff>218719</xdr:rowOff>
    </xdr:from>
    <xdr:to>
      <xdr:col>6</xdr:col>
      <xdr:colOff>79163</xdr:colOff>
      <xdr:row>31</xdr:row>
      <xdr:rowOff>212331</xdr:rowOff>
    </xdr:to>
    <xdr:pic>
      <xdr:nvPicPr>
        <xdr:cNvPr id="8" name="MPDB_Car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8558" y="8417275"/>
          <a:ext cx="2684700" cy="1440000"/>
        </a:xfrm>
        <a:prstGeom prst="rect">
          <a:avLst/>
        </a:prstGeom>
      </xdr:spPr>
    </xdr:pic>
    <xdr:clientData/>
  </xdr:twoCellAnchor>
  <xdr:twoCellAnchor>
    <xdr:from>
      <xdr:col>6</xdr:col>
      <xdr:colOff>770176</xdr:colOff>
      <xdr:row>35</xdr:row>
      <xdr:rowOff>23114</xdr:rowOff>
    </xdr:from>
    <xdr:to>
      <xdr:col>12</xdr:col>
      <xdr:colOff>381000</xdr:colOff>
      <xdr:row>41</xdr:row>
      <xdr:rowOff>12591</xdr:rowOff>
    </xdr:to>
    <xdr:grpSp>
      <xdr:nvGrpSpPr>
        <xdr:cNvPr id="733" name="Farside">
          <a:extLst>
            <a:ext uri="{FF2B5EF4-FFF2-40B4-BE49-F238E27FC236}">
              <a16:creationId xmlns:a16="http://schemas.microsoft.com/office/drawing/2014/main" id="{00000000-0008-0000-0100-0000DD020000}"/>
            </a:ext>
          </a:extLst>
        </xdr:cNvPr>
        <xdr:cNvGrpSpPr/>
      </xdr:nvGrpSpPr>
      <xdr:grpSpPr>
        <a:xfrm>
          <a:off x="6475651" y="10653014"/>
          <a:ext cx="4449524" cy="1703977"/>
          <a:chOff x="4976165" y="2133687"/>
          <a:chExt cx="5023269" cy="1703977"/>
        </a:xfrm>
      </xdr:grpSpPr>
      <xdr:pic>
        <xdr:nvPicPr>
          <xdr:cNvPr id="734" name="Side_Farside_Brown" hidden="1">
            <a:extLst>
              <a:ext uri="{FF2B5EF4-FFF2-40B4-BE49-F238E27FC236}">
                <a16:creationId xmlns:a16="http://schemas.microsoft.com/office/drawing/2014/main" id="{00000000-0008-0000-0100-0000DE02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6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275" y="2143125"/>
            <a:ext cx="1612800" cy="1418400"/>
          </a:xfrm>
          <a:prstGeom prst="rect">
            <a:avLst/>
          </a:prstGeom>
        </xdr:spPr>
      </xdr:pic>
      <xdr:pic>
        <xdr:nvPicPr>
          <xdr:cNvPr id="735" name="Side_Farside_Red" hidden="1">
            <a:extLst>
              <a:ext uri="{FF2B5EF4-FFF2-40B4-BE49-F238E27FC236}">
                <a16:creationId xmlns:a16="http://schemas.microsoft.com/office/drawing/2014/main" id="{00000000-0008-0000-0100-0000DF02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6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275" y="2143125"/>
            <a:ext cx="1612800" cy="1418400"/>
          </a:xfrm>
          <a:prstGeom prst="rect">
            <a:avLst/>
          </a:prstGeom>
        </xdr:spPr>
      </xdr:pic>
      <xdr:pic>
        <xdr:nvPicPr>
          <xdr:cNvPr id="736" name="Side_Farside_Orange" hidden="1">
            <a:extLst>
              <a:ext uri="{FF2B5EF4-FFF2-40B4-BE49-F238E27FC236}">
                <a16:creationId xmlns:a16="http://schemas.microsoft.com/office/drawing/2014/main" id="{00000000-0008-0000-0100-0000E0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275" y="2135973"/>
            <a:ext cx="1612800" cy="1432704"/>
          </a:xfrm>
          <a:prstGeom prst="rect">
            <a:avLst/>
          </a:prstGeom>
        </xdr:spPr>
      </xdr:pic>
      <xdr:pic>
        <xdr:nvPicPr>
          <xdr:cNvPr id="737" name="Side_Farside_Green" hidden="1">
            <a:extLst>
              <a:ext uri="{FF2B5EF4-FFF2-40B4-BE49-F238E27FC236}">
                <a16:creationId xmlns:a16="http://schemas.microsoft.com/office/drawing/2014/main" id="{00000000-0008-0000-0100-0000E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275" y="2135973"/>
            <a:ext cx="1612800" cy="1432704"/>
          </a:xfrm>
          <a:prstGeom prst="rect">
            <a:avLst/>
          </a:prstGeom>
        </xdr:spPr>
      </xdr:pic>
      <xdr:pic>
        <xdr:nvPicPr>
          <xdr:cNvPr id="743" name="Side_Farside_Yellow" hidden="1">
            <a:extLst>
              <a:ext uri="{FF2B5EF4-FFF2-40B4-BE49-F238E27FC236}">
                <a16:creationId xmlns:a16="http://schemas.microsoft.com/office/drawing/2014/main" id="{00000000-0008-0000-0100-0000E7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35727" y="2152779"/>
            <a:ext cx="1612800" cy="1432704"/>
          </a:xfrm>
          <a:prstGeom prst="rect">
            <a:avLst/>
          </a:prstGeom>
        </xdr:spPr>
      </xdr:pic>
      <xdr:pic>
        <xdr:nvPicPr>
          <xdr:cNvPr id="744" name="Side_Farside_Green_Abdomen_Yellow" hidden="1">
            <a:extLst>
              <a:ext uri="{FF2B5EF4-FFF2-40B4-BE49-F238E27FC236}">
                <a16:creationId xmlns:a16="http://schemas.microsoft.com/office/drawing/2014/main" id="{00000000-0008-0000-0100-0000E8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76165" y="2133687"/>
            <a:ext cx="1610420" cy="1418227"/>
          </a:xfrm>
          <a:prstGeom prst="rect">
            <a:avLst/>
          </a:prstGeom>
        </xdr:spPr>
      </xdr:pic>
      <xdr:pic>
        <xdr:nvPicPr>
          <xdr:cNvPr id="745" name="Side_Farside_Green_Abdomen_Orange" hidden="1">
            <a:extLst>
              <a:ext uri="{FF2B5EF4-FFF2-40B4-BE49-F238E27FC236}">
                <a16:creationId xmlns:a16="http://schemas.microsoft.com/office/drawing/2014/main" id="{00000000-0008-0000-0100-0000E9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9465" y="2143212"/>
            <a:ext cx="1610420" cy="1418227"/>
          </a:xfrm>
          <a:prstGeom prst="rect">
            <a:avLst/>
          </a:prstGeom>
        </xdr:spPr>
      </xdr:pic>
      <xdr:pic>
        <xdr:nvPicPr>
          <xdr:cNvPr id="746" name="Side_Farside_Green_Abdomen_Brown" hidden="1">
            <a:extLst>
              <a:ext uri="{FF2B5EF4-FFF2-40B4-BE49-F238E27FC236}">
                <a16:creationId xmlns:a16="http://schemas.microsoft.com/office/drawing/2014/main" id="{00000000-0008-0000-0100-0000EA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9465" y="2143212"/>
            <a:ext cx="1610420" cy="1418227"/>
          </a:xfrm>
          <a:prstGeom prst="rect">
            <a:avLst/>
          </a:prstGeom>
        </xdr:spPr>
      </xdr:pic>
      <xdr:pic>
        <xdr:nvPicPr>
          <xdr:cNvPr id="747" name="Side_Farside_Green_Chest_Yellow" hidden="1">
            <a:extLst>
              <a:ext uri="{FF2B5EF4-FFF2-40B4-BE49-F238E27FC236}">
                <a16:creationId xmlns:a16="http://schemas.microsoft.com/office/drawing/2014/main" id="{00000000-0008-0000-0100-0000E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9465" y="2143212"/>
            <a:ext cx="1610420" cy="1418227"/>
          </a:xfrm>
          <a:prstGeom prst="rect">
            <a:avLst/>
          </a:prstGeom>
        </xdr:spPr>
      </xdr:pic>
      <xdr:pic>
        <xdr:nvPicPr>
          <xdr:cNvPr id="748" name="Side_Farside_Green_Chest_Orange" hidden="1">
            <a:extLst>
              <a:ext uri="{FF2B5EF4-FFF2-40B4-BE49-F238E27FC236}">
                <a16:creationId xmlns:a16="http://schemas.microsoft.com/office/drawing/2014/main" id="{00000000-0008-0000-0100-0000EC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9465" y="2143212"/>
            <a:ext cx="1610420" cy="1418227"/>
          </a:xfrm>
          <a:prstGeom prst="rect">
            <a:avLst/>
          </a:prstGeom>
        </xdr:spPr>
      </xdr:pic>
      <xdr:pic>
        <xdr:nvPicPr>
          <xdr:cNvPr id="749" name="Side_Farside_Green_Chest_Brown" hidden="1">
            <a:extLst>
              <a:ext uri="{FF2B5EF4-FFF2-40B4-BE49-F238E27FC236}">
                <a16:creationId xmlns:a16="http://schemas.microsoft.com/office/drawing/2014/main" id="{00000000-0008-0000-0100-0000ED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9465" y="2143212"/>
            <a:ext cx="1610420" cy="1418227"/>
          </a:xfrm>
          <a:prstGeom prst="rect">
            <a:avLst/>
          </a:prstGeom>
        </xdr:spPr>
      </xdr:pic>
      <xdr:pic>
        <xdr:nvPicPr>
          <xdr:cNvPr id="750" name="Side_Farside_Green_Head_Orange" hidden="1">
            <a:extLst>
              <a:ext uri="{FF2B5EF4-FFF2-40B4-BE49-F238E27FC236}">
                <a16:creationId xmlns:a16="http://schemas.microsoft.com/office/drawing/2014/main" id="{00000000-0008-0000-0100-0000EE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9465" y="2143212"/>
            <a:ext cx="1610420" cy="1418227"/>
          </a:xfrm>
          <a:prstGeom prst="rect">
            <a:avLst/>
          </a:prstGeom>
        </xdr:spPr>
      </xdr:pic>
      <xdr:pic>
        <xdr:nvPicPr>
          <xdr:cNvPr id="751" name="Side_Farside_Green_Head_Brown" hidden="1">
            <a:extLst>
              <a:ext uri="{FF2B5EF4-FFF2-40B4-BE49-F238E27FC236}">
                <a16:creationId xmlns:a16="http://schemas.microsoft.com/office/drawing/2014/main" id="{00000000-0008-0000-0100-0000EF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9465" y="2143212"/>
            <a:ext cx="1610420" cy="1418227"/>
          </a:xfrm>
          <a:prstGeom prst="rect">
            <a:avLst/>
          </a:prstGeom>
        </xdr:spPr>
      </xdr:pic>
      <xdr:pic>
        <xdr:nvPicPr>
          <xdr:cNvPr id="752" name="Side_Farside_Green_Neck_Yellow" hidden="1">
            <a:extLst>
              <a:ext uri="{FF2B5EF4-FFF2-40B4-BE49-F238E27FC236}">
                <a16:creationId xmlns:a16="http://schemas.microsoft.com/office/drawing/2014/main" id="{00000000-0008-0000-0100-0000F0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9465" y="2143212"/>
            <a:ext cx="1610420" cy="1418227"/>
          </a:xfrm>
          <a:prstGeom prst="rect">
            <a:avLst/>
          </a:prstGeom>
        </xdr:spPr>
      </xdr:pic>
      <xdr:pic>
        <xdr:nvPicPr>
          <xdr:cNvPr id="753" name="Side_Farside_Green_Neck_Brown" hidden="1">
            <a:extLst>
              <a:ext uri="{FF2B5EF4-FFF2-40B4-BE49-F238E27FC236}">
                <a16:creationId xmlns:a16="http://schemas.microsoft.com/office/drawing/2014/main" id="{00000000-0008-0000-0100-0000F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144" y="2143212"/>
            <a:ext cx="1613062" cy="1418227"/>
          </a:xfrm>
          <a:prstGeom prst="rect">
            <a:avLst/>
          </a:prstGeom>
        </xdr:spPr>
      </xdr:pic>
      <xdr:pic>
        <xdr:nvPicPr>
          <xdr:cNvPr id="754" name="Side_Farside_Green_Pelvis_Yellow" hidden="1">
            <a:extLst>
              <a:ext uri="{FF2B5EF4-FFF2-40B4-BE49-F238E27FC236}">
                <a16:creationId xmlns:a16="http://schemas.microsoft.com/office/drawing/2014/main" id="{00000000-0008-0000-0100-0000F2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144" y="2143212"/>
            <a:ext cx="1613063" cy="1418227"/>
          </a:xfrm>
          <a:prstGeom prst="rect">
            <a:avLst/>
          </a:prstGeom>
        </xdr:spPr>
      </xdr:pic>
      <xdr:pic>
        <xdr:nvPicPr>
          <xdr:cNvPr id="755" name="Side_Farside_Green_Pelvis_Orange" hidden="1">
            <a:extLst>
              <a:ext uri="{FF2B5EF4-FFF2-40B4-BE49-F238E27FC236}">
                <a16:creationId xmlns:a16="http://schemas.microsoft.com/office/drawing/2014/main" id="{00000000-0008-0000-0100-0000F3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9465" y="2143212"/>
            <a:ext cx="1610420" cy="1418227"/>
          </a:xfrm>
          <a:prstGeom prst="rect">
            <a:avLst/>
          </a:prstGeom>
        </xdr:spPr>
      </xdr:pic>
      <xdr:pic>
        <xdr:nvPicPr>
          <xdr:cNvPr id="756" name="Side_Farside_Green_Pelvis_Brown" hidden="1">
            <a:extLst>
              <a:ext uri="{FF2B5EF4-FFF2-40B4-BE49-F238E27FC236}">
                <a16:creationId xmlns:a16="http://schemas.microsoft.com/office/drawing/2014/main" id="{00000000-0008-0000-0100-0000F4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9465" y="2143212"/>
            <a:ext cx="1610420" cy="1418227"/>
          </a:xfrm>
          <a:prstGeom prst="rect">
            <a:avLst/>
          </a:prstGeom>
        </xdr:spPr>
      </xdr:pic>
      <xdr:pic>
        <xdr:nvPicPr>
          <xdr:cNvPr id="757" name="Side_Farside_Green_Neck_Orange" hidden="1">
            <a:extLst>
              <a:ext uri="{FF2B5EF4-FFF2-40B4-BE49-F238E27FC236}">
                <a16:creationId xmlns:a16="http://schemas.microsoft.com/office/drawing/2014/main" id="{00000000-0008-0000-0100-0000F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9465" y="2143212"/>
            <a:ext cx="1610420" cy="1418227"/>
          </a:xfrm>
          <a:prstGeom prst="rect">
            <a:avLst/>
          </a:prstGeom>
        </xdr:spPr>
      </xdr:pic>
      <xdr:pic>
        <xdr:nvPicPr>
          <xdr:cNvPr id="758" name="Side_Farside_Green_Pelvis_Red" hidden="1">
            <a:extLst>
              <a:ext uri="{FF2B5EF4-FFF2-40B4-BE49-F238E27FC236}">
                <a16:creationId xmlns:a16="http://schemas.microsoft.com/office/drawing/2014/main" id="{00000000-0008-0000-0100-0000F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144" y="2143212"/>
            <a:ext cx="1613062" cy="1418227"/>
          </a:xfrm>
          <a:prstGeom prst="rect">
            <a:avLst/>
          </a:prstGeom>
        </xdr:spPr>
      </xdr:pic>
      <xdr:pic>
        <xdr:nvPicPr>
          <xdr:cNvPr id="759" name="Side_Farside_Yellow_Abdomen_Yellow" hidden="1">
            <a:extLst>
              <a:ext uri="{FF2B5EF4-FFF2-40B4-BE49-F238E27FC236}">
                <a16:creationId xmlns:a16="http://schemas.microsoft.com/office/drawing/2014/main" id="{00000000-0008-0000-0100-0000F7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650" y="2143655"/>
            <a:ext cx="1612050" cy="1417340"/>
          </a:xfrm>
          <a:prstGeom prst="rect">
            <a:avLst/>
          </a:prstGeom>
        </xdr:spPr>
      </xdr:pic>
      <xdr:pic>
        <xdr:nvPicPr>
          <xdr:cNvPr id="760" name="Side_Farside_Yellow_Abdomen_Brown" hidden="1">
            <a:extLst>
              <a:ext uri="{FF2B5EF4-FFF2-40B4-BE49-F238E27FC236}">
                <a16:creationId xmlns:a16="http://schemas.microsoft.com/office/drawing/2014/main" id="{00000000-0008-0000-0100-0000F8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9970" y="2143655"/>
            <a:ext cx="1609410" cy="1417340"/>
          </a:xfrm>
          <a:prstGeom prst="rect">
            <a:avLst/>
          </a:prstGeom>
        </xdr:spPr>
      </xdr:pic>
      <xdr:pic>
        <xdr:nvPicPr>
          <xdr:cNvPr id="761" name="Side_Farside_Yellow_Chest_Yellow" hidden="1">
            <a:extLst>
              <a:ext uri="{FF2B5EF4-FFF2-40B4-BE49-F238E27FC236}">
                <a16:creationId xmlns:a16="http://schemas.microsoft.com/office/drawing/2014/main" id="{00000000-0008-0000-0100-0000F9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650" y="2143655"/>
            <a:ext cx="1612050" cy="1417340"/>
          </a:xfrm>
          <a:prstGeom prst="rect">
            <a:avLst/>
          </a:prstGeom>
        </xdr:spPr>
      </xdr:pic>
      <xdr:pic>
        <xdr:nvPicPr>
          <xdr:cNvPr id="762" name="Side_Farside_Yellow_Chest_Brown" hidden="1">
            <a:extLst>
              <a:ext uri="{FF2B5EF4-FFF2-40B4-BE49-F238E27FC236}">
                <a16:creationId xmlns:a16="http://schemas.microsoft.com/office/drawing/2014/main" id="{00000000-0008-0000-0100-0000FA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650" y="2143655"/>
            <a:ext cx="1612050" cy="1417340"/>
          </a:xfrm>
          <a:prstGeom prst="rect">
            <a:avLst/>
          </a:prstGeom>
        </xdr:spPr>
      </xdr:pic>
      <xdr:pic>
        <xdr:nvPicPr>
          <xdr:cNvPr id="763" name="Side_Farside_Yellow_Head_Yellow" hidden="1">
            <a:extLst>
              <a:ext uri="{FF2B5EF4-FFF2-40B4-BE49-F238E27FC236}">
                <a16:creationId xmlns:a16="http://schemas.microsoft.com/office/drawing/2014/main" id="{00000000-0008-0000-0100-0000F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650" y="2143655"/>
            <a:ext cx="1612050" cy="1417340"/>
          </a:xfrm>
          <a:prstGeom prst="rect">
            <a:avLst/>
          </a:prstGeom>
        </xdr:spPr>
      </xdr:pic>
      <xdr:pic>
        <xdr:nvPicPr>
          <xdr:cNvPr id="764" name="Side_Farside_Yellow_Head_Brown" hidden="1">
            <a:extLst>
              <a:ext uri="{FF2B5EF4-FFF2-40B4-BE49-F238E27FC236}">
                <a16:creationId xmlns:a16="http://schemas.microsoft.com/office/drawing/2014/main" id="{00000000-0008-0000-0100-0000FC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650" y="2143655"/>
            <a:ext cx="1612050" cy="1417340"/>
          </a:xfrm>
          <a:prstGeom prst="rect">
            <a:avLst/>
          </a:prstGeom>
        </xdr:spPr>
      </xdr:pic>
      <xdr:pic>
        <xdr:nvPicPr>
          <xdr:cNvPr id="765" name="Side_Farside_Yellow_Head_Red" hidden="1">
            <a:extLst>
              <a:ext uri="{FF2B5EF4-FFF2-40B4-BE49-F238E27FC236}">
                <a16:creationId xmlns:a16="http://schemas.microsoft.com/office/drawing/2014/main" id="{00000000-0008-0000-0100-0000FD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650" y="2143655"/>
            <a:ext cx="1612050" cy="1417340"/>
          </a:xfrm>
          <a:prstGeom prst="rect">
            <a:avLst/>
          </a:prstGeom>
        </xdr:spPr>
      </xdr:pic>
      <xdr:pic>
        <xdr:nvPicPr>
          <xdr:cNvPr id="766" name="Side_Farside_Yellow_Neck_Yellow" hidden="1">
            <a:extLst>
              <a:ext uri="{FF2B5EF4-FFF2-40B4-BE49-F238E27FC236}">
                <a16:creationId xmlns:a16="http://schemas.microsoft.com/office/drawing/2014/main" id="{00000000-0008-0000-0100-0000FE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650" y="2143655"/>
            <a:ext cx="1612050" cy="1417340"/>
          </a:xfrm>
          <a:prstGeom prst="rect">
            <a:avLst/>
          </a:prstGeom>
        </xdr:spPr>
      </xdr:pic>
      <xdr:pic>
        <xdr:nvPicPr>
          <xdr:cNvPr id="767" name="Side_Farside_Yellow_Pelvis_Yellow" hidden="1">
            <a:extLst>
              <a:ext uri="{FF2B5EF4-FFF2-40B4-BE49-F238E27FC236}">
                <a16:creationId xmlns:a16="http://schemas.microsoft.com/office/drawing/2014/main" id="{00000000-0008-0000-0100-0000FF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9970" y="2143655"/>
            <a:ext cx="1609410" cy="1417340"/>
          </a:xfrm>
          <a:prstGeom prst="rect">
            <a:avLst/>
          </a:prstGeom>
        </xdr:spPr>
      </xdr:pic>
      <xdr:pic>
        <xdr:nvPicPr>
          <xdr:cNvPr id="768" name="Side_Farside_Yellow_Pelvis_Orange" hidden="1">
            <a:extLst>
              <a:ext uri="{FF2B5EF4-FFF2-40B4-BE49-F238E27FC236}">
                <a16:creationId xmlns:a16="http://schemas.microsoft.com/office/drawing/2014/main" id="{00000000-0008-0000-0100-000000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650" y="2143655"/>
            <a:ext cx="1612051" cy="1417340"/>
          </a:xfrm>
          <a:prstGeom prst="rect">
            <a:avLst/>
          </a:prstGeom>
        </xdr:spPr>
      </xdr:pic>
      <xdr:pic>
        <xdr:nvPicPr>
          <xdr:cNvPr id="769" name="Side_Farside_Yellow_Pelvis_Brown" hidden="1">
            <a:extLst>
              <a:ext uri="{FF2B5EF4-FFF2-40B4-BE49-F238E27FC236}">
                <a16:creationId xmlns:a16="http://schemas.microsoft.com/office/drawing/2014/main" id="{00000000-0008-0000-0100-000001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650" y="2143655"/>
            <a:ext cx="1612050" cy="1417340"/>
          </a:xfrm>
          <a:prstGeom prst="rect">
            <a:avLst/>
          </a:prstGeom>
        </xdr:spPr>
      </xdr:pic>
      <xdr:pic>
        <xdr:nvPicPr>
          <xdr:cNvPr id="770" name="Side_Farside_Yellow_Pelvis_Red" hidden="1">
            <a:extLst>
              <a:ext uri="{FF2B5EF4-FFF2-40B4-BE49-F238E27FC236}">
                <a16:creationId xmlns:a16="http://schemas.microsoft.com/office/drawing/2014/main" id="{00000000-0008-0000-0100-000002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9971" y="2143655"/>
            <a:ext cx="1609409" cy="1417340"/>
          </a:xfrm>
          <a:prstGeom prst="rect">
            <a:avLst/>
          </a:prstGeom>
        </xdr:spPr>
      </xdr:pic>
      <xdr:pic>
        <xdr:nvPicPr>
          <xdr:cNvPr id="771" name="Side_Farside_Yellow_Chest_Red" hidden="1">
            <a:extLst>
              <a:ext uri="{FF2B5EF4-FFF2-40B4-BE49-F238E27FC236}">
                <a16:creationId xmlns:a16="http://schemas.microsoft.com/office/drawing/2014/main" id="{00000000-0008-0000-0100-000003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650" y="2143655"/>
            <a:ext cx="1612050" cy="1417340"/>
          </a:xfrm>
          <a:prstGeom prst="rect">
            <a:avLst/>
          </a:prstGeom>
        </xdr:spPr>
      </xdr:pic>
      <xdr:pic>
        <xdr:nvPicPr>
          <xdr:cNvPr id="772" name="Side_Farside_Yellow_Abdomen_Red" hidden="1">
            <a:extLst>
              <a:ext uri="{FF2B5EF4-FFF2-40B4-BE49-F238E27FC236}">
                <a16:creationId xmlns:a16="http://schemas.microsoft.com/office/drawing/2014/main" id="{00000000-0008-0000-0100-000004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650" y="2143655"/>
            <a:ext cx="1612050" cy="1417340"/>
          </a:xfrm>
          <a:prstGeom prst="rect">
            <a:avLst/>
          </a:prstGeom>
        </xdr:spPr>
      </xdr:pic>
      <xdr:pic>
        <xdr:nvPicPr>
          <xdr:cNvPr id="773" name="Side_Farside_Yellow_Neck_Brown" hidden="1">
            <a:extLst>
              <a:ext uri="{FF2B5EF4-FFF2-40B4-BE49-F238E27FC236}">
                <a16:creationId xmlns:a16="http://schemas.microsoft.com/office/drawing/2014/main" id="{00000000-0008-0000-0100-000005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9971" y="2143655"/>
            <a:ext cx="1609409" cy="1417340"/>
          </a:xfrm>
          <a:prstGeom prst="rect">
            <a:avLst/>
          </a:prstGeom>
        </xdr:spPr>
      </xdr:pic>
      <xdr:pic>
        <xdr:nvPicPr>
          <xdr:cNvPr id="774" name="Side_Farside_Yellow_Neck_Red" hidden="1">
            <a:extLst>
              <a:ext uri="{FF2B5EF4-FFF2-40B4-BE49-F238E27FC236}">
                <a16:creationId xmlns:a16="http://schemas.microsoft.com/office/drawing/2014/main" id="{00000000-0008-0000-0100-000006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650" y="2143655"/>
            <a:ext cx="1612050" cy="1417340"/>
          </a:xfrm>
          <a:prstGeom prst="rect">
            <a:avLst/>
          </a:prstGeom>
        </xdr:spPr>
      </xdr:pic>
      <xdr:pic>
        <xdr:nvPicPr>
          <xdr:cNvPr id="775" name="Side_Farside_Green_Head_Yellow" hidden="1">
            <a:extLst>
              <a:ext uri="{FF2B5EF4-FFF2-40B4-BE49-F238E27FC236}">
                <a16:creationId xmlns:a16="http://schemas.microsoft.com/office/drawing/2014/main" id="{00000000-0008-0000-0100-000007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144" y="2143212"/>
            <a:ext cx="1613063" cy="1418227"/>
          </a:xfrm>
          <a:prstGeom prst="rect">
            <a:avLst/>
          </a:prstGeom>
        </xdr:spPr>
      </xdr:pic>
      <xdr:pic>
        <xdr:nvPicPr>
          <xdr:cNvPr id="776" name="Side_Farside_Green_Head_Green" hidden="1">
            <a:extLst>
              <a:ext uri="{FF2B5EF4-FFF2-40B4-BE49-F238E27FC236}">
                <a16:creationId xmlns:a16="http://schemas.microsoft.com/office/drawing/2014/main" id="{00000000-0008-0000-0100-000008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50364" y="2143212"/>
            <a:ext cx="1608622" cy="1418227"/>
          </a:xfrm>
          <a:prstGeom prst="rect">
            <a:avLst/>
          </a:prstGeom>
        </xdr:spPr>
      </xdr:pic>
      <xdr:pic>
        <xdr:nvPicPr>
          <xdr:cNvPr id="777" name="Side_Farside_Green_Neck_Green" hidden="1">
            <a:extLst>
              <a:ext uri="{FF2B5EF4-FFF2-40B4-BE49-F238E27FC236}">
                <a16:creationId xmlns:a16="http://schemas.microsoft.com/office/drawing/2014/main" id="{00000000-0008-0000-0100-000009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144" y="2143212"/>
            <a:ext cx="1613063" cy="1418227"/>
          </a:xfrm>
          <a:prstGeom prst="rect">
            <a:avLst/>
          </a:prstGeom>
        </xdr:spPr>
      </xdr:pic>
      <xdr:pic>
        <xdr:nvPicPr>
          <xdr:cNvPr id="778" name="Side_Farside_Green_Chest_Green" hidden="1">
            <a:extLst>
              <a:ext uri="{FF2B5EF4-FFF2-40B4-BE49-F238E27FC236}">
                <a16:creationId xmlns:a16="http://schemas.microsoft.com/office/drawing/2014/main" id="{00000000-0008-0000-0100-00000A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144" y="2143212"/>
            <a:ext cx="1613063" cy="1418227"/>
          </a:xfrm>
          <a:prstGeom prst="rect">
            <a:avLst/>
          </a:prstGeom>
        </xdr:spPr>
      </xdr:pic>
      <xdr:pic>
        <xdr:nvPicPr>
          <xdr:cNvPr id="779" name="Side_Farside_Green_Abdomen_Green" hidden="1">
            <a:extLst>
              <a:ext uri="{FF2B5EF4-FFF2-40B4-BE49-F238E27FC236}">
                <a16:creationId xmlns:a16="http://schemas.microsoft.com/office/drawing/2014/main" id="{00000000-0008-0000-0100-00000B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9465" y="2143212"/>
            <a:ext cx="1610420" cy="1418227"/>
          </a:xfrm>
          <a:prstGeom prst="rect">
            <a:avLst/>
          </a:prstGeom>
        </xdr:spPr>
      </xdr:pic>
      <xdr:pic>
        <xdr:nvPicPr>
          <xdr:cNvPr id="780" name="Side_Farside_Yellow_Head_Orange" hidden="1">
            <a:extLst>
              <a:ext uri="{FF2B5EF4-FFF2-40B4-BE49-F238E27FC236}">
                <a16:creationId xmlns:a16="http://schemas.microsoft.com/office/drawing/2014/main" id="{00000000-0008-0000-0100-00000C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9970" y="2143655"/>
            <a:ext cx="1609410" cy="1417340"/>
          </a:xfrm>
          <a:prstGeom prst="rect">
            <a:avLst/>
          </a:prstGeom>
        </xdr:spPr>
      </xdr:pic>
      <xdr:pic>
        <xdr:nvPicPr>
          <xdr:cNvPr id="781" name="Side_Farside_Yellow_Neck_Orange" hidden="1">
            <a:extLst>
              <a:ext uri="{FF2B5EF4-FFF2-40B4-BE49-F238E27FC236}">
                <a16:creationId xmlns:a16="http://schemas.microsoft.com/office/drawing/2014/main" id="{00000000-0008-0000-0100-00000D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9970" y="2143655"/>
            <a:ext cx="1609410" cy="1417340"/>
          </a:xfrm>
          <a:prstGeom prst="rect">
            <a:avLst/>
          </a:prstGeom>
        </xdr:spPr>
      </xdr:pic>
      <xdr:pic>
        <xdr:nvPicPr>
          <xdr:cNvPr id="782" name="Side_Farside_Yellow_Chest_Orange" hidden="1">
            <a:extLst>
              <a:ext uri="{FF2B5EF4-FFF2-40B4-BE49-F238E27FC236}">
                <a16:creationId xmlns:a16="http://schemas.microsoft.com/office/drawing/2014/main" id="{00000000-0008-0000-0100-00000E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9970" y="2143655"/>
            <a:ext cx="1609410" cy="1417340"/>
          </a:xfrm>
          <a:prstGeom prst="rect">
            <a:avLst/>
          </a:prstGeom>
        </xdr:spPr>
      </xdr:pic>
      <xdr:pic>
        <xdr:nvPicPr>
          <xdr:cNvPr id="783" name="Side_Farside_Yellow_Abdomen_Orange" hidden="1">
            <a:extLst>
              <a:ext uri="{FF2B5EF4-FFF2-40B4-BE49-F238E27FC236}">
                <a16:creationId xmlns:a16="http://schemas.microsoft.com/office/drawing/2014/main" id="{00000000-0008-0000-0100-00000F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650" y="2143655"/>
            <a:ext cx="1612050" cy="1417340"/>
          </a:xfrm>
          <a:prstGeom prst="rect">
            <a:avLst/>
          </a:prstGeom>
        </xdr:spPr>
      </xdr:pic>
      <xdr:pic>
        <xdr:nvPicPr>
          <xdr:cNvPr id="784" name="Side_Farside_Yellow_Head_Green" hidden="1">
            <a:extLst>
              <a:ext uri="{FF2B5EF4-FFF2-40B4-BE49-F238E27FC236}">
                <a16:creationId xmlns:a16="http://schemas.microsoft.com/office/drawing/2014/main" id="{00000000-0008-0000-0100-000010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650" y="2143655"/>
            <a:ext cx="1612050" cy="1417340"/>
          </a:xfrm>
          <a:prstGeom prst="rect">
            <a:avLst/>
          </a:prstGeom>
        </xdr:spPr>
      </xdr:pic>
      <xdr:pic>
        <xdr:nvPicPr>
          <xdr:cNvPr id="785" name="Side_Farside_Yellow_Neck_Green" hidden="1">
            <a:extLst>
              <a:ext uri="{FF2B5EF4-FFF2-40B4-BE49-F238E27FC236}">
                <a16:creationId xmlns:a16="http://schemas.microsoft.com/office/drawing/2014/main" id="{00000000-0008-0000-0100-000011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650" y="2143655"/>
            <a:ext cx="1612050" cy="1417340"/>
          </a:xfrm>
          <a:prstGeom prst="rect">
            <a:avLst/>
          </a:prstGeom>
        </xdr:spPr>
      </xdr:pic>
      <xdr:pic>
        <xdr:nvPicPr>
          <xdr:cNvPr id="786" name="Side_Farside_Yellow_Chest_Green" hidden="1">
            <a:extLst>
              <a:ext uri="{FF2B5EF4-FFF2-40B4-BE49-F238E27FC236}">
                <a16:creationId xmlns:a16="http://schemas.microsoft.com/office/drawing/2014/main" id="{00000000-0008-0000-0100-000012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650" y="2143655"/>
            <a:ext cx="1612050" cy="1417340"/>
          </a:xfrm>
          <a:prstGeom prst="rect">
            <a:avLst/>
          </a:prstGeom>
        </xdr:spPr>
      </xdr:pic>
      <xdr:pic>
        <xdr:nvPicPr>
          <xdr:cNvPr id="787" name="Side_Farside_Yellow_Abdomen_Green" hidden="1">
            <a:extLst>
              <a:ext uri="{FF2B5EF4-FFF2-40B4-BE49-F238E27FC236}">
                <a16:creationId xmlns:a16="http://schemas.microsoft.com/office/drawing/2014/main" id="{00000000-0008-0000-0100-000013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650" y="2143655"/>
            <a:ext cx="1612050" cy="1417340"/>
          </a:xfrm>
          <a:prstGeom prst="rect">
            <a:avLst/>
          </a:prstGeom>
        </xdr:spPr>
      </xdr:pic>
      <xdr:pic>
        <xdr:nvPicPr>
          <xdr:cNvPr id="788" name="Side_Farside_Yellow_Pelvis_Green" hidden="1">
            <a:extLst>
              <a:ext uri="{FF2B5EF4-FFF2-40B4-BE49-F238E27FC236}">
                <a16:creationId xmlns:a16="http://schemas.microsoft.com/office/drawing/2014/main" id="{00000000-0008-0000-0100-000014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650" y="2143655"/>
            <a:ext cx="1612050" cy="1417340"/>
          </a:xfrm>
          <a:prstGeom prst="rect">
            <a:avLst/>
          </a:prstGeom>
        </xdr:spPr>
      </xdr:pic>
      <xdr:pic>
        <xdr:nvPicPr>
          <xdr:cNvPr id="789" name="Side_Farside_Orange_Abdomen_Green" hidden="1">
            <a:extLst>
              <a:ext uri="{FF2B5EF4-FFF2-40B4-BE49-F238E27FC236}">
                <a16:creationId xmlns:a16="http://schemas.microsoft.com/office/drawing/2014/main" id="{00000000-0008-0000-0100-000015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525" y="2143212"/>
            <a:ext cx="1614300" cy="1418227"/>
          </a:xfrm>
          <a:prstGeom prst="rect">
            <a:avLst/>
          </a:prstGeom>
        </xdr:spPr>
      </xdr:pic>
      <xdr:pic>
        <xdr:nvPicPr>
          <xdr:cNvPr id="790" name="Side_Farside_Orange_Abdomen_Orange" hidden="1">
            <a:extLst>
              <a:ext uri="{FF2B5EF4-FFF2-40B4-BE49-F238E27FC236}">
                <a16:creationId xmlns:a16="http://schemas.microsoft.com/office/drawing/2014/main" id="{00000000-0008-0000-0100-000016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525" y="2143212"/>
            <a:ext cx="1614300" cy="1418227"/>
          </a:xfrm>
          <a:prstGeom prst="rect">
            <a:avLst/>
          </a:prstGeom>
        </xdr:spPr>
      </xdr:pic>
      <xdr:pic>
        <xdr:nvPicPr>
          <xdr:cNvPr id="791" name="Side_Farside_Orange_Abdomen_Brown" hidden="1">
            <a:extLst>
              <a:ext uri="{FF2B5EF4-FFF2-40B4-BE49-F238E27FC236}">
                <a16:creationId xmlns:a16="http://schemas.microsoft.com/office/drawing/2014/main" id="{00000000-0008-0000-0100-000017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750" y="2143212"/>
            <a:ext cx="1613850" cy="1418227"/>
          </a:xfrm>
          <a:prstGeom prst="rect">
            <a:avLst/>
          </a:prstGeom>
        </xdr:spPr>
      </xdr:pic>
      <xdr:pic>
        <xdr:nvPicPr>
          <xdr:cNvPr id="792" name="Side_Farside_Orange_Chest_Green" hidden="1">
            <a:extLst>
              <a:ext uri="{FF2B5EF4-FFF2-40B4-BE49-F238E27FC236}">
                <a16:creationId xmlns:a16="http://schemas.microsoft.com/office/drawing/2014/main" id="{00000000-0008-0000-0100-000018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525" y="2143212"/>
            <a:ext cx="1614300" cy="1418227"/>
          </a:xfrm>
          <a:prstGeom prst="rect">
            <a:avLst/>
          </a:prstGeom>
        </xdr:spPr>
      </xdr:pic>
      <xdr:pic>
        <xdr:nvPicPr>
          <xdr:cNvPr id="793" name="Side_Farside_Orange_Chest_Orange" hidden="1">
            <a:extLst>
              <a:ext uri="{FF2B5EF4-FFF2-40B4-BE49-F238E27FC236}">
                <a16:creationId xmlns:a16="http://schemas.microsoft.com/office/drawing/2014/main" id="{00000000-0008-0000-0100-000019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750" y="2143212"/>
            <a:ext cx="1613850" cy="1418227"/>
          </a:xfrm>
          <a:prstGeom prst="rect">
            <a:avLst/>
          </a:prstGeom>
        </xdr:spPr>
      </xdr:pic>
      <xdr:pic>
        <xdr:nvPicPr>
          <xdr:cNvPr id="794" name="Side_Farside_Orange_Chest_Brown" hidden="1">
            <a:extLst>
              <a:ext uri="{FF2B5EF4-FFF2-40B4-BE49-F238E27FC236}">
                <a16:creationId xmlns:a16="http://schemas.microsoft.com/office/drawing/2014/main" id="{00000000-0008-0000-0100-00001A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525" y="2143212"/>
            <a:ext cx="1614300" cy="1418227"/>
          </a:xfrm>
          <a:prstGeom prst="rect">
            <a:avLst/>
          </a:prstGeom>
        </xdr:spPr>
      </xdr:pic>
      <xdr:pic>
        <xdr:nvPicPr>
          <xdr:cNvPr id="795" name="Side_Farside_Orange_Head_Green" hidden="1">
            <a:extLst>
              <a:ext uri="{FF2B5EF4-FFF2-40B4-BE49-F238E27FC236}">
                <a16:creationId xmlns:a16="http://schemas.microsoft.com/office/drawing/2014/main" id="{00000000-0008-0000-0100-00001B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750" y="2143212"/>
            <a:ext cx="1613850" cy="1418227"/>
          </a:xfrm>
          <a:prstGeom prst="rect">
            <a:avLst/>
          </a:prstGeom>
        </xdr:spPr>
      </xdr:pic>
      <xdr:pic>
        <xdr:nvPicPr>
          <xdr:cNvPr id="796" name="Side_Farside_Orange_Head_Orange" hidden="1">
            <a:extLst>
              <a:ext uri="{FF2B5EF4-FFF2-40B4-BE49-F238E27FC236}">
                <a16:creationId xmlns:a16="http://schemas.microsoft.com/office/drawing/2014/main" id="{00000000-0008-0000-0100-00001C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525" y="2143212"/>
            <a:ext cx="1614300" cy="1418227"/>
          </a:xfrm>
          <a:prstGeom prst="rect">
            <a:avLst/>
          </a:prstGeom>
        </xdr:spPr>
      </xdr:pic>
      <xdr:pic>
        <xdr:nvPicPr>
          <xdr:cNvPr id="797" name="Side_Farside_Orange_Head_Brown" hidden="1">
            <a:extLst>
              <a:ext uri="{FF2B5EF4-FFF2-40B4-BE49-F238E27FC236}">
                <a16:creationId xmlns:a16="http://schemas.microsoft.com/office/drawing/2014/main" id="{00000000-0008-0000-0100-00001D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525" y="2143212"/>
            <a:ext cx="1614300" cy="1418227"/>
          </a:xfrm>
          <a:prstGeom prst="rect">
            <a:avLst/>
          </a:prstGeom>
        </xdr:spPr>
      </xdr:pic>
      <xdr:pic>
        <xdr:nvPicPr>
          <xdr:cNvPr id="798" name="Side_Farside_Orange_Neck_Green" hidden="1">
            <a:extLst>
              <a:ext uri="{FF2B5EF4-FFF2-40B4-BE49-F238E27FC236}">
                <a16:creationId xmlns:a16="http://schemas.microsoft.com/office/drawing/2014/main" id="{00000000-0008-0000-0100-00001E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750" y="2143212"/>
            <a:ext cx="1613850" cy="1418227"/>
          </a:xfrm>
          <a:prstGeom prst="rect">
            <a:avLst/>
          </a:prstGeom>
        </xdr:spPr>
      </xdr:pic>
      <xdr:pic>
        <xdr:nvPicPr>
          <xdr:cNvPr id="799" name="Side_Farside_Orange_Neck_Orange" hidden="1">
            <a:extLst>
              <a:ext uri="{FF2B5EF4-FFF2-40B4-BE49-F238E27FC236}">
                <a16:creationId xmlns:a16="http://schemas.microsoft.com/office/drawing/2014/main" id="{00000000-0008-0000-0100-00001F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525" y="2143212"/>
            <a:ext cx="1614300" cy="1418227"/>
          </a:xfrm>
          <a:prstGeom prst="rect">
            <a:avLst/>
          </a:prstGeom>
        </xdr:spPr>
      </xdr:pic>
      <xdr:pic>
        <xdr:nvPicPr>
          <xdr:cNvPr id="800" name="Side_Farside_Orange_Neck_Brown" hidden="1">
            <a:extLst>
              <a:ext uri="{FF2B5EF4-FFF2-40B4-BE49-F238E27FC236}">
                <a16:creationId xmlns:a16="http://schemas.microsoft.com/office/drawing/2014/main" id="{00000000-0008-0000-0100-000020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750" y="2143212"/>
            <a:ext cx="1613850" cy="1418227"/>
          </a:xfrm>
          <a:prstGeom prst="rect">
            <a:avLst/>
          </a:prstGeom>
        </xdr:spPr>
      </xdr:pic>
      <xdr:pic>
        <xdr:nvPicPr>
          <xdr:cNvPr id="801" name="Side_Farside_Orange_Pelvis_Yellow" hidden="1">
            <a:extLst>
              <a:ext uri="{FF2B5EF4-FFF2-40B4-BE49-F238E27FC236}">
                <a16:creationId xmlns:a16="http://schemas.microsoft.com/office/drawing/2014/main" id="{00000000-0008-0000-0100-000021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525" y="2143212"/>
            <a:ext cx="1614300" cy="1418227"/>
          </a:xfrm>
          <a:prstGeom prst="rect">
            <a:avLst/>
          </a:prstGeom>
        </xdr:spPr>
      </xdr:pic>
      <xdr:pic>
        <xdr:nvPicPr>
          <xdr:cNvPr id="802" name="Side_Farside_Orange_Pelvis_Orange" hidden="1">
            <a:extLst>
              <a:ext uri="{FF2B5EF4-FFF2-40B4-BE49-F238E27FC236}">
                <a16:creationId xmlns:a16="http://schemas.microsoft.com/office/drawing/2014/main" id="{00000000-0008-0000-0100-000022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525" y="2143212"/>
            <a:ext cx="1614300" cy="1418227"/>
          </a:xfrm>
          <a:prstGeom prst="rect">
            <a:avLst/>
          </a:prstGeom>
        </xdr:spPr>
      </xdr:pic>
      <xdr:pic>
        <xdr:nvPicPr>
          <xdr:cNvPr id="803" name="Side_Farside_Orange_Pelvis_Brown" hidden="1">
            <a:extLst>
              <a:ext uri="{FF2B5EF4-FFF2-40B4-BE49-F238E27FC236}">
                <a16:creationId xmlns:a16="http://schemas.microsoft.com/office/drawing/2014/main" id="{00000000-0008-0000-0100-000023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750" y="2143212"/>
            <a:ext cx="1613850" cy="1418227"/>
          </a:xfrm>
          <a:prstGeom prst="rect">
            <a:avLst/>
          </a:prstGeom>
        </xdr:spPr>
      </xdr:pic>
      <xdr:pic>
        <xdr:nvPicPr>
          <xdr:cNvPr id="804" name="Side_Farside_Orange_Pelvis_Red" hidden="1">
            <a:extLst>
              <a:ext uri="{FF2B5EF4-FFF2-40B4-BE49-F238E27FC236}">
                <a16:creationId xmlns:a16="http://schemas.microsoft.com/office/drawing/2014/main" id="{00000000-0008-0000-0100-000024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525" y="2143212"/>
            <a:ext cx="1614300" cy="1418227"/>
          </a:xfrm>
          <a:prstGeom prst="rect">
            <a:avLst/>
          </a:prstGeom>
        </xdr:spPr>
      </xdr:pic>
      <xdr:pic>
        <xdr:nvPicPr>
          <xdr:cNvPr id="805" name="Side_Farside_Red_Abdomen_Green" hidden="1">
            <a:extLst>
              <a:ext uri="{FF2B5EF4-FFF2-40B4-BE49-F238E27FC236}">
                <a16:creationId xmlns:a16="http://schemas.microsoft.com/office/drawing/2014/main" id="{00000000-0008-0000-0100-000025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814" y="2143212"/>
            <a:ext cx="1613722" cy="1418227"/>
          </a:xfrm>
          <a:prstGeom prst="rect">
            <a:avLst/>
          </a:prstGeom>
        </xdr:spPr>
      </xdr:pic>
      <xdr:pic>
        <xdr:nvPicPr>
          <xdr:cNvPr id="806" name="Side_Farside_Red_Abdomen_Yellow" hidden="1">
            <a:extLst>
              <a:ext uri="{FF2B5EF4-FFF2-40B4-BE49-F238E27FC236}">
                <a16:creationId xmlns:a16="http://schemas.microsoft.com/office/drawing/2014/main" id="{00000000-0008-0000-0100-000026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814" y="2143212"/>
            <a:ext cx="1613722" cy="1418227"/>
          </a:xfrm>
          <a:prstGeom prst="rect">
            <a:avLst/>
          </a:prstGeom>
        </xdr:spPr>
      </xdr:pic>
      <xdr:pic>
        <xdr:nvPicPr>
          <xdr:cNvPr id="807" name="Side_Farside_Red_Abdomen_Orange" hidden="1">
            <a:extLst>
              <a:ext uri="{FF2B5EF4-FFF2-40B4-BE49-F238E27FC236}">
                <a16:creationId xmlns:a16="http://schemas.microsoft.com/office/drawing/2014/main" id="{00000000-0008-0000-0100-000027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814" y="2143212"/>
            <a:ext cx="1613722" cy="1418227"/>
          </a:xfrm>
          <a:prstGeom prst="rect">
            <a:avLst/>
          </a:prstGeom>
        </xdr:spPr>
      </xdr:pic>
      <xdr:pic>
        <xdr:nvPicPr>
          <xdr:cNvPr id="808" name="Side_Farside_Red_Abdomen_Brown" hidden="1">
            <a:extLst>
              <a:ext uri="{FF2B5EF4-FFF2-40B4-BE49-F238E27FC236}">
                <a16:creationId xmlns:a16="http://schemas.microsoft.com/office/drawing/2014/main" id="{00000000-0008-0000-0100-000028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071" y="2143212"/>
            <a:ext cx="1613208" cy="1418227"/>
          </a:xfrm>
          <a:prstGeom prst="rect">
            <a:avLst/>
          </a:prstGeom>
        </xdr:spPr>
      </xdr:pic>
      <xdr:pic>
        <xdr:nvPicPr>
          <xdr:cNvPr id="809" name="Side_Farside_Red_Chest_Green" hidden="1">
            <a:extLst>
              <a:ext uri="{FF2B5EF4-FFF2-40B4-BE49-F238E27FC236}">
                <a16:creationId xmlns:a16="http://schemas.microsoft.com/office/drawing/2014/main" id="{00000000-0008-0000-0100-000029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814" y="2143212"/>
            <a:ext cx="1613722" cy="1418227"/>
          </a:xfrm>
          <a:prstGeom prst="rect">
            <a:avLst/>
          </a:prstGeom>
        </xdr:spPr>
      </xdr:pic>
      <xdr:pic>
        <xdr:nvPicPr>
          <xdr:cNvPr id="810" name="Side_Farside_Red_Chest_Yellow" hidden="1">
            <a:extLst>
              <a:ext uri="{FF2B5EF4-FFF2-40B4-BE49-F238E27FC236}">
                <a16:creationId xmlns:a16="http://schemas.microsoft.com/office/drawing/2014/main" id="{00000000-0008-0000-0100-00002A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071" y="2143212"/>
            <a:ext cx="1613208" cy="1418227"/>
          </a:xfrm>
          <a:prstGeom prst="rect">
            <a:avLst/>
          </a:prstGeom>
        </xdr:spPr>
      </xdr:pic>
      <xdr:pic>
        <xdr:nvPicPr>
          <xdr:cNvPr id="811" name="Side_Farside_Red_Chest_Orange" hidden="1">
            <a:extLst>
              <a:ext uri="{FF2B5EF4-FFF2-40B4-BE49-F238E27FC236}">
                <a16:creationId xmlns:a16="http://schemas.microsoft.com/office/drawing/2014/main" id="{00000000-0008-0000-0100-00002B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072" y="2152737"/>
            <a:ext cx="1613208" cy="1418227"/>
          </a:xfrm>
          <a:prstGeom prst="rect">
            <a:avLst/>
          </a:prstGeom>
        </xdr:spPr>
      </xdr:pic>
      <xdr:pic>
        <xdr:nvPicPr>
          <xdr:cNvPr id="812" name="Side_Farside_Red_Chest_Brown" hidden="1">
            <a:extLst>
              <a:ext uri="{FF2B5EF4-FFF2-40B4-BE49-F238E27FC236}">
                <a16:creationId xmlns:a16="http://schemas.microsoft.com/office/drawing/2014/main" id="{00000000-0008-0000-0100-00002C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814" y="2143212"/>
            <a:ext cx="1613722" cy="1418227"/>
          </a:xfrm>
          <a:prstGeom prst="rect">
            <a:avLst/>
          </a:prstGeom>
        </xdr:spPr>
      </xdr:pic>
      <xdr:pic>
        <xdr:nvPicPr>
          <xdr:cNvPr id="813" name="Side_Farside_Red_Head_Green" hidden="1">
            <a:extLst>
              <a:ext uri="{FF2B5EF4-FFF2-40B4-BE49-F238E27FC236}">
                <a16:creationId xmlns:a16="http://schemas.microsoft.com/office/drawing/2014/main" id="{00000000-0008-0000-0100-00002D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071" y="2143212"/>
            <a:ext cx="1613208" cy="1418227"/>
          </a:xfrm>
          <a:prstGeom prst="rect">
            <a:avLst/>
          </a:prstGeom>
        </xdr:spPr>
      </xdr:pic>
      <xdr:pic>
        <xdr:nvPicPr>
          <xdr:cNvPr id="814" name="Side_Farside_Red_Head_Yellow" hidden="1">
            <a:extLst>
              <a:ext uri="{FF2B5EF4-FFF2-40B4-BE49-F238E27FC236}">
                <a16:creationId xmlns:a16="http://schemas.microsoft.com/office/drawing/2014/main" id="{00000000-0008-0000-0100-00002E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071" y="2143212"/>
            <a:ext cx="1613208" cy="1418227"/>
          </a:xfrm>
          <a:prstGeom prst="rect">
            <a:avLst/>
          </a:prstGeom>
        </xdr:spPr>
      </xdr:pic>
      <xdr:pic>
        <xdr:nvPicPr>
          <xdr:cNvPr id="815" name="Side_Farside_Red_Head_Brown" hidden="1">
            <a:extLst>
              <a:ext uri="{FF2B5EF4-FFF2-40B4-BE49-F238E27FC236}">
                <a16:creationId xmlns:a16="http://schemas.microsoft.com/office/drawing/2014/main" id="{00000000-0008-0000-0100-00002F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814" y="2143212"/>
            <a:ext cx="1613722" cy="1418227"/>
          </a:xfrm>
          <a:prstGeom prst="rect">
            <a:avLst/>
          </a:prstGeom>
        </xdr:spPr>
      </xdr:pic>
      <xdr:pic>
        <xdr:nvPicPr>
          <xdr:cNvPr id="816" name="Side_Farside_Red_Head_Red" hidden="1">
            <a:extLst>
              <a:ext uri="{FF2B5EF4-FFF2-40B4-BE49-F238E27FC236}">
                <a16:creationId xmlns:a16="http://schemas.microsoft.com/office/drawing/2014/main" id="{00000000-0008-0000-0100-000030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072" y="2143212"/>
            <a:ext cx="1613208" cy="1418227"/>
          </a:xfrm>
          <a:prstGeom prst="rect">
            <a:avLst/>
          </a:prstGeom>
        </xdr:spPr>
      </xdr:pic>
      <xdr:pic>
        <xdr:nvPicPr>
          <xdr:cNvPr id="817" name="Side_Farside_Red_Neck_Yellow" hidden="1">
            <a:extLst>
              <a:ext uri="{FF2B5EF4-FFF2-40B4-BE49-F238E27FC236}">
                <a16:creationId xmlns:a16="http://schemas.microsoft.com/office/drawing/2014/main" id="{00000000-0008-0000-0100-000031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85712" y="2419437"/>
            <a:ext cx="1613722" cy="1418227"/>
          </a:xfrm>
          <a:prstGeom prst="rect">
            <a:avLst/>
          </a:prstGeom>
        </xdr:spPr>
      </xdr:pic>
      <xdr:pic>
        <xdr:nvPicPr>
          <xdr:cNvPr id="818" name="Side_Farside_Red_Neck_Orange" hidden="1">
            <a:extLst>
              <a:ext uri="{FF2B5EF4-FFF2-40B4-BE49-F238E27FC236}">
                <a16:creationId xmlns:a16="http://schemas.microsoft.com/office/drawing/2014/main" id="{00000000-0008-0000-0100-000032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814" y="2143212"/>
            <a:ext cx="1613722" cy="1418227"/>
          </a:xfrm>
          <a:prstGeom prst="rect">
            <a:avLst/>
          </a:prstGeom>
        </xdr:spPr>
      </xdr:pic>
      <xdr:pic>
        <xdr:nvPicPr>
          <xdr:cNvPr id="819" name="Side_Farside_Red_Neck_Brown" hidden="1">
            <a:extLst>
              <a:ext uri="{FF2B5EF4-FFF2-40B4-BE49-F238E27FC236}">
                <a16:creationId xmlns:a16="http://schemas.microsoft.com/office/drawing/2014/main" id="{00000000-0008-0000-0100-000033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58193" y="2152737"/>
            <a:ext cx="1613207" cy="1418227"/>
          </a:xfrm>
          <a:prstGeom prst="rect">
            <a:avLst/>
          </a:prstGeom>
        </xdr:spPr>
      </xdr:pic>
      <xdr:pic>
        <xdr:nvPicPr>
          <xdr:cNvPr id="820" name="Side_Farside_Red_Neck_Red" hidden="1">
            <a:extLst>
              <a:ext uri="{FF2B5EF4-FFF2-40B4-BE49-F238E27FC236}">
                <a16:creationId xmlns:a16="http://schemas.microsoft.com/office/drawing/2014/main" id="{00000000-0008-0000-0100-000034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071" y="2143212"/>
            <a:ext cx="1613208" cy="1418227"/>
          </a:xfrm>
          <a:prstGeom prst="rect">
            <a:avLst/>
          </a:prstGeom>
        </xdr:spPr>
      </xdr:pic>
      <xdr:pic>
        <xdr:nvPicPr>
          <xdr:cNvPr id="821" name="Side_Farside_Red_Pelvis_Green" hidden="1">
            <a:extLst>
              <a:ext uri="{FF2B5EF4-FFF2-40B4-BE49-F238E27FC236}">
                <a16:creationId xmlns:a16="http://schemas.microsoft.com/office/drawing/2014/main" id="{00000000-0008-0000-0100-000035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814" y="2143212"/>
            <a:ext cx="1613722" cy="1418227"/>
          </a:xfrm>
          <a:prstGeom prst="rect">
            <a:avLst/>
          </a:prstGeom>
        </xdr:spPr>
      </xdr:pic>
      <xdr:pic>
        <xdr:nvPicPr>
          <xdr:cNvPr id="822" name="Side_Farside_Red_Pelvis_Yellow" hidden="1">
            <a:extLst>
              <a:ext uri="{FF2B5EF4-FFF2-40B4-BE49-F238E27FC236}">
                <a16:creationId xmlns:a16="http://schemas.microsoft.com/office/drawing/2014/main" id="{00000000-0008-0000-0100-000036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814" y="2143212"/>
            <a:ext cx="1613722" cy="1418227"/>
          </a:xfrm>
          <a:prstGeom prst="rect">
            <a:avLst/>
          </a:prstGeom>
        </xdr:spPr>
      </xdr:pic>
      <xdr:pic>
        <xdr:nvPicPr>
          <xdr:cNvPr id="823" name="Side_Farside_Red_Pelvis_Orange" hidden="1">
            <a:extLst>
              <a:ext uri="{FF2B5EF4-FFF2-40B4-BE49-F238E27FC236}">
                <a16:creationId xmlns:a16="http://schemas.microsoft.com/office/drawing/2014/main" id="{00000000-0008-0000-0100-000037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071" y="2143212"/>
            <a:ext cx="1613208" cy="1418227"/>
          </a:xfrm>
          <a:prstGeom prst="rect">
            <a:avLst/>
          </a:prstGeom>
        </xdr:spPr>
      </xdr:pic>
      <xdr:pic>
        <xdr:nvPicPr>
          <xdr:cNvPr id="824" name="Side_Farside_Red_Pelvis_Brown" hidden="1">
            <a:extLst>
              <a:ext uri="{FF2B5EF4-FFF2-40B4-BE49-F238E27FC236}">
                <a16:creationId xmlns:a16="http://schemas.microsoft.com/office/drawing/2014/main" id="{00000000-0008-0000-0100-000038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071" y="2143212"/>
            <a:ext cx="1613208" cy="1418227"/>
          </a:xfrm>
          <a:prstGeom prst="rect">
            <a:avLst/>
          </a:prstGeom>
        </xdr:spPr>
      </xdr:pic>
      <xdr:pic>
        <xdr:nvPicPr>
          <xdr:cNvPr id="825" name="Side_Farside_Orange_Head_Yellow" hidden="1">
            <a:extLst>
              <a:ext uri="{FF2B5EF4-FFF2-40B4-BE49-F238E27FC236}">
                <a16:creationId xmlns:a16="http://schemas.microsoft.com/office/drawing/2014/main" id="{00000000-0008-0000-0100-000039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750" y="2143212"/>
            <a:ext cx="1613850" cy="1418227"/>
          </a:xfrm>
          <a:prstGeom prst="rect">
            <a:avLst/>
          </a:prstGeom>
        </xdr:spPr>
      </xdr:pic>
      <xdr:pic>
        <xdr:nvPicPr>
          <xdr:cNvPr id="826" name="Side_Farside_Orange_Neck_Yellow" hidden="1">
            <a:extLst>
              <a:ext uri="{FF2B5EF4-FFF2-40B4-BE49-F238E27FC236}">
                <a16:creationId xmlns:a16="http://schemas.microsoft.com/office/drawing/2014/main" id="{00000000-0008-0000-0100-00003A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525" y="2143212"/>
            <a:ext cx="1614300" cy="1418227"/>
          </a:xfrm>
          <a:prstGeom prst="rect">
            <a:avLst/>
          </a:prstGeom>
        </xdr:spPr>
      </xdr:pic>
      <xdr:pic>
        <xdr:nvPicPr>
          <xdr:cNvPr id="827" name="Side_Farside_Orange_Chest_Yellow" hidden="1">
            <a:extLst>
              <a:ext uri="{FF2B5EF4-FFF2-40B4-BE49-F238E27FC236}">
                <a16:creationId xmlns:a16="http://schemas.microsoft.com/office/drawing/2014/main" id="{00000000-0008-0000-0100-00003B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750" y="2143212"/>
            <a:ext cx="1613850" cy="1418227"/>
          </a:xfrm>
          <a:prstGeom prst="rect">
            <a:avLst/>
          </a:prstGeom>
        </xdr:spPr>
      </xdr:pic>
      <xdr:pic>
        <xdr:nvPicPr>
          <xdr:cNvPr id="828" name="Side_Farside_Orange_Abdomen_Yellow" hidden="1">
            <a:extLst>
              <a:ext uri="{FF2B5EF4-FFF2-40B4-BE49-F238E27FC236}">
                <a16:creationId xmlns:a16="http://schemas.microsoft.com/office/drawing/2014/main" id="{00000000-0008-0000-0100-00003C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525" y="2143212"/>
            <a:ext cx="1614300" cy="1418227"/>
          </a:xfrm>
          <a:prstGeom prst="rect">
            <a:avLst/>
          </a:prstGeom>
        </xdr:spPr>
      </xdr:pic>
      <xdr:pic>
        <xdr:nvPicPr>
          <xdr:cNvPr id="829" name="Side_Farside_Orange_Head_Red" hidden="1">
            <a:extLst>
              <a:ext uri="{FF2B5EF4-FFF2-40B4-BE49-F238E27FC236}">
                <a16:creationId xmlns:a16="http://schemas.microsoft.com/office/drawing/2014/main" id="{00000000-0008-0000-0100-00003D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750" y="2143212"/>
            <a:ext cx="1613850" cy="1418227"/>
          </a:xfrm>
          <a:prstGeom prst="rect">
            <a:avLst/>
          </a:prstGeom>
        </xdr:spPr>
      </xdr:pic>
      <xdr:pic>
        <xdr:nvPicPr>
          <xdr:cNvPr id="830" name="Side_Farside_Orange_Neck_Red" hidden="1">
            <a:extLst>
              <a:ext uri="{FF2B5EF4-FFF2-40B4-BE49-F238E27FC236}">
                <a16:creationId xmlns:a16="http://schemas.microsoft.com/office/drawing/2014/main" id="{00000000-0008-0000-0100-00003E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750" y="2144099"/>
            <a:ext cx="1613850" cy="1416453"/>
          </a:xfrm>
          <a:prstGeom prst="rect">
            <a:avLst/>
          </a:prstGeom>
        </xdr:spPr>
      </xdr:pic>
      <xdr:pic>
        <xdr:nvPicPr>
          <xdr:cNvPr id="831" name="Side_Farside_Orange_Chest_Red" hidden="1">
            <a:extLst>
              <a:ext uri="{FF2B5EF4-FFF2-40B4-BE49-F238E27FC236}">
                <a16:creationId xmlns:a16="http://schemas.microsoft.com/office/drawing/2014/main" id="{00000000-0008-0000-0100-00003F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525" y="2143212"/>
            <a:ext cx="1614300" cy="1418227"/>
          </a:xfrm>
          <a:prstGeom prst="rect">
            <a:avLst/>
          </a:prstGeom>
        </xdr:spPr>
      </xdr:pic>
      <xdr:pic>
        <xdr:nvPicPr>
          <xdr:cNvPr id="832" name="Side_Farside_Orange_Abdomen_Red" hidden="1">
            <a:extLst>
              <a:ext uri="{FF2B5EF4-FFF2-40B4-BE49-F238E27FC236}">
                <a16:creationId xmlns:a16="http://schemas.microsoft.com/office/drawing/2014/main" id="{00000000-0008-0000-0100-000040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750" y="2143212"/>
            <a:ext cx="1613850" cy="1418227"/>
          </a:xfrm>
          <a:prstGeom prst="rect">
            <a:avLst/>
          </a:prstGeom>
        </xdr:spPr>
      </xdr:pic>
      <xdr:pic>
        <xdr:nvPicPr>
          <xdr:cNvPr id="833" name="Side_Farside_Orange_Pelvis_Green" hidden="1">
            <a:extLst>
              <a:ext uri="{FF2B5EF4-FFF2-40B4-BE49-F238E27FC236}">
                <a16:creationId xmlns:a16="http://schemas.microsoft.com/office/drawing/2014/main" id="{00000000-0008-0000-0100-000041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525" y="2143212"/>
            <a:ext cx="1614300" cy="1418227"/>
          </a:xfrm>
          <a:prstGeom prst="rect">
            <a:avLst/>
          </a:prstGeom>
        </xdr:spPr>
      </xdr:pic>
      <xdr:pic>
        <xdr:nvPicPr>
          <xdr:cNvPr id="834" name="Side_Farside_Green_Head_Red" hidden="1">
            <a:extLst>
              <a:ext uri="{FF2B5EF4-FFF2-40B4-BE49-F238E27FC236}">
                <a16:creationId xmlns:a16="http://schemas.microsoft.com/office/drawing/2014/main" id="{00000000-0008-0000-0100-000042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9465" y="2143212"/>
            <a:ext cx="1610420" cy="1418227"/>
          </a:xfrm>
          <a:prstGeom prst="rect">
            <a:avLst/>
          </a:prstGeom>
        </xdr:spPr>
      </xdr:pic>
      <xdr:pic>
        <xdr:nvPicPr>
          <xdr:cNvPr id="835" name="Side_Farside_Green_Neck_Red" hidden="1">
            <a:extLst>
              <a:ext uri="{FF2B5EF4-FFF2-40B4-BE49-F238E27FC236}">
                <a16:creationId xmlns:a16="http://schemas.microsoft.com/office/drawing/2014/main" id="{00000000-0008-0000-0100-000043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9465" y="2143212"/>
            <a:ext cx="1610421" cy="1418227"/>
          </a:xfrm>
          <a:prstGeom prst="rect">
            <a:avLst/>
          </a:prstGeom>
        </xdr:spPr>
      </xdr:pic>
      <xdr:pic>
        <xdr:nvPicPr>
          <xdr:cNvPr id="836" name="Side_Farside_Green_Chest_Red" hidden="1">
            <a:extLst>
              <a:ext uri="{FF2B5EF4-FFF2-40B4-BE49-F238E27FC236}">
                <a16:creationId xmlns:a16="http://schemas.microsoft.com/office/drawing/2014/main" id="{00000000-0008-0000-0100-000044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9465" y="2143212"/>
            <a:ext cx="1610420" cy="1418227"/>
          </a:xfrm>
          <a:prstGeom prst="rect">
            <a:avLst/>
          </a:prstGeom>
        </xdr:spPr>
      </xdr:pic>
      <xdr:pic>
        <xdr:nvPicPr>
          <xdr:cNvPr id="837" name="Side_Farside_Green_Abdomen_Red" hidden="1">
            <a:extLst>
              <a:ext uri="{FF2B5EF4-FFF2-40B4-BE49-F238E27FC236}">
                <a16:creationId xmlns:a16="http://schemas.microsoft.com/office/drawing/2014/main" id="{00000000-0008-0000-0100-000045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9465" y="2143212"/>
            <a:ext cx="1610420" cy="1418227"/>
          </a:xfrm>
          <a:prstGeom prst="rect">
            <a:avLst/>
          </a:prstGeom>
        </xdr:spPr>
      </xdr:pic>
      <xdr:pic>
        <xdr:nvPicPr>
          <xdr:cNvPr id="838" name="Side_Farside_Green_Pelvis_Green" hidden="1">
            <a:extLst>
              <a:ext uri="{FF2B5EF4-FFF2-40B4-BE49-F238E27FC236}">
                <a16:creationId xmlns:a16="http://schemas.microsoft.com/office/drawing/2014/main" id="{00000000-0008-0000-0100-000046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9465" y="2143212"/>
            <a:ext cx="1610420" cy="1418227"/>
          </a:xfrm>
          <a:prstGeom prst="rect">
            <a:avLst/>
          </a:prstGeom>
        </xdr:spPr>
      </xdr:pic>
      <xdr:pic>
        <xdr:nvPicPr>
          <xdr:cNvPr id="839" name="Side_Farside_Red_Head_Orange" hidden="1">
            <a:extLst>
              <a:ext uri="{FF2B5EF4-FFF2-40B4-BE49-F238E27FC236}">
                <a16:creationId xmlns:a16="http://schemas.microsoft.com/office/drawing/2014/main" id="{00000000-0008-0000-0100-000047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814" y="2143212"/>
            <a:ext cx="1613722" cy="1418227"/>
          </a:xfrm>
          <a:prstGeom prst="rect">
            <a:avLst/>
          </a:prstGeom>
        </xdr:spPr>
      </xdr:pic>
      <xdr:pic>
        <xdr:nvPicPr>
          <xdr:cNvPr id="840" name="Side_Farside_Red_Neck_Green" hidden="1">
            <a:extLst>
              <a:ext uri="{FF2B5EF4-FFF2-40B4-BE49-F238E27FC236}">
                <a16:creationId xmlns:a16="http://schemas.microsoft.com/office/drawing/2014/main" id="{00000000-0008-0000-0100-000048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071" y="2143212"/>
            <a:ext cx="1613208" cy="1418227"/>
          </a:xfrm>
          <a:prstGeom prst="rect">
            <a:avLst/>
          </a:prstGeom>
        </xdr:spPr>
      </xdr:pic>
      <xdr:pic>
        <xdr:nvPicPr>
          <xdr:cNvPr id="841" name="Side_Farside_Red_Chest_Red" hidden="1">
            <a:extLst>
              <a:ext uri="{FF2B5EF4-FFF2-40B4-BE49-F238E27FC236}">
                <a16:creationId xmlns:a16="http://schemas.microsoft.com/office/drawing/2014/main" id="{00000000-0008-0000-0100-000049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814" y="2143212"/>
            <a:ext cx="1613722" cy="1418227"/>
          </a:xfrm>
          <a:prstGeom prst="rect">
            <a:avLst/>
          </a:prstGeom>
        </xdr:spPr>
      </xdr:pic>
      <xdr:pic>
        <xdr:nvPicPr>
          <xdr:cNvPr id="842" name="Side_Farside_Red_Abdomen_Red" hidden="1">
            <a:extLst>
              <a:ext uri="{FF2B5EF4-FFF2-40B4-BE49-F238E27FC236}">
                <a16:creationId xmlns:a16="http://schemas.microsoft.com/office/drawing/2014/main" id="{00000000-0008-0000-0100-00004A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8071" y="2143212"/>
            <a:ext cx="1613208" cy="1418227"/>
          </a:xfrm>
          <a:prstGeom prst="rect">
            <a:avLst/>
          </a:prstGeom>
        </xdr:spPr>
      </xdr:pic>
      <xdr:pic>
        <xdr:nvPicPr>
          <xdr:cNvPr id="843" name="Side_Farside_Red_Pelvis_Red" hidden="1">
            <a:extLst>
              <a:ext uri="{FF2B5EF4-FFF2-40B4-BE49-F238E27FC236}">
                <a16:creationId xmlns:a16="http://schemas.microsoft.com/office/drawing/2014/main" id="{00000000-0008-0000-0100-00004B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47814" y="2143212"/>
            <a:ext cx="1613722" cy="1418227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924554</xdr:colOff>
      <xdr:row>29</xdr:row>
      <xdr:rowOff>56445</xdr:rowOff>
    </xdr:from>
    <xdr:to>
      <xdr:col>5</xdr:col>
      <xdr:colOff>403156</xdr:colOff>
      <xdr:row>30</xdr:row>
      <xdr:rowOff>171575</xdr:rowOff>
    </xdr:to>
    <xdr:grpSp>
      <xdr:nvGrpSpPr>
        <xdr:cNvPr id="584" name="MPDB_Barrier">
          <a:extLst>
            <a:ext uri="{FF2B5EF4-FFF2-40B4-BE49-F238E27FC236}">
              <a16:creationId xmlns:a16="http://schemas.microsoft.com/office/drawing/2014/main" id="{00000000-0008-0000-0100-000048020000}"/>
            </a:ext>
          </a:extLst>
        </xdr:cNvPr>
        <xdr:cNvGrpSpPr/>
      </xdr:nvGrpSpPr>
      <xdr:grpSpPr>
        <a:xfrm>
          <a:off x="4667879" y="9038520"/>
          <a:ext cx="593027" cy="400880"/>
          <a:chOff x="3567108" y="1743636"/>
          <a:chExt cx="4147678" cy="2542920"/>
        </a:xfrm>
      </xdr:grpSpPr>
      <xdr:sp macro="" textlink="">
        <xdr:nvSpPr>
          <xdr:cNvPr id="585" name="1-7">
            <a:extLst>
              <a:ext uri="{FF2B5EF4-FFF2-40B4-BE49-F238E27FC236}">
                <a16:creationId xmlns:a16="http://schemas.microsoft.com/office/drawing/2014/main" id="{00000000-0008-0000-0100-000049020000}"/>
              </a:ext>
            </a:extLst>
          </xdr:cNvPr>
          <xdr:cNvSpPr/>
        </xdr:nvSpPr>
        <xdr:spPr bwMode="auto">
          <a:xfrm>
            <a:off x="3567659" y="1746994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586" name="2-7">
            <a:extLst>
              <a:ext uri="{FF2B5EF4-FFF2-40B4-BE49-F238E27FC236}">
                <a16:creationId xmlns:a16="http://schemas.microsoft.com/office/drawing/2014/main" id="{00000000-0008-0000-0100-00004A020000}"/>
              </a:ext>
            </a:extLst>
          </xdr:cNvPr>
          <xdr:cNvSpPr/>
        </xdr:nvSpPr>
        <xdr:spPr bwMode="auto">
          <a:xfrm>
            <a:off x="4256845" y="1746994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587" name="6-7">
            <a:extLst>
              <a:ext uri="{FF2B5EF4-FFF2-40B4-BE49-F238E27FC236}">
                <a16:creationId xmlns:a16="http://schemas.microsoft.com/office/drawing/2014/main" id="{00000000-0008-0000-0100-00004B020000}"/>
              </a:ext>
            </a:extLst>
          </xdr:cNvPr>
          <xdr:cNvSpPr/>
        </xdr:nvSpPr>
        <xdr:spPr bwMode="auto">
          <a:xfrm>
            <a:off x="7019036" y="1743636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588" name="3-7">
            <a:extLst>
              <a:ext uri="{FF2B5EF4-FFF2-40B4-BE49-F238E27FC236}">
                <a16:creationId xmlns:a16="http://schemas.microsoft.com/office/drawing/2014/main" id="{00000000-0008-0000-0100-00004C020000}"/>
              </a:ext>
            </a:extLst>
          </xdr:cNvPr>
          <xdr:cNvSpPr/>
        </xdr:nvSpPr>
        <xdr:spPr bwMode="auto">
          <a:xfrm>
            <a:off x="4947434" y="1746994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589" name="4-7">
            <a:extLst>
              <a:ext uri="{FF2B5EF4-FFF2-40B4-BE49-F238E27FC236}">
                <a16:creationId xmlns:a16="http://schemas.microsoft.com/office/drawing/2014/main" id="{00000000-0008-0000-0100-00004D020000}"/>
              </a:ext>
            </a:extLst>
          </xdr:cNvPr>
          <xdr:cNvSpPr/>
        </xdr:nvSpPr>
        <xdr:spPr bwMode="auto">
          <a:xfrm>
            <a:off x="5636838" y="1746994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590" name="5-7">
            <a:extLst>
              <a:ext uri="{FF2B5EF4-FFF2-40B4-BE49-F238E27FC236}">
                <a16:creationId xmlns:a16="http://schemas.microsoft.com/office/drawing/2014/main" id="{00000000-0008-0000-0100-00004E020000}"/>
              </a:ext>
            </a:extLst>
          </xdr:cNvPr>
          <xdr:cNvSpPr/>
        </xdr:nvSpPr>
        <xdr:spPr bwMode="auto">
          <a:xfrm>
            <a:off x="6319420" y="1746994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591" name="1-6">
            <a:extLst>
              <a:ext uri="{FF2B5EF4-FFF2-40B4-BE49-F238E27FC236}">
                <a16:creationId xmlns:a16="http://schemas.microsoft.com/office/drawing/2014/main" id="{00000000-0008-0000-0100-00004F020000}"/>
              </a:ext>
            </a:extLst>
          </xdr:cNvPr>
          <xdr:cNvSpPr/>
        </xdr:nvSpPr>
        <xdr:spPr bwMode="auto">
          <a:xfrm>
            <a:off x="3567108" y="2102996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592" name="2-6">
            <a:extLst>
              <a:ext uri="{FF2B5EF4-FFF2-40B4-BE49-F238E27FC236}">
                <a16:creationId xmlns:a16="http://schemas.microsoft.com/office/drawing/2014/main" id="{00000000-0008-0000-0100-000050020000}"/>
              </a:ext>
            </a:extLst>
          </xdr:cNvPr>
          <xdr:cNvSpPr/>
        </xdr:nvSpPr>
        <xdr:spPr bwMode="auto">
          <a:xfrm>
            <a:off x="4258435" y="2102996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593" name="6-6">
            <a:extLst>
              <a:ext uri="{FF2B5EF4-FFF2-40B4-BE49-F238E27FC236}">
                <a16:creationId xmlns:a16="http://schemas.microsoft.com/office/drawing/2014/main" id="{00000000-0008-0000-0100-000051020000}"/>
              </a:ext>
            </a:extLst>
          </xdr:cNvPr>
          <xdr:cNvSpPr/>
        </xdr:nvSpPr>
        <xdr:spPr bwMode="auto">
          <a:xfrm>
            <a:off x="7015997" y="2103002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594" name="3-6">
            <a:extLst>
              <a:ext uri="{FF2B5EF4-FFF2-40B4-BE49-F238E27FC236}">
                <a16:creationId xmlns:a16="http://schemas.microsoft.com/office/drawing/2014/main" id="{00000000-0008-0000-0100-000052020000}"/>
              </a:ext>
            </a:extLst>
          </xdr:cNvPr>
          <xdr:cNvSpPr/>
        </xdr:nvSpPr>
        <xdr:spPr bwMode="auto">
          <a:xfrm>
            <a:off x="4946889" y="2102996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595" name="4-6">
            <a:extLst>
              <a:ext uri="{FF2B5EF4-FFF2-40B4-BE49-F238E27FC236}">
                <a16:creationId xmlns:a16="http://schemas.microsoft.com/office/drawing/2014/main" id="{00000000-0008-0000-0100-000053020000}"/>
              </a:ext>
            </a:extLst>
          </xdr:cNvPr>
          <xdr:cNvSpPr/>
        </xdr:nvSpPr>
        <xdr:spPr bwMode="auto">
          <a:xfrm>
            <a:off x="5636286" y="2102996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596" name="5-6">
            <a:extLst>
              <a:ext uri="{FF2B5EF4-FFF2-40B4-BE49-F238E27FC236}">
                <a16:creationId xmlns:a16="http://schemas.microsoft.com/office/drawing/2014/main" id="{00000000-0008-0000-0100-000054020000}"/>
              </a:ext>
            </a:extLst>
          </xdr:cNvPr>
          <xdr:cNvSpPr/>
        </xdr:nvSpPr>
        <xdr:spPr bwMode="auto">
          <a:xfrm>
            <a:off x="6326299" y="2102996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597" name="1-5">
            <a:extLst>
              <a:ext uri="{FF2B5EF4-FFF2-40B4-BE49-F238E27FC236}">
                <a16:creationId xmlns:a16="http://schemas.microsoft.com/office/drawing/2014/main" id="{00000000-0008-0000-0100-000055020000}"/>
              </a:ext>
            </a:extLst>
          </xdr:cNvPr>
          <xdr:cNvSpPr/>
        </xdr:nvSpPr>
        <xdr:spPr bwMode="auto">
          <a:xfrm>
            <a:off x="3568320" y="2469511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598" name="2-5">
            <a:extLst>
              <a:ext uri="{FF2B5EF4-FFF2-40B4-BE49-F238E27FC236}">
                <a16:creationId xmlns:a16="http://schemas.microsoft.com/office/drawing/2014/main" id="{00000000-0008-0000-0100-000056020000}"/>
              </a:ext>
            </a:extLst>
          </xdr:cNvPr>
          <xdr:cNvSpPr/>
        </xdr:nvSpPr>
        <xdr:spPr bwMode="auto">
          <a:xfrm>
            <a:off x="4257505" y="2469511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599" name="6-5">
            <a:extLst>
              <a:ext uri="{FF2B5EF4-FFF2-40B4-BE49-F238E27FC236}">
                <a16:creationId xmlns:a16="http://schemas.microsoft.com/office/drawing/2014/main" id="{00000000-0008-0000-0100-000057020000}"/>
              </a:ext>
            </a:extLst>
          </xdr:cNvPr>
          <xdr:cNvSpPr/>
        </xdr:nvSpPr>
        <xdr:spPr bwMode="auto">
          <a:xfrm>
            <a:off x="7019690" y="2469511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600" name="3-5">
            <a:extLst>
              <a:ext uri="{FF2B5EF4-FFF2-40B4-BE49-F238E27FC236}">
                <a16:creationId xmlns:a16="http://schemas.microsoft.com/office/drawing/2014/main" id="{00000000-0008-0000-0100-000058020000}"/>
              </a:ext>
            </a:extLst>
          </xdr:cNvPr>
          <xdr:cNvSpPr/>
        </xdr:nvSpPr>
        <xdr:spPr bwMode="auto">
          <a:xfrm>
            <a:off x="4948095" y="2469511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601" name="4-5">
            <a:extLst>
              <a:ext uri="{FF2B5EF4-FFF2-40B4-BE49-F238E27FC236}">
                <a16:creationId xmlns:a16="http://schemas.microsoft.com/office/drawing/2014/main" id="{00000000-0008-0000-0100-000059020000}"/>
              </a:ext>
            </a:extLst>
          </xdr:cNvPr>
          <xdr:cNvSpPr/>
        </xdr:nvSpPr>
        <xdr:spPr bwMode="auto">
          <a:xfrm>
            <a:off x="5637498" y="2469511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602" name="5-5">
            <a:extLst>
              <a:ext uri="{FF2B5EF4-FFF2-40B4-BE49-F238E27FC236}">
                <a16:creationId xmlns:a16="http://schemas.microsoft.com/office/drawing/2014/main" id="{00000000-0008-0000-0100-00005A020000}"/>
              </a:ext>
            </a:extLst>
          </xdr:cNvPr>
          <xdr:cNvSpPr/>
        </xdr:nvSpPr>
        <xdr:spPr bwMode="auto">
          <a:xfrm>
            <a:off x="6327511" y="2469511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603" name="1-4">
            <a:extLst>
              <a:ext uri="{FF2B5EF4-FFF2-40B4-BE49-F238E27FC236}">
                <a16:creationId xmlns:a16="http://schemas.microsoft.com/office/drawing/2014/main" id="{00000000-0008-0000-0100-00005B020000}"/>
              </a:ext>
            </a:extLst>
          </xdr:cNvPr>
          <xdr:cNvSpPr/>
        </xdr:nvSpPr>
        <xdr:spPr bwMode="auto">
          <a:xfrm>
            <a:off x="3602803" y="2836017"/>
            <a:ext cx="692346" cy="362186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604" name="2-4">
            <a:extLst>
              <a:ext uri="{FF2B5EF4-FFF2-40B4-BE49-F238E27FC236}">
                <a16:creationId xmlns:a16="http://schemas.microsoft.com/office/drawing/2014/main" id="{00000000-0008-0000-0100-00005C020000}"/>
              </a:ext>
            </a:extLst>
          </xdr:cNvPr>
          <xdr:cNvSpPr/>
        </xdr:nvSpPr>
        <xdr:spPr bwMode="auto">
          <a:xfrm>
            <a:off x="4261460" y="2836020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605" name="6-4">
            <a:extLst>
              <a:ext uri="{FF2B5EF4-FFF2-40B4-BE49-F238E27FC236}">
                <a16:creationId xmlns:a16="http://schemas.microsoft.com/office/drawing/2014/main" id="{00000000-0008-0000-0100-00005D020000}"/>
              </a:ext>
            </a:extLst>
          </xdr:cNvPr>
          <xdr:cNvSpPr/>
        </xdr:nvSpPr>
        <xdr:spPr bwMode="auto">
          <a:xfrm>
            <a:off x="7020901" y="2836020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606" name="3-4">
            <a:extLst>
              <a:ext uri="{FF2B5EF4-FFF2-40B4-BE49-F238E27FC236}">
                <a16:creationId xmlns:a16="http://schemas.microsoft.com/office/drawing/2014/main" id="{00000000-0008-0000-0100-00005E020000}"/>
              </a:ext>
            </a:extLst>
          </xdr:cNvPr>
          <xdr:cNvSpPr/>
        </xdr:nvSpPr>
        <xdr:spPr bwMode="auto">
          <a:xfrm>
            <a:off x="4952056" y="2836020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713" name="4-4">
            <a:extLst>
              <a:ext uri="{FF2B5EF4-FFF2-40B4-BE49-F238E27FC236}">
                <a16:creationId xmlns:a16="http://schemas.microsoft.com/office/drawing/2014/main" id="{00000000-0008-0000-0100-0000C9020000}"/>
              </a:ext>
            </a:extLst>
          </xdr:cNvPr>
          <xdr:cNvSpPr/>
        </xdr:nvSpPr>
        <xdr:spPr bwMode="auto">
          <a:xfrm>
            <a:off x="5641453" y="2836020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714" name="5-4">
            <a:extLst>
              <a:ext uri="{FF2B5EF4-FFF2-40B4-BE49-F238E27FC236}">
                <a16:creationId xmlns:a16="http://schemas.microsoft.com/office/drawing/2014/main" id="{00000000-0008-0000-0100-0000CA020000}"/>
              </a:ext>
            </a:extLst>
          </xdr:cNvPr>
          <xdr:cNvSpPr/>
        </xdr:nvSpPr>
        <xdr:spPr bwMode="auto">
          <a:xfrm>
            <a:off x="6331466" y="2836020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715" name="1-3">
            <a:extLst>
              <a:ext uri="{FF2B5EF4-FFF2-40B4-BE49-F238E27FC236}">
                <a16:creationId xmlns:a16="http://schemas.microsoft.com/office/drawing/2014/main" id="{00000000-0008-0000-0100-0000CB020000}"/>
              </a:ext>
            </a:extLst>
          </xdr:cNvPr>
          <xdr:cNvSpPr/>
        </xdr:nvSpPr>
        <xdr:spPr bwMode="auto">
          <a:xfrm>
            <a:off x="3601597" y="3191346"/>
            <a:ext cx="692346" cy="362186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716" name="2-3">
            <a:extLst>
              <a:ext uri="{FF2B5EF4-FFF2-40B4-BE49-F238E27FC236}">
                <a16:creationId xmlns:a16="http://schemas.microsoft.com/office/drawing/2014/main" id="{00000000-0008-0000-0100-0000CC020000}"/>
              </a:ext>
            </a:extLst>
          </xdr:cNvPr>
          <xdr:cNvSpPr/>
        </xdr:nvSpPr>
        <xdr:spPr bwMode="auto">
          <a:xfrm>
            <a:off x="4260255" y="3191348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717" name="6-3">
            <a:extLst>
              <a:ext uri="{FF2B5EF4-FFF2-40B4-BE49-F238E27FC236}">
                <a16:creationId xmlns:a16="http://schemas.microsoft.com/office/drawing/2014/main" id="{00000000-0008-0000-0100-0000CD020000}"/>
              </a:ext>
            </a:extLst>
          </xdr:cNvPr>
          <xdr:cNvSpPr/>
        </xdr:nvSpPr>
        <xdr:spPr bwMode="auto">
          <a:xfrm>
            <a:off x="7022440" y="3191349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718" name="3-3">
            <a:extLst>
              <a:ext uri="{FF2B5EF4-FFF2-40B4-BE49-F238E27FC236}">
                <a16:creationId xmlns:a16="http://schemas.microsoft.com/office/drawing/2014/main" id="{00000000-0008-0000-0100-0000CE020000}"/>
              </a:ext>
            </a:extLst>
          </xdr:cNvPr>
          <xdr:cNvSpPr/>
        </xdr:nvSpPr>
        <xdr:spPr bwMode="auto">
          <a:xfrm>
            <a:off x="4950845" y="3191348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719" name="4-3">
            <a:extLst>
              <a:ext uri="{FF2B5EF4-FFF2-40B4-BE49-F238E27FC236}">
                <a16:creationId xmlns:a16="http://schemas.microsoft.com/office/drawing/2014/main" id="{00000000-0008-0000-0100-0000CF020000}"/>
              </a:ext>
            </a:extLst>
          </xdr:cNvPr>
          <xdr:cNvSpPr/>
        </xdr:nvSpPr>
        <xdr:spPr bwMode="auto">
          <a:xfrm>
            <a:off x="5640248" y="3191348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720" name="5-3">
            <a:extLst>
              <a:ext uri="{FF2B5EF4-FFF2-40B4-BE49-F238E27FC236}">
                <a16:creationId xmlns:a16="http://schemas.microsoft.com/office/drawing/2014/main" id="{00000000-0008-0000-0100-0000D0020000}"/>
              </a:ext>
            </a:extLst>
          </xdr:cNvPr>
          <xdr:cNvSpPr/>
        </xdr:nvSpPr>
        <xdr:spPr bwMode="auto">
          <a:xfrm>
            <a:off x="6330261" y="3191348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721" name="1-2">
            <a:extLst>
              <a:ext uri="{FF2B5EF4-FFF2-40B4-BE49-F238E27FC236}">
                <a16:creationId xmlns:a16="http://schemas.microsoft.com/office/drawing/2014/main" id="{00000000-0008-0000-0100-0000D1020000}"/>
              </a:ext>
            </a:extLst>
          </xdr:cNvPr>
          <xdr:cNvSpPr/>
        </xdr:nvSpPr>
        <xdr:spPr bwMode="auto">
          <a:xfrm>
            <a:off x="3602802" y="3557858"/>
            <a:ext cx="692346" cy="362186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722" name="2-2">
            <a:extLst>
              <a:ext uri="{FF2B5EF4-FFF2-40B4-BE49-F238E27FC236}">
                <a16:creationId xmlns:a16="http://schemas.microsoft.com/office/drawing/2014/main" id="{00000000-0008-0000-0100-0000D2020000}"/>
              </a:ext>
            </a:extLst>
          </xdr:cNvPr>
          <xdr:cNvSpPr/>
        </xdr:nvSpPr>
        <xdr:spPr bwMode="auto">
          <a:xfrm>
            <a:off x="4261460" y="3557857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723" name="6-2">
            <a:extLst>
              <a:ext uri="{FF2B5EF4-FFF2-40B4-BE49-F238E27FC236}">
                <a16:creationId xmlns:a16="http://schemas.microsoft.com/office/drawing/2014/main" id="{00000000-0008-0000-0100-0000D3020000}"/>
              </a:ext>
            </a:extLst>
          </xdr:cNvPr>
          <xdr:cNvSpPr/>
        </xdr:nvSpPr>
        <xdr:spPr bwMode="auto">
          <a:xfrm>
            <a:off x="7020901" y="3557858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724" name="3-2">
            <a:extLst>
              <a:ext uri="{FF2B5EF4-FFF2-40B4-BE49-F238E27FC236}">
                <a16:creationId xmlns:a16="http://schemas.microsoft.com/office/drawing/2014/main" id="{00000000-0008-0000-0100-0000D4020000}"/>
              </a:ext>
            </a:extLst>
          </xdr:cNvPr>
          <xdr:cNvSpPr/>
        </xdr:nvSpPr>
        <xdr:spPr bwMode="auto">
          <a:xfrm>
            <a:off x="4952056" y="3557857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725" name="4-2">
            <a:extLst>
              <a:ext uri="{FF2B5EF4-FFF2-40B4-BE49-F238E27FC236}">
                <a16:creationId xmlns:a16="http://schemas.microsoft.com/office/drawing/2014/main" id="{00000000-0008-0000-0100-0000D5020000}"/>
              </a:ext>
            </a:extLst>
          </xdr:cNvPr>
          <xdr:cNvSpPr/>
        </xdr:nvSpPr>
        <xdr:spPr bwMode="auto">
          <a:xfrm>
            <a:off x="5641453" y="3557857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726" name="5-2">
            <a:extLst>
              <a:ext uri="{FF2B5EF4-FFF2-40B4-BE49-F238E27FC236}">
                <a16:creationId xmlns:a16="http://schemas.microsoft.com/office/drawing/2014/main" id="{00000000-0008-0000-0100-0000D6020000}"/>
              </a:ext>
            </a:extLst>
          </xdr:cNvPr>
          <xdr:cNvSpPr/>
        </xdr:nvSpPr>
        <xdr:spPr bwMode="auto">
          <a:xfrm>
            <a:off x="6331466" y="3557857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727" name="1-1">
            <a:extLst>
              <a:ext uri="{FF2B5EF4-FFF2-40B4-BE49-F238E27FC236}">
                <a16:creationId xmlns:a16="http://schemas.microsoft.com/office/drawing/2014/main" id="{00000000-0008-0000-0100-0000D7020000}"/>
              </a:ext>
            </a:extLst>
          </xdr:cNvPr>
          <xdr:cNvSpPr/>
        </xdr:nvSpPr>
        <xdr:spPr bwMode="auto">
          <a:xfrm>
            <a:off x="3576237" y="3924366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728" name="2-1">
            <a:extLst>
              <a:ext uri="{FF2B5EF4-FFF2-40B4-BE49-F238E27FC236}">
                <a16:creationId xmlns:a16="http://schemas.microsoft.com/office/drawing/2014/main" id="{00000000-0008-0000-0100-0000D8020000}"/>
              </a:ext>
            </a:extLst>
          </xdr:cNvPr>
          <xdr:cNvSpPr/>
        </xdr:nvSpPr>
        <xdr:spPr bwMode="auto">
          <a:xfrm>
            <a:off x="4265422" y="3924366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729" name="6-1">
            <a:extLst>
              <a:ext uri="{FF2B5EF4-FFF2-40B4-BE49-F238E27FC236}">
                <a16:creationId xmlns:a16="http://schemas.microsoft.com/office/drawing/2014/main" id="{00000000-0008-0000-0100-0000D9020000}"/>
              </a:ext>
            </a:extLst>
          </xdr:cNvPr>
          <xdr:cNvSpPr/>
        </xdr:nvSpPr>
        <xdr:spPr bwMode="auto">
          <a:xfrm>
            <a:off x="7017427" y="3924367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730" name="3-1">
            <a:extLst>
              <a:ext uri="{FF2B5EF4-FFF2-40B4-BE49-F238E27FC236}">
                <a16:creationId xmlns:a16="http://schemas.microsoft.com/office/drawing/2014/main" id="{00000000-0008-0000-0100-0000DA020000}"/>
              </a:ext>
            </a:extLst>
          </xdr:cNvPr>
          <xdr:cNvSpPr/>
        </xdr:nvSpPr>
        <xdr:spPr bwMode="auto">
          <a:xfrm>
            <a:off x="4956012" y="3924366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731" name="4-1">
            <a:extLst>
              <a:ext uri="{FF2B5EF4-FFF2-40B4-BE49-F238E27FC236}">
                <a16:creationId xmlns:a16="http://schemas.microsoft.com/office/drawing/2014/main" id="{00000000-0008-0000-0100-0000DB020000}"/>
              </a:ext>
            </a:extLst>
          </xdr:cNvPr>
          <xdr:cNvSpPr/>
        </xdr:nvSpPr>
        <xdr:spPr bwMode="auto">
          <a:xfrm>
            <a:off x="5655595" y="3924354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  <xdr:sp macro="" textlink="">
        <xdr:nvSpPr>
          <xdr:cNvPr id="732" name="5-1">
            <a:extLst>
              <a:ext uri="{FF2B5EF4-FFF2-40B4-BE49-F238E27FC236}">
                <a16:creationId xmlns:a16="http://schemas.microsoft.com/office/drawing/2014/main" id="{00000000-0008-0000-0100-0000DC020000}"/>
              </a:ext>
            </a:extLst>
          </xdr:cNvPr>
          <xdr:cNvSpPr/>
        </xdr:nvSpPr>
        <xdr:spPr bwMode="auto">
          <a:xfrm>
            <a:off x="6338178" y="3919833"/>
            <a:ext cx="692346" cy="362189"/>
          </a:xfrm>
          <a:prstGeom prst="rect">
            <a:avLst/>
          </a:prstGeom>
          <a:solidFill>
            <a:srgbClr val="D40022">
              <a:alpha val="70000"/>
            </a:srgb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en-GB" sz="1100"/>
          </a:p>
        </xdr:txBody>
      </xdr:sp>
    </xdr:grpSp>
    <xdr:clientData/>
  </xdr:twoCellAnchor>
  <xdr:twoCellAnchor editAs="oneCell">
    <xdr:from>
      <xdr:col>1</xdr:col>
      <xdr:colOff>35278</xdr:colOff>
      <xdr:row>23</xdr:row>
      <xdr:rowOff>49389</xdr:rowOff>
    </xdr:from>
    <xdr:to>
      <xdr:col>2</xdr:col>
      <xdr:colOff>8374</xdr:colOff>
      <xdr:row>23</xdr:row>
      <xdr:rowOff>238485</xdr:rowOff>
    </xdr:to>
    <xdr:pic>
      <xdr:nvPicPr>
        <xdr:cNvPr id="738" name="1-star">
          <a:extLst>
            <a:ext uri="{FF2B5EF4-FFF2-40B4-BE49-F238E27FC236}">
              <a16:creationId xmlns:a16="http://schemas.microsoft.com/office/drawing/2014/main" id="{00000000-0008-0000-0100-0000E202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6"/>
        <a:srcRect l="36227" t="27171" r="4676" b="25607"/>
        <a:stretch/>
      </xdr:blipFill>
      <xdr:spPr>
        <a:xfrm>
          <a:off x="649111" y="7415389"/>
          <a:ext cx="1188000" cy="185921"/>
        </a:xfrm>
        <a:prstGeom prst="rect">
          <a:avLst/>
        </a:prstGeom>
      </xdr:spPr>
    </xdr:pic>
    <xdr:clientData/>
  </xdr:twoCellAnchor>
  <xdr:twoCellAnchor editAs="oneCell">
    <xdr:from>
      <xdr:col>1</xdr:col>
      <xdr:colOff>35278</xdr:colOff>
      <xdr:row>22</xdr:row>
      <xdr:rowOff>49389</xdr:rowOff>
    </xdr:from>
    <xdr:to>
      <xdr:col>2</xdr:col>
      <xdr:colOff>8374</xdr:colOff>
      <xdr:row>22</xdr:row>
      <xdr:rowOff>238485</xdr:rowOff>
    </xdr:to>
    <xdr:pic>
      <xdr:nvPicPr>
        <xdr:cNvPr id="739" name="2-stars">
          <a:extLst>
            <a:ext uri="{FF2B5EF4-FFF2-40B4-BE49-F238E27FC236}">
              <a16:creationId xmlns:a16="http://schemas.microsoft.com/office/drawing/2014/main" id="{00000000-0008-0000-0100-0000E302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7"/>
        <a:srcRect l="36227" t="27754" r="4676" b="25024"/>
        <a:stretch/>
      </xdr:blipFill>
      <xdr:spPr>
        <a:xfrm>
          <a:off x="649111" y="7126111"/>
          <a:ext cx="1188000" cy="185921"/>
        </a:xfrm>
        <a:prstGeom prst="rect">
          <a:avLst/>
        </a:prstGeom>
      </xdr:spPr>
    </xdr:pic>
    <xdr:clientData/>
  </xdr:twoCellAnchor>
  <xdr:twoCellAnchor editAs="oneCell">
    <xdr:from>
      <xdr:col>1</xdr:col>
      <xdr:colOff>35278</xdr:colOff>
      <xdr:row>21</xdr:row>
      <xdr:rowOff>49389</xdr:rowOff>
    </xdr:from>
    <xdr:to>
      <xdr:col>2</xdr:col>
      <xdr:colOff>8374</xdr:colOff>
      <xdr:row>21</xdr:row>
      <xdr:rowOff>238485</xdr:rowOff>
    </xdr:to>
    <xdr:pic>
      <xdr:nvPicPr>
        <xdr:cNvPr id="740" name="3-stars">
          <a:extLst>
            <a:ext uri="{FF2B5EF4-FFF2-40B4-BE49-F238E27FC236}">
              <a16:creationId xmlns:a16="http://schemas.microsoft.com/office/drawing/2014/main" id="{00000000-0008-0000-0100-0000E402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8"/>
        <a:srcRect l="36227" t="27754" r="4676" b="25024"/>
        <a:stretch/>
      </xdr:blipFill>
      <xdr:spPr>
        <a:xfrm>
          <a:off x="649111" y="6836833"/>
          <a:ext cx="1188000" cy="185921"/>
        </a:xfrm>
        <a:prstGeom prst="rect">
          <a:avLst/>
        </a:prstGeom>
      </xdr:spPr>
    </xdr:pic>
    <xdr:clientData/>
  </xdr:twoCellAnchor>
  <xdr:twoCellAnchor editAs="oneCell">
    <xdr:from>
      <xdr:col>1</xdr:col>
      <xdr:colOff>35278</xdr:colOff>
      <xdr:row>20</xdr:row>
      <xdr:rowOff>49389</xdr:rowOff>
    </xdr:from>
    <xdr:to>
      <xdr:col>2</xdr:col>
      <xdr:colOff>8374</xdr:colOff>
      <xdr:row>20</xdr:row>
      <xdr:rowOff>238485</xdr:rowOff>
    </xdr:to>
    <xdr:pic>
      <xdr:nvPicPr>
        <xdr:cNvPr id="741" name="4-stars">
          <a:extLst>
            <a:ext uri="{FF2B5EF4-FFF2-40B4-BE49-F238E27FC236}">
              <a16:creationId xmlns:a16="http://schemas.microsoft.com/office/drawing/2014/main" id="{00000000-0008-0000-0100-0000E502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9"/>
        <a:srcRect l="36227" t="28605" r="4676" b="24172"/>
        <a:stretch/>
      </xdr:blipFill>
      <xdr:spPr>
        <a:xfrm>
          <a:off x="649111" y="6547556"/>
          <a:ext cx="1188000" cy="185921"/>
        </a:xfrm>
        <a:prstGeom prst="rect">
          <a:avLst/>
        </a:prstGeom>
      </xdr:spPr>
    </xdr:pic>
    <xdr:clientData/>
  </xdr:twoCellAnchor>
  <xdr:twoCellAnchor editAs="oneCell">
    <xdr:from>
      <xdr:col>1</xdr:col>
      <xdr:colOff>35278</xdr:colOff>
      <xdr:row>19</xdr:row>
      <xdr:rowOff>49389</xdr:rowOff>
    </xdr:from>
    <xdr:to>
      <xdr:col>2</xdr:col>
      <xdr:colOff>8374</xdr:colOff>
      <xdr:row>19</xdr:row>
      <xdr:rowOff>238485</xdr:rowOff>
    </xdr:to>
    <xdr:pic>
      <xdr:nvPicPr>
        <xdr:cNvPr id="742" name="5-stars">
          <a:extLst>
            <a:ext uri="{FF2B5EF4-FFF2-40B4-BE49-F238E27FC236}">
              <a16:creationId xmlns:a16="http://schemas.microsoft.com/office/drawing/2014/main" id="{00000000-0008-0000-0100-0000E602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0"/>
        <a:srcRect l="36227" t="28886" r="4676" b="23891"/>
        <a:stretch/>
      </xdr:blipFill>
      <xdr:spPr>
        <a:xfrm>
          <a:off x="649111" y="6258278"/>
          <a:ext cx="1188000" cy="185921"/>
        </a:xfrm>
        <a:prstGeom prst="rect">
          <a:avLst/>
        </a:prstGeom>
      </xdr:spPr>
    </xdr:pic>
    <xdr:clientData/>
  </xdr:twoCellAnchor>
  <xdr:twoCellAnchor>
    <xdr:from>
      <xdr:col>6</xdr:col>
      <xdr:colOff>6349</xdr:colOff>
      <xdr:row>1</xdr:row>
      <xdr:rowOff>0</xdr:rowOff>
    </xdr:from>
    <xdr:to>
      <xdr:col>10</xdr:col>
      <xdr:colOff>28652</xdr:colOff>
      <xdr:row>3</xdr:row>
      <xdr:rowOff>137132</xdr:rowOff>
    </xdr:to>
    <xdr:grpSp>
      <xdr:nvGrpSpPr>
        <xdr:cNvPr id="7" name="star banners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5711824" y="161925"/>
          <a:ext cx="3946603" cy="803882"/>
          <a:chOff x="4862475" y="132450"/>
          <a:chExt cx="3758853" cy="798940"/>
        </a:xfrm>
      </xdr:grpSpPr>
      <xdr:pic>
        <xdr:nvPicPr>
          <xdr:cNvPr id="9" name="0-stars banner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67275" y="142875"/>
            <a:ext cx="3754053" cy="788515"/>
          </a:xfrm>
          <a:prstGeom prst="rect">
            <a:avLst/>
          </a:prstGeom>
        </xdr:spPr>
      </xdr:pic>
      <xdr:pic>
        <xdr:nvPicPr>
          <xdr:cNvPr id="10" name="1-stars banner" hidden="1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2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64875" y="140475"/>
            <a:ext cx="3754053" cy="788515"/>
          </a:xfrm>
          <a:prstGeom prst="rect">
            <a:avLst/>
          </a:prstGeom>
        </xdr:spPr>
      </xdr:pic>
      <xdr:pic>
        <xdr:nvPicPr>
          <xdr:cNvPr id="12" name="2-stars banner" hidden="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3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62475" y="132450"/>
            <a:ext cx="3754053" cy="788515"/>
          </a:xfrm>
          <a:prstGeom prst="rect">
            <a:avLst/>
          </a:prstGeom>
        </xdr:spPr>
      </xdr:pic>
      <xdr:pic>
        <xdr:nvPicPr>
          <xdr:cNvPr id="14" name="3-stars banner" hidden="1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4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63326" y="133692"/>
            <a:ext cx="3751488" cy="788515"/>
          </a:xfrm>
          <a:prstGeom prst="rect">
            <a:avLst/>
          </a:prstGeom>
        </xdr:spPr>
      </xdr:pic>
      <xdr:pic>
        <xdr:nvPicPr>
          <xdr:cNvPr id="16" name="4-stars banner" hidden="1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5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65208" y="135336"/>
            <a:ext cx="3751488" cy="788515"/>
          </a:xfrm>
          <a:prstGeom prst="rect">
            <a:avLst/>
          </a:prstGeom>
        </xdr:spPr>
      </xdr:pic>
      <xdr:pic>
        <xdr:nvPicPr>
          <xdr:cNvPr id="18" name="5-stars banner" hidden="1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6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64023" y="140319"/>
            <a:ext cx="3751490" cy="783525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28575</xdr:rowOff>
    </xdr:from>
    <xdr:to>
      <xdr:col>1</xdr:col>
      <xdr:colOff>302430</xdr:colOff>
      <xdr:row>40</xdr:row>
      <xdr:rowOff>39158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877175"/>
          <a:ext cx="540555" cy="1325033"/>
        </a:xfrm>
        <a:prstGeom prst="rect">
          <a:avLst/>
        </a:prstGeom>
      </xdr:spPr>
    </xdr:pic>
    <xdr:clientData/>
  </xdr:twoCellAnchor>
  <xdr:twoCellAnchor editAs="oneCell">
    <xdr:from>
      <xdr:col>0</xdr:col>
      <xdr:colOff>112185</xdr:colOff>
      <xdr:row>40</xdr:row>
      <xdr:rowOff>19050</xdr:rowOff>
    </xdr:from>
    <xdr:to>
      <xdr:col>1</xdr:col>
      <xdr:colOff>220604</xdr:colOff>
      <xdr:row>46</xdr:row>
      <xdr:rowOff>22066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185" y="9182100"/>
          <a:ext cx="346544" cy="137461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16</xdr:row>
          <xdr:rowOff>19050</xdr:rowOff>
        </xdr:from>
        <xdr:to>
          <xdr:col>31</xdr:col>
          <xdr:colOff>390525</xdr:colOff>
          <xdr:row>18</xdr:row>
          <xdr:rowOff>47625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D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Adult Points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180975</xdr:colOff>
          <xdr:row>16</xdr:row>
          <xdr:rowOff>19050</xdr:rowOff>
        </xdr:from>
        <xdr:to>
          <xdr:col>33</xdr:col>
          <xdr:colOff>361950</xdr:colOff>
          <xdr:row>18</xdr:row>
          <xdr:rowOff>47625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D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Child Points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76200</xdr:colOff>
          <xdr:row>15</xdr:row>
          <xdr:rowOff>66675</xdr:rowOff>
        </xdr:from>
        <xdr:to>
          <xdr:col>28</xdr:col>
          <xdr:colOff>342900</xdr:colOff>
          <xdr:row>16</xdr:row>
          <xdr:rowOff>123825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D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to Adult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228600</xdr:colOff>
          <xdr:row>15</xdr:row>
          <xdr:rowOff>66675</xdr:rowOff>
        </xdr:from>
        <xdr:to>
          <xdr:col>31</xdr:col>
          <xdr:colOff>190500</xdr:colOff>
          <xdr:row>16</xdr:row>
          <xdr:rowOff>123825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D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to Child</a:t>
              </a:r>
            </a:p>
          </xdr:txBody>
        </xdr:sp>
        <xdr:clientData fPrintsWithSheet="0"/>
      </xdr:twoCellAnchor>
    </mc:Choice>
    <mc:Fallback/>
  </mc:AlternateContent>
</xdr:wsDr>
</file>

<file path=xl/tables/tableSingleCells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34" xr6:uid="{1DA3FBD3-0F8A-4DD2-B790-75DDA814CA1A}" r="G2" connectionId="0">
    <xmlCellPr id="1" xr6:uid="{B7440955-A6C5-4FF3-BAAD-C4125DB1C7B8}" uniqueName="Test_Year">
      <xmlPr mapId="7" xpath="/MAKE/GENERAL/VEHICLE_SPECIFICATION/Test_Year" xmlDataType="integer"/>
    </xmlCellPr>
  </singleXmlCell>
  <singleXmlCell id="35" xr6:uid="{99658B93-C94B-4C89-8ADB-896B607C8C66}" r="C4" connectionId="0">
    <xmlCellPr id="1" xr6:uid="{A971FAA9-2592-4417-BF56-A59D9EE22E22}" uniqueName="Make">
      <xmlPr mapId="7" xpath="/MAKE/GENERAL/VEHICLE_SPECIFICATION/Make" xmlDataType="string"/>
    </xmlCellPr>
  </singleXmlCell>
  <singleXmlCell id="39" xr6:uid="{10166BA0-781A-4307-9FA6-E0A37B573EF5}" r="C5" connectionId="0">
    <xmlCellPr id="1" xr6:uid="{019C96D4-E7F7-47AC-84CA-45A210A04111}" uniqueName="Make_Model">
      <xmlPr mapId="7" xpath="/MAKE/GENERAL/VEHICLE_SPECIFICATION/Make_Model" xmlDataType="string"/>
    </xmlCellPr>
  </singleXmlCell>
  <singleXmlCell id="40" xr6:uid="{0EB83FC6-8DDE-4642-B7D0-5B2D7FB1074B}" r="G3" connectionId="0">
    <xmlCellPr id="1" xr6:uid="{48CF439D-93A9-4ECD-B86B-A90898244978}" uniqueName="BASE_OR_OPTIONAL">
      <xmlPr mapId="7" xpath="/MAKE/GENERAL/VEHICLE_SPECIFICATION/BASE_OR_OPTIONAL" xmlDataType="anyType"/>
    </xmlCellPr>
  </singleXmlCell>
  <singleXmlCell id="41" xr6:uid="{6897C441-B19E-4779-957E-96D3836FEF78}" r="C6" connectionId="0">
    <xmlCellPr id="1" xr6:uid="{9369F97C-62A7-4541-B366-F52D2C0C6992}" uniqueName="Start_VIN">
      <xmlPr mapId="7" xpath="/MAKE/GENERAL/VEHICLE_SPECIFICATION/Start_VIN" xmlDataType="string"/>
    </xmlCellPr>
  </singleXmlCell>
  <singleXmlCell id="42" xr6:uid="{0B29BF3C-53F7-4073-9F12-5610859520AC}" r="C12" connectionId="0">
    <xmlCellPr id="1" xr6:uid="{658D511E-8955-4F85-A4F8-038E98A88F92}" uniqueName="Full_tested_model">
      <xmlPr mapId="7" xpath="/MAKE/GENERAL/VEHICLE_SPECIFICATION/Full_tested_model" xmlDataType="string"/>
    </xmlCellPr>
  </singleXmlCell>
  <singleXmlCell id="44" xr6:uid="{BE53F008-6E6D-4AED-962F-ED70F249B8ED}" r="C7" connectionId="0">
    <xmlCellPr id="1" xr6:uid="{A0154A67-2D70-41F4-812D-92A74631CA35}" uniqueName="Kerb_weight">
      <xmlPr mapId="7" xpath="/MAKE/GENERAL/VEHICLE_SPECIFICATION/Kerb_weight" xmlDataType="integer"/>
    </xmlCellPr>
  </singleXmlCell>
  <singleXmlCell id="45" xr6:uid="{8B0933F5-E6B8-4101-9D68-CC165B50BDB7}" r="C8" connectionId="0">
    <xmlCellPr id="1" xr6:uid="{B7662586-2BED-4EEB-893E-5F7C4E08ACD8}" uniqueName="Engine">
      <xmlPr mapId="7" xpath="/MAKE/GENERAL/VEHICLE_SPECIFICATION/Engine" xmlDataType="string"/>
    </xmlCellPr>
  </singleXmlCell>
  <singleXmlCell id="46" xr6:uid="{CA463C35-2129-495D-8CEC-F5FF937A4913}" r="C9" connectionId="0">
    <xmlCellPr id="1" xr6:uid="{8365F77F-8B2A-4BA5-9C76-18BA126ECC23}" uniqueName="Trim_level">
      <xmlPr mapId="7" xpath="/MAKE/GENERAL/VEHICLE_SPECIFICATION/Trim_level" xmlDataType="string"/>
    </xmlCellPr>
  </singleXmlCell>
  <singleXmlCell id="47" xr6:uid="{1CB71C4F-6E8D-4218-B3D4-B2AD6D6770FD}" r="C10" connectionId="0">
    <xmlCellPr id="1" xr6:uid="{F3147EA6-AAFD-42FC-A822-31D6013BF2AA}" uniqueName="Name_of_Option_Pack">
      <xmlPr mapId="7" xpath="/MAKE/GENERAL/VEHICLE_SPECIFICATION/Name_of_Option_Pack" xmlDataType="string"/>
    </xmlCellPr>
  </singleXmlCell>
  <singleXmlCell id="48" xr6:uid="{2BCDC7E0-F8C4-440B-B462-95431CA77905}" r="C11" connectionId="0">
    <xmlCellPr id="1" xr6:uid="{9ED80BE6-B385-4800-A6DB-F4ABDCA3C3DF}" uniqueName="Body_type">
      <xmlPr mapId="7" xpath="/MAKE/GENERAL/VEHICLE_SPECIFICATION/Body_type" xmlDataType="string"/>
    </xmlCellPr>
  </singleXmlCell>
  <singleXmlCell id="49" xr6:uid="{2AB65497-3905-4728-B561-EF0C62D81852}" r="C14" connectionId="0">
    <xmlCellPr id="1" xr6:uid="{72E7EFCC-D062-4134-967C-9254C584CD2D}" uniqueName="Hand_of_drive">
      <xmlPr mapId="7" xpath="/MAKE/GENERAL/VEHICLE_SPECIFICATION/Hand_of_drive" xmlDataType="string"/>
    </xmlCellPr>
  </singleXmlCell>
  <singleXmlCell id="50" xr6:uid="{24983F95-21FE-4177-B01D-5624DC5A67E6}" r="C19" connectionId="0">
    <xmlCellPr id="1" xr6:uid="{EE08E4BC-F0C9-4728-A888-5311E591FAE5}" uniqueName="Vehicle_class">
      <xmlPr mapId="7" xpath="/MAKE/GENERAL/VEHICLE_SPECIFICATION/Vehicle_class" xmlDataType="string"/>
    </xmlCellPr>
  </singleXmlCell>
  <singleXmlCell id="52" xr6:uid="{2E38AA5D-D165-47B5-A747-369A8C018E03}" r="C16" connectionId="0">
    <xmlCellPr id="1" xr6:uid="{95C18570-9ECB-42EB-90CB-A8D54C730D52}" uniqueName="Number">
      <xmlPr mapId="7" xpath="/MAKE/GENERAL/VEHICLE_SPECIFICATION/Seating/Row_1/@Number" xmlDataType="integer"/>
    </xmlCellPr>
  </singleXmlCell>
  <singleXmlCell id="122" xr6:uid="{A5202925-0280-413A-AE1C-586C28E789E1}" r="E16" connectionId="0">
    <xmlCellPr id="1" xr6:uid="{BD8DC1A1-5FBC-497B-898E-B86B4B4A9C94}" uniqueName="Fitment">
      <xmlPr mapId="7" xpath="/MAKE/GENERAL/VEHICLE_SPECIFICATION/Seating/Row_1/@Fitment" xmlDataType="string"/>
    </xmlCellPr>
  </singleXmlCell>
  <singleXmlCell id="123" xr6:uid="{58B44915-0379-40E2-84DD-A08CC9181206}" r="C17" connectionId="0">
    <xmlCellPr id="1" xr6:uid="{0881AE20-55E9-4138-B3CF-530D1C5A3370}" uniqueName="Number">
      <xmlPr mapId="7" xpath="/MAKE/GENERAL/VEHICLE_SPECIFICATION/Seating/Row_2/@Number" xmlDataType="integer"/>
    </xmlCellPr>
  </singleXmlCell>
  <singleXmlCell id="124" xr6:uid="{26ECFAE2-5489-41C6-894E-6AC45AB695B4}" r="E17" connectionId="0">
    <xmlCellPr id="1" xr6:uid="{BAE8AFB2-C2B6-4D5A-B5C3-EB723648E309}" uniqueName="Fitment">
      <xmlPr mapId="7" xpath="/MAKE/GENERAL/VEHICLE_SPECIFICATION/Seating/Row_2/@Fitment" xmlDataType="string"/>
    </xmlCellPr>
  </singleXmlCell>
  <singleXmlCell id="125" xr6:uid="{5E69F05D-8ABF-4C70-91EE-51A9FEDFDB2C}" r="C18" connectionId="0">
    <xmlCellPr id="1" xr6:uid="{A488DA0C-8ABD-4941-BE6F-472835709171}" uniqueName="Number">
      <xmlPr mapId="7" xpath="/MAKE/GENERAL/VEHICLE_SPECIFICATION/Seating/Row_3/@Number" xmlDataType="integer"/>
    </xmlCellPr>
  </singleXmlCell>
  <singleXmlCell id="126" xr6:uid="{86347C54-02A9-46DA-8BE0-987A6528711D}" r="E18" connectionId="0">
    <xmlCellPr id="1" xr6:uid="{449FE330-E0E2-46CF-9967-EB5FC7CB30E4}" uniqueName="Fitment">
      <xmlPr mapId="7" xpath="/MAKE/GENERAL/VEHICLE_SPECIFICATION/Seating/Row_3/@Fitment" xmlDataType="string"/>
    </xmlCellPr>
  </singleXmlCell>
  <singleXmlCell id="128" xr6:uid="{071FB6DB-E357-44D5-A342-A57414BD7365}" r="E25" connectionId="0">
    <xmlCellPr id="1" xr6:uid="{B9B7859B-4E3C-4EB6-8631-150C67B3DE13}" uniqueName="Driver">
      <xmlPr mapId="7" xpath="/MAKE/GENERAL/SAFETY_EQUIPMENT/ADULT_OCCUPANT/FRONTAL/frontal_airbag/@Driver" xmlDataType="string"/>
    </xmlCellPr>
  </singleXmlCell>
  <singleXmlCell id="129" xr6:uid="{D7C4E0BB-F214-4A04-9904-BC745DD334CE}" r="F25" connectionId="0">
    <xmlCellPr id="1" xr6:uid="{4C950A0E-A252-46A7-A9A6-E50EF6983C95}" uniqueName="Passenger">
      <xmlPr mapId="7" xpath="/MAKE/GENERAL/SAFETY_EQUIPMENT/ADULT_OCCUPANT/FRONTAL/frontal_airbag/@Passenger" xmlDataType="string"/>
    </xmlCellPr>
  </singleXmlCell>
  <singleXmlCell id="130" xr6:uid="{D01D1724-6238-4190-889A-ECC92320FC3B}" r="G25" connectionId="0">
    <xmlCellPr id="1" xr6:uid="{C3CDB418-3C0A-4878-8F88-673AD9759CF0}" uniqueName="Rear">
      <xmlPr mapId="7" xpath="/MAKE/GENERAL/SAFETY_EQUIPMENT/ADULT_OCCUPANT/FRONTAL/frontal_airbag/@Rear" xmlDataType="string"/>
    </xmlCellPr>
  </singleXmlCell>
  <singleXmlCell id="131" xr6:uid="{C4B8598B-695B-434C-8D78-E454E1F83C4A}" r="H25" connectionId="0">
    <xmlCellPr id="1" xr6:uid="{7972AB2D-7182-4C72-8DFD-8AC5B71C2895}" uniqueName="Row3">
      <xmlPr mapId="7" xpath="/MAKE/GENERAL/SAFETY_EQUIPMENT/ADULT_OCCUPANT/FRONTAL/frontal_airbag/@Row3" xmlDataType="string"/>
    </xmlCellPr>
  </singleXmlCell>
  <singleXmlCell id="132" xr6:uid="{FFA0EFED-6680-41FD-ADB6-643ACCC45A4D}" r="E26" connectionId="0">
    <xmlCellPr id="1" xr6:uid="{37505004-EFF0-411A-92D3-EF2175E41704}" uniqueName="Driver">
      <xmlPr mapId="7" xpath="/MAKE/GENERAL/SAFETY_EQUIPMENT/ADULT_OCCUPANT/FRONTAL/belt_pretensioner/@Driver" xmlDataType="string"/>
    </xmlCellPr>
  </singleXmlCell>
  <singleXmlCell id="133" xr6:uid="{9D6BD088-7B6A-46E2-84C0-27872DAC22A7}" r="F26" connectionId="0">
    <xmlCellPr id="1" xr6:uid="{20510869-9FF2-4EB6-99FB-BB18E7386093}" uniqueName="Passenger">
      <xmlPr mapId="7" xpath="/MAKE/GENERAL/SAFETY_EQUIPMENT/ADULT_OCCUPANT/FRONTAL/belt_pretensioner/@Passenger" xmlDataType="string"/>
    </xmlCellPr>
  </singleXmlCell>
  <singleXmlCell id="134" xr6:uid="{1E3D27F9-1E78-47B7-9745-88925F4AA5B4}" r="G26" connectionId="0">
    <xmlCellPr id="1" xr6:uid="{83C1B4CF-7057-4E56-BB25-9C07C6848889}" uniqueName="Rear">
      <xmlPr mapId="7" xpath="/MAKE/GENERAL/SAFETY_EQUIPMENT/ADULT_OCCUPANT/FRONTAL/belt_pretensioner/@Rear" xmlDataType="string"/>
    </xmlCellPr>
  </singleXmlCell>
  <singleXmlCell id="135" xr6:uid="{4668DEB0-2A76-4052-89FE-089EBEAF9E8D}" r="H26" connectionId="0">
    <xmlCellPr id="1" xr6:uid="{E60FCAC4-89D3-4A51-8997-1F1EBB13E311}" uniqueName="Row3">
      <xmlPr mapId="7" xpath="/MAKE/GENERAL/SAFETY_EQUIPMENT/ADULT_OCCUPANT/FRONTAL/belt_pretensioner/@Row3" xmlDataType="string"/>
    </xmlCellPr>
  </singleXmlCell>
  <singleXmlCell id="136" xr6:uid="{77E27DD1-9547-4A5E-9934-E18A8EF0A31F}" r="E27" connectionId="0">
    <xmlCellPr id="1" xr6:uid="{B12CA45F-5F01-4A42-8EE8-4F2FF725F338}" uniqueName="Driver">
      <xmlPr mapId="7" xpath="/MAKE/GENERAL/SAFETY_EQUIPMENT/ADULT_OCCUPANT/FRONTAL/belt_loadlimiter/@Driver" xmlDataType="string"/>
    </xmlCellPr>
  </singleXmlCell>
  <singleXmlCell id="137" xr6:uid="{400F6AD6-E2D3-4D06-B6E0-483A4A48C6B6}" r="F27" connectionId="0">
    <xmlCellPr id="1" xr6:uid="{94360368-F837-40BB-899D-4F8016E996A7}" uniqueName="Passenger">
      <xmlPr mapId="7" xpath="/MAKE/GENERAL/SAFETY_EQUIPMENT/ADULT_OCCUPANT/FRONTAL/belt_loadlimiter/@Passenger" xmlDataType="string"/>
    </xmlCellPr>
  </singleXmlCell>
  <singleXmlCell id="138" xr6:uid="{387F06E1-915D-4C19-82AE-F4ADF4DF5334}" r="G27" connectionId="0">
    <xmlCellPr id="1" xr6:uid="{785F357E-B218-45F5-9413-5C99E4D17266}" uniqueName="Rear">
      <xmlPr mapId="7" xpath="/MAKE/GENERAL/SAFETY_EQUIPMENT/ADULT_OCCUPANT/FRONTAL/belt_loadlimiter/@Rear" xmlDataType="string"/>
    </xmlCellPr>
  </singleXmlCell>
  <singleXmlCell id="139" xr6:uid="{FF9818D6-3874-4F19-98FA-1EC8802F008B}" r="H27" connectionId="0">
    <xmlCellPr id="1" xr6:uid="{8DA09F2A-7841-46F9-B8A3-67DFBA29ED2D}" uniqueName="Row3">
      <xmlPr mapId="7" xpath="/MAKE/GENERAL/SAFETY_EQUIPMENT/ADULT_OCCUPANT/FRONTAL/belt_loadlimiter/@Row3" xmlDataType="string"/>
    </xmlCellPr>
  </singleXmlCell>
  <singleXmlCell id="140" xr6:uid="{BCADB685-3721-4857-95E1-C3E831B3F013}" r="E28" connectionId="0">
    <xmlCellPr id="1" xr6:uid="{6EA0E63F-D1A2-473A-B960-2A30380E594D}" uniqueName="Driver">
      <xmlPr mapId="7" xpath="/MAKE/GENERAL/SAFETY_EQUIPMENT/ADULT_OCCUPANT/FRONTAL/knee_airbag/@Driver" xmlDataType="string"/>
    </xmlCellPr>
  </singleXmlCell>
  <singleXmlCell id="141" xr6:uid="{28FEBCA5-BD84-40E1-B343-8145CCA687D0}" r="F28" connectionId="0">
    <xmlCellPr id="1" xr6:uid="{80ADF137-E294-44B7-8E9E-FA39E62AE908}" uniqueName="Passenger">
      <xmlPr mapId="7" xpath="/MAKE/GENERAL/SAFETY_EQUIPMENT/ADULT_OCCUPANT/FRONTAL/knee_airbag/@Passenger" xmlDataType="string"/>
    </xmlCellPr>
  </singleXmlCell>
  <singleXmlCell id="142" xr6:uid="{472B4051-3F7A-4AD6-B7BF-CD82BE23D44A}" r="G28" connectionId="0">
    <xmlCellPr id="1" xr6:uid="{4B3876EC-46B3-4ED6-A0EA-48433868BD1C}" uniqueName="Rear">
      <xmlPr mapId="7" xpath="/MAKE/GENERAL/SAFETY_EQUIPMENT/ADULT_OCCUPANT/FRONTAL/knee_airbag/@Rear" xmlDataType="string"/>
    </xmlCellPr>
  </singleXmlCell>
  <singleXmlCell id="143" xr6:uid="{54733BED-6908-4576-B4AF-0B2B458B933D}" r="H28" connectionId="0">
    <xmlCellPr id="1" xr6:uid="{16B99CFC-F9CE-4045-B585-EBCB7530FF14}" uniqueName="Row3">
      <xmlPr mapId="7" xpath="/MAKE/GENERAL/SAFETY_EQUIPMENT/ADULT_OCCUPANT/FRONTAL/knee_airbag/@Row3" xmlDataType="string"/>
    </xmlCellPr>
  </singleXmlCell>
  <singleXmlCell id="144" xr6:uid="{6866A82A-B2A5-4DFA-B11C-C10FD5231990}" r="E30" connectionId="0">
    <xmlCellPr id="1" xr6:uid="{24239CDA-66A4-45A0-832E-984ED03F0947}" uniqueName="Driver">
      <xmlPr mapId="7" xpath="/MAKE/GENERAL/SAFETY_EQUIPMENT/ADULT_OCCUPANT/SIDE/side_head_airbag/@Driver" xmlDataType="string"/>
    </xmlCellPr>
  </singleXmlCell>
  <singleXmlCell id="145" xr6:uid="{9B9198FF-CEFC-476F-A495-AADCAC3BEEE9}" r="F30" connectionId="0">
    <xmlCellPr id="1" xr6:uid="{228CE151-B1D7-4ACF-A1FA-B590BF028892}" uniqueName="Passenger">
      <xmlPr mapId="7" xpath="/MAKE/GENERAL/SAFETY_EQUIPMENT/ADULT_OCCUPANT/SIDE/side_head_airbag/@Passenger" xmlDataType="string"/>
    </xmlCellPr>
  </singleXmlCell>
  <singleXmlCell id="146" xr6:uid="{DA909A77-AC34-4F35-8D87-BD856658DBD0}" r="G30" connectionId="0">
    <xmlCellPr id="1" xr6:uid="{6283BCE0-C7A2-4203-A2E2-A0974BECF2F0}" uniqueName="Rear">
      <xmlPr mapId="7" xpath="/MAKE/GENERAL/SAFETY_EQUIPMENT/ADULT_OCCUPANT/SIDE/side_head_airbag/@Rear" xmlDataType="string"/>
    </xmlCellPr>
  </singleXmlCell>
  <singleXmlCell id="147" xr6:uid="{E58DE6AF-2A5D-4D31-8AC3-758228DBEFA3}" r="H30" connectionId="0">
    <xmlCellPr id="1" xr6:uid="{F299D285-344B-440D-9C41-DD4A82F7A993}" uniqueName="Row3">
      <xmlPr mapId="7" xpath="/MAKE/GENERAL/SAFETY_EQUIPMENT/ADULT_OCCUPANT/SIDE/side_head_airbag/@Row3" xmlDataType="string"/>
    </xmlCellPr>
  </singleXmlCell>
  <singleXmlCell id="148" xr6:uid="{431C38EE-FCAC-4AD0-B2FC-E7650D018D92}" r="E31" connectionId="0">
    <xmlCellPr id="1" xr6:uid="{6CD84E51-9A97-4A09-A8FF-F98E8D03A84B}" uniqueName="Driver">
      <xmlPr mapId="7" xpath="/MAKE/GENERAL/SAFETY_EQUIPMENT/ADULT_OCCUPANT/SIDE/side_chest_airbag/@Driver" xmlDataType="string"/>
    </xmlCellPr>
  </singleXmlCell>
  <singleXmlCell id="149" xr6:uid="{EAE33029-0F15-47DA-813C-0456785B4BC8}" r="F31" connectionId="0">
    <xmlCellPr id="1" xr6:uid="{CE2B6F53-B3C1-4C9A-AF9E-1E9C11F7A994}" uniqueName="Passenger">
      <xmlPr mapId="7" xpath="/MAKE/GENERAL/SAFETY_EQUIPMENT/ADULT_OCCUPANT/SIDE/side_chest_airbag/@Passenger" xmlDataType="string"/>
    </xmlCellPr>
  </singleXmlCell>
  <singleXmlCell id="150" xr6:uid="{16605872-64E7-4C2A-B036-29C2BA9C424D}" r="G31" connectionId="0">
    <xmlCellPr id="1" xr6:uid="{DEF6AA32-7AA7-4EF5-A9D3-522DB9980CD4}" uniqueName="Rear">
      <xmlPr mapId="7" xpath="/MAKE/GENERAL/SAFETY_EQUIPMENT/ADULT_OCCUPANT/SIDE/side_chest_airbag/@Rear" xmlDataType="string"/>
    </xmlCellPr>
  </singleXmlCell>
  <singleXmlCell id="151" xr6:uid="{694606CF-B441-424D-AB19-CE96A1DC361B}" r="H31" connectionId="0">
    <xmlCellPr id="1" xr6:uid="{9375FC76-55F6-4F2A-A3C2-A0AD50C028C1}" uniqueName="Row3">
      <xmlPr mapId="7" xpath="/MAKE/GENERAL/SAFETY_EQUIPMENT/ADULT_OCCUPANT/SIDE/side_chest_airbag/@Row3" xmlDataType="string"/>
    </xmlCellPr>
  </singleXmlCell>
  <singleXmlCell id="152" xr6:uid="{2C904067-2D5E-4719-BA4B-4879060A03EB}" r="E32" connectionId="0">
    <xmlCellPr id="1" xr6:uid="{349D8A3A-9FDE-4E7E-AEBC-BB0F777CD855}" uniqueName="Driver">
      <xmlPr mapId="7" xpath="/MAKE/GENERAL/SAFETY_EQUIPMENT/ADULT_OCCUPANT/SIDE/side_pelvis_airbag/@Driver" xmlDataType="string"/>
    </xmlCellPr>
  </singleXmlCell>
  <singleXmlCell id="153" xr6:uid="{45650DE4-C791-4E33-A201-935B2C1F0F4A}" r="F32" connectionId="0">
    <xmlCellPr id="1" xr6:uid="{261CB555-2D5C-41F0-AFB0-AC2D0E324671}" uniqueName="Passenger">
      <xmlPr mapId="7" xpath="/MAKE/GENERAL/SAFETY_EQUIPMENT/ADULT_OCCUPANT/SIDE/side_pelvis_airbag/@Passenger" xmlDataType="string"/>
    </xmlCellPr>
  </singleXmlCell>
  <singleXmlCell id="154" xr6:uid="{BB8DC274-7A18-4BAA-91DF-91CB7E01DEAD}" r="G32" connectionId="0">
    <xmlCellPr id="1" xr6:uid="{73E08167-E682-4060-9B0C-C2783B2264FA}" uniqueName="Rear">
      <xmlPr mapId="7" xpath="/MAKE/GENERAL/SAFETY_EQUIPMENT/ADULT_OCCUPANT/SIDE/side_pelvis_airbag/@Rear" xmlDataType="string"/>
    </xmlCellPr>
  </singleXmlCell>
  <singleXmlCell id="155" xr6:uid="{FEBB38C7-FC42-47AB-888D-69345321E118}" r="H32" connectionId="0">
    <xmlCellPr id="1" xr6:uid="{BD80772A-8C6D-4DD2-85D9-AB6900860934}" uniqueName="Row3">
      <xmlPr mapId="7" xpath="/MAKE/GENERAL/SAFETY_EQUIPMENT/ADULT_OCCUPANT/SIDE/side_pelvis_airbag/@Row3" xmlDataType="string"/>
    </xmlCellPr>
  </singleXmlCell>
  <singleXmlCell id="156" xr6:uid="{4A312D77-F166-4E90-A49C-782D0A10DD88}" r="E33" connectionId="0">
    <xmlCellPr id="1" xr6:uid="{058ABC79-7687-4A14-8513-998843E9C53D}" uniqueName="Driver">
      <xmlPr mapId="7" xpath="/MAKE/GENERAL/SAFETY_EQUIPMENT/ADULT_OCCUPANT/SIDE/centre_airbag/@Driver" xmlDataType="string"/>
    </xmlCellPr>
  </singleXmlCell>
  <singleXmlCell id="157" xr6:uid="{2A58A12D-3B74-4801-8254-FA92AA4CB790}" r="F33" connectionId="0">
    <xmlCellPr id="1" xr6:uid="{5692C1E4-F0E8-4DE0-A303-F3752161903E}" uniqueName="Passenger">
      <xmlPr mapId="7" xpath="/MAKE/GENERAL/SAFETY_EQUIPMENT/ADULT_OCCUPANT/SIDE/centre_airbag/@Passenger" xmlDataType="string"/>
    </xmlCellPr>
  </singleXmlCell>
  <singleXmlCell id="160" xr6:uid="{4C00F4DD-590D-4121-AFEB-FC33DFC63F07}" r="E52" connectionId="0">
    <xmlCellPr id="1" xr6:uid="{4447CF75-B451-445D-88FC-DDFDF69C75C8}" uniqueName="Fitment_on_range">
      <xmlPr mapId="7" xpath="/MAKE/GENERAL/SAFETY_EQUIPMENT/PEDESTRIAN/ACTIVE_PEDESTRIAN_SYSTEM/deployable_bonnet/@Fitment_on_range" xmlDataType="string"/>
    </xmlCellPr>
  </singleXmlCell>
  <singleXmlCell id="161" xr6:uid="{767D6975-57B3-42B8-9300-3340C517CD44}" r="E53" connectionId="0">
    <xmlCellPr id="1" xr6:uid="{2130C993-3724-451F-B106-4FFC18C6246C}" uniqueName="Fitment_on_range">
      <xmlPr mapId="7" xpath="/MAKE/GENERAL/SAFETY_EQUIPMENT/PEDESTRIAN/ACTIVE_PEDESTRIAN_SYSTEM/pedestrian_airbag/@Fitment_on_range" xmlDataType="string"/>
    </xmlCellPr>
  </singleXmlCell>
  <singleXmlCell id="162" xr6:uid="{F81923B6-0585-40DB-B25F-4313F48C2619}" r="E57" connectionId="0">
    <xmlCellPr id="1" xr6:uid="{257D796D-9D56-4F35-BDA9-F428AB0CAE53}" uniqueName="Fitment">
      <xmlPr mapId="7" xpath="/MAKE/GENERAL/SAFETY_EQUIPMENT/PEDESTRIAN/AEB_Pedestrian/@Fitment" xmlDataType="string"/>
    </xmlCellPr>
  </singleXmlCell>
  <singleXmlCell id="163" xr6:uid="{7B5B782D-C067-427B-A0C9-DC70DACF6A8E}" r="E58" connectionId="0">
    <xmlCellPr id="1" xr6:uid="{9F56BCD3-B009-47F5-B953-DE10DA1BB993}" uniqueName="Fitment">
      <xmlPr mapId="7" xpath="/MAKE/GENERAL/SAFETY_EQUIPMENT/PEDESTRIAN/AEB_Cyclist/@Fitment" xmlDataType="string"/>
    </xmlCellPr>
  </singleXmlCell>
  <singleXmlCell id="164" xr6:uid="{45259C55-764B-482F-8640-DE0A72BDC147}" r="E60" connectionId="0">
    <xmlCellPr id="1" xr6:uid="{F0043AF8-8A80-4D33-892D-7103FD1A3E25}" uniqueName="Fitment">
      <xmlPr mapId="7" xpath="/MAKE/GENERAL/SAFETY_EQUIPMENT/PEDESTRIAN/AEB_Reverse/@Fitment" xmlDataType="string"/>
    </xmlCellPr>
  </singleXmlCell>
  <singleXmlCell id="165" xr6:uid="{E9139C71-667F-49B2-AF76-57682F20866A}" r="E64" connectionId="0">
    <xmlCellPr id="1" xr6:uid="{80D4F919-F55E-45F9-99E1-87CFDAA41F76}" uniqueName="Fitment_on_range">
      <xmlPr mapId="7" xpath="/MAKE/GENERAL/SAFETY_EQUIPMENT/SAFETY_ASSIST/SAFETY_ASSIST_SYSTEMS/SBR/driver/@Fitment_on_range" xmlDataType="string"/>
    </xmlCellPr>
  </singleXmlCell>
  <singleXmlCell id="166" xr6:uid="{9554A520-5CA4-4CA7-B05B-597C9BA257AB}" r="F64" connectionId="0">
    <xmlCellPr id="1" xr6:uid="{28480829-3E32-4553-8B56-E15356C3F50C}" uniqueName="Fitment_on_range">
      <xmlPr mapId="7" xpath="/MAKE/GENERAL/SAFETY_EQUIPMENT/SAFETY_ASSIST/SAFETY_ASSIST_SYSTEMS/SBR/front_passenger/@Fitment_on_range" xmlDataType="string"/>
    </xmlCellPr>
  </singleXmlCell>
  <singleXmlCell id="167" xr6:uid="{A4A35F59-A5CB-4B8B-9272-D37258A6D27A}" r="G64" connectionId="0">
    <xmlCellPr id="1" xr6:uid="{352A8C5D-BCE6-4E11-B6CD-0A5043AA5EA8}" uniqueName="Fitment_on_range">
      <xmlPr mapId="7" xpath="/MAKE/GENERAL/SAFETY_EQUIPMENT/SAFETY_ASSIST/SAFETY_ASSIST_SYSTEMS/SBR/rear_passenger/@Fitment_on_range" xmlDataType="string"/>
    </xmlCellPr>
  </singleXmlCell>
  <singleXmlCell id="168" xr6:uid="{D0D03DCA-6018-4601-9C46-3E917790A75C}" r="H64" connectionId="0">
    <xmlCellPr id="1" xr6:uid="{50800A89-2D9F-4D6D-95E7-EE041E18B170}" uniqueName="Fitment_on_range">
      <xmlPr mapId="7" xpath="/MAKE/GENERAL/SAFETY_EQUIPMENT/SAFETY_ASSIST/SAFETY_ASSIST_SYSTEMS/SBR/row_3/@Fitment_on_range" xmlDataType="string"/>
    </xmlCellPr>
  </singleXmlCell>
  <singleXmlCell id="169" xr6:uid="{2ECF7999-9FA3-4B81-B882-FE10F3030D25}" r="E65" connectionId="0">
    <xmlCellPr id="1" xr6:uid="{5B0F3687-FA86-44B0-B00A-0A8CD1224D34}" uniqueName="Fitment_on_range">
      <xmlPr mapId="7" xpath="/MAKE/GENERAL/SAFETY_EQUIPMENT/SAFETY_ASSIST/SAFETY_ASSIST_SYSTEMS/Driver_Monitoring/@Fitment_on_range" xmlDataType="string"/>
    </xmlCellPr>
  </singleXmlCell>
  <singleXmlCell id="170" xr6:uid="{69D49A2A-C899-4380-ACE5-723367431F88}" r="E67" connectionId="0">
    <xmlCellPr id="1" xr6:uid="{D8394ADF-34D7-4C93-BAA6-74C650937518}" uniqueName="Fitment_on_range">
      <xmlPr mapId="7" xpath="/MAKE/GENERAL/SAFETY_EQUIPMENT/SAFETY_ASSIST/SAFETY_ASSIST_SYSTEMS/AEB_Car-to_Car/@Fitment_on_range" xmlDataType="string"/>
    </xmlCellPr>
  </singleXmlCell>
  <singleXmlCell id="171" xr6:uid="{41923712-F31B-4CAD-ABC4-5F9D397EDAE2}" r="E68" connectionId="0">
    <xmlCellPr id="1" xr6:uid="{277DFD57-6EA0-4C30-9684-51F3F38E73BB}" uniqueName="Fitment_on_range">
      <xmlPr mapId="7" xpath="/MAKE/GENERAL/SAFETY_EQUIPMENT/SAFETY_ASSIST/SAFETY_ASSIST_SYSTEMS/Speed_Assist_System/@Fitment_on_range" xmlDataType="string"/>
    </xmlCellPr>
  </singleXmlCell>
  <singleXmlCell id="174" xr6:uid="{43577DCF-4A25-416F-8784-768E6AFE027E}" r="E69" connectionId="0">
    <xmlCellPr id="1" xr6:uid="{F1B3B410-224B-4627-A3FA-6FB663666B28}" uniqueName="Fitment_on_range">
      <xmlPr mapId="7" xpath="/MAKE/GENERAL/SAFETY_EQUIPMENT/SAFETY_ASSIST/SAFETY_ASSIST_SYSTEMS/Lane_Assist_System/@Fitment_on_range" xmlDataType="string"/>
    </xmlCellPr>
  </singleXmlCell>
  <singleXmlCell id="175" xr6:uid="{EDF78615-34F2-419E-AEAB-388BA3CF5427}" r="G33" connectionId="0">
    <xmlCellPr id="1" xr6:uid="{50BA34AB-C99A-41DD-8119-5E97260FE90A}" uniqueName="Fitment_on_range">
      <xmlPr mapId="7" xpath="/MAKE/GENERAL/SAFETY_EQUIPMENT/ADULT_OCCUPANT/FARSIDE/farside_restraint_system/@Fitment_on_range" xmlDataType="string"/>
    </xmlCellPr>
  </singleXmlCell>
  <singleXmlCell id="176" xr6:uid="{6730C6D5-346F-4406-9BF6-1A3A56D83F8C}" r="E35" connectionId="0">
    <xmlCellPr id="1" xr6:uid="{B4B1CF63-E87F-4E29-B48A-C56FD710A57F}" uniqueName="Fitment_on_range">
      <xmlPr mapId="7" xpath="/MAKE/GENERAL/SAFETY_EQUIPMENT/ADULT_OCCUPANT/RESCUE/advanced_ecall/@Fitment_on_range" xmlDataType="string"/>
    </xmlCellPr>
  </singleXmlCell>
  <singleXmlCell id="177" xr6:uid="{B94E06FF-BE4E-4247-A2E4-AF2664A45303}" r="E36" connectionId="0">
    <xmlCellPr id="1" xr6:uid="{B875D742-1EC2-4D7D-B36A-B1B02172C9D4}" uniqueName="Fitment_on_range">
      <xmlPr mapId="7" xpath="/MAKE/GENERAL/SAFETY_EQUIPMENT/ADULT_OCCUPANT/RESCUE/multi-collision_brake/@Fitment_on_range" xmlDataType="string"/>
    </xmlCellPr>
  </singleXmlCell>
  <singleXmlCell id="178" xr6:uid="{A457BF9D-56CB-47A6-980F-BE1E8147C806}" r="G4" connectionId="0">
    <xmlCellPr id="1" xr6:uid="{E8097FE2-EC9B-4779-9710-B94AC2299B78}" uniqueName="Frontal_MPDB_test">
      <xmlPr mapId="7" xpath="/MAKE/GENERAL/VEHICLE_SPECIFICATION/Frontal_MPDB_test" xmlDataType="string"/>
    </xmlCellPr>
  </singleXmlCell>
  <singleXmlCell id="179" xr6:uid="{DB8B7DBF-4113-4227-B7AB-4A9BEBD30F25}" r="G5" connectionId="0">
    <xmlCellPr id="1" xr6:uid="{0FB58C5F-07C9-410D-9514-EF60ABD4F489}" uniqueName="Frontal_FW_test">
      <xmlPr mapId="7" xpath="/MAKE/GENERAL/VEHICLE_SPECIFICATION/Frontal_FW_test" xmlDataType="string"/>
    </xmlCellPr>
  </singleXmlCell>
  <singleXmlCell id="180" xr6:uid="{47C431DD-F3FA-4294-BB49-B10074246C03}" r="G6" connectionId="0">
    <xmlCellPr id="1" xr6:uid="{1B042E55-50D4-42E8-9BDE-2A5B8700C2E3}" uniqueName="Side_MDB_test">
      <xmlPr mapId="7" xpath="/MAKE/GENERAL/VEHICLE_SPECIFICATION/Side_MDB_test" xmlDataType="string"/>
    </xmlCellPr>
  </singleXmlCell>
  <singleXmlCell id="181" xr6:uid="{0E7D76E9-F4D2-41B4-A6F5-F46DA7C7AC7E}" r="G7" connectionId="0">
    <xmlCellPr id="1" xr6:uid="{83C25D61-FD2F-428D-8010-14AD6B28B1C2}" uniqueName="Side_Pole_test">
      <xmlPr mapId="7" xpath="/MAKE/GENERAL/VEHICLE_SPECIFICATION/Side_Pole_test" xmlDataType="string"/>
    </xmlCellPr>
  </singleXmlCell>
  <singleXmlCell id="182" xr6:uid="{02E96A64-C491-4E86-8B09-893F1241B412}" r="G9" connectionId="0">
    <xmlCellPr id="1" xr6:uid="{718851DE-9456-469C-A95F-78A50E97F8FA}" uniqueName="Whiplash_tests">
      <xmlPr mapId="7" xpath="/MAKE/GENERAL/VEHICLE_SPECIFICATION/Whiplash_tests" xmlDataType="string"/>
    </xmlCellPr>
  </singleXmlCell>
  <singleXmlCell id="183" xr6:uid="{F17EBF3B-82F3-4361-851C-38663939EC1F}" r="G11" connectionId="0">
    <xmlCellPr id="1" xr6:uid="{80A2730E-1CEC-4383-A040-03BAC14192FB}" uniqueName="AEB_VRU_Pedestrian_Tests">
      <xmlPr mapId="7" xpath="/MAKE/GENERAL/VEHICLE_SPECIFICATION/AEB_VRU_Pedestrian_Tests" xmlDataType="anyType"/>
    </xmlCellPr>
  </singleXmlCell>
  <singleXmlCell id="184" xr6:uid="{E369E0D1-87AE-4080-A535-BC59DAFC0152}" r="G10" connectionId="0">
    <xmlCellPr id="1" xr6:uid="{94AA7717-07E1-47AA-A262-33BDD2440558}" uniqueName="Pedestrian_tests">
      <xmlPr mapId="7" xpath="/MAKE/GENERAL/VEHICLE_SPECIFICATION/Pedestrian_tests" xmlDataType="string"/>
    </xmlCellPr>
  </singleXmlCell>
  <singleXmlCell id="185" xr6:uid="{DA5D6699-30FF-45DA-A83E-A4C856016622}" r="G12" connectionId="0">
    <xmlCellPr id="1" xr6:uid="{9123EC46-7D45-4EAB-9B28-35704E24BE16}" uniqueName="AEB_VRU_Cyclist_Tests">
      <xmlPr mapId="7" xpath="/MAKE/GENERAL/VEHICLE_SPECIFICATION/AEB_VRU_Cyclist_Tests" xmlDataType="anyType"/>
    </xmlCellPr>
  </singleXmlCell>
  <singleXmlCell id="186" xr6:uid="{6532D16D-9EB4-4502-BAF5-B2483B722FF7}" r="G16" connectionId="0">
    <xmlCellPr id="1" xr6:uid="{967094BD-4A3C-4FF7-A0C4-B6381BF066A1}" uniqueName="AEB_Car_to_Car_Tests">
      <xmlPr mapId="7" xpath="/MAKE/GENERAL/VEHICLE_SPECIFICATION/AEB_Car_to_Car_Tests" xmlDataType="string"/>
    </xmlCellPr>
  </singleXmlCell>
  <singleXmlCell id="187" xr6:uid="{B728B89C-7654-4736-BBE8-1D74C9016B0A}" r="G14" connectionId="0">
    <xmlCellPr id="1" xr6:uid="{DD18EE9A-665C-406E-8F52-2F66F85BC201}" uniqueName="SBR_Test">
      <xmlPr mapId="7" xpath="/MAKE/GENERAL/VEHICLE_SPECIFICATION/SBR_Test" xmlDataType="string"/>
    </xmlCellPr>
  </singleXmlCell>
  <singleXmlCell id="188" xr6:uid="{F20CB356-6CC6-4206-B08C-6CB2DC6B8D99}" r="G15" connectionId="0">
    <xmlCellPr id="1" xr6:uid="{D301CE34-D89D-42C5-B479-40AC92F6EA98}" uniqueName="SAS_Test">
      <xmlPr mapId="7" xpath="/MAKE/GENERAL/VEHICLE_SPECIFICATION/SAS_Test" xmlDataType="string"/>
    </xmlCellPr>
  </singleXmlCell>
  <singleXmlCell id="189" xr6:uid="{3F8889B9-0F1E-4DD7-9820-698BDCD6B53C}" r="G17" connectionId="0">
    <xmlCellPr id="1" xr6:uid="{F35E572D-59B6-47D2-ADAA-CAEE029E77CC}" uniqueName="LSS_Test">
      <xmlPr mapId="7" xpath="/MAKE/GENERAL/VEHICLE_SPECIFICATION/LSS_Test" xmlDataType="string"/>
    </xmlCellPr>
  </singleXmlCell>
  <singleXmlCell id="190" xr6:uid="{DB2BC2AF-0BAB-4BCF-9354-132089C6AF63}" r="F44" connectionId="0">
    <xmlCellPr id="1" xr6:uid="{7A967E69-4612-4D52-8A33-8C3F71645369}" uniqueName="Passenger">
      <xmlPr mapId="7" xpath="/MAKE/GENERAL/SAFETY_EQUIPMENT/CHILD_OCCUPANT/VEHICLE_BASED/ISOFIX/@Passenger" xmlDataType="string"/>
    </xmlCellPr>
  </singleXmlCell>
  <singleXmlCell id="191" xr6:uid="{3DF5ADE5-63E9-4AB6-9B0D-50B8F65BDE40}" r="G44" connectionId="0">
    <xmlCellPr id="1" xr6:uid="{AC138B17-D2EC-43BC-8838-CACD6E5BC32F}" uniqueName="Rear">
      <xmlPr mapId="7" xpath="/MAKE/GENERAL/SAFETY_EQUIPMENT/CHILD_OCCUPANT/VEHICLE_BASED/ISOFIX/@Rear" xmlDataType="string"/>
    </xmlCellPr>
  </singleXmlCell>
  <singleXmlCell id="192" xr6:uid="{7A382F4C-81FF-4350-B923-7FB8BE61D378}" r="H44" connectionId="0">
    <xmlCellPr id="1" xr6:uid="{AB58A1B9-E79F-4D94-9E94-FC136B6B02FD}" uniqueName="Row3">
      <xmlPr mapId="7" xpath="/MAKE/GENERAL/SAFETY_EQUIPMENT/CHILD_OCCUPANT/VEHICLE_BASED/ISOFIX/@Row3" xmlDataType="string"/>
    </xmlCellPr>
  </singleXmlCell>
  <singleXmlCell id="193" xr6:uid="{97504AAD-B966-4FE4-AC7F-3F6BBECA5E25}" r="F45" connectionId="0">
    <xmlCellPr id="1" xr6:uid="{2B24EC83-4F77-4239-9FA4-0378D2BD7DF9}" uniqueName="Passenger">
      <xmlPr mapId="7" xpath="/MAKE/GENERAL/SAFETY_EQUIPMENT/CHILD_OCCUPANT/VEHICLE_BASED/iSize/@Passenger" xmlDataType="string"/>
    </xmlCellPr>
  </singleXmlCell>
  <singleXmlCell id="194" xr6:uid="{41FAD275-C3EC-4624-AA56-3CE27B2103E8}" r="G45" connectionId="0">
    <xmlCellPr id="1" xr6:uid="{531E55D4-3D7D-4BB7-83B6-C54BACF9D1B4}" uniqueName="Rear">
      <xmlPr mapId="7" xpath="/MAKE/GENERAL/SAFETY_EQUIPMENT/CHILD_OCCUPANT/VEHICLE_BASED/iSize/@Rear" xmlDataType="string"/>
    </xmlCellPr>
  </singleXmlCell>
  <singleXmlCell id="195" xr6:uid="{F58099F4-2CCA-4130-BDAA-776E59CF91EB}" r="H45" connectionId="0">
    <xmlCellPr id="1" xr6:uid="{ED391516-FEE1-49AA-AE33-662209B1E823}" uniqueName="Row3">
      <xmlPr mapId="7" xpath="/MAKE/GENERAL/SAFETY_EQUIPMENT/CHILD_OCCUPANT/VEHICLE_BASED/iSize/@Row3" xmlDataType="string"/>
    </xmlCellPr>
  </singleXmlCell>
  <singleXmlCell id="196" xr6:uid="{139CF4C0-E582-483C-B8EB-0E4BB6EE4076}" r="F46" connectionId="0">
    <xmlCellPr id="1" xr6:uid="{EE1C5225-2562-4BC3-A46E-C8A12E94FE89}" uniqueName="Passenger">
      <xmlPr mapId="7" xpath="/MAKE/GENERAL/SAFETY_EQUIPMENT/CHILD_OCCUPANT/VEHICLE_BASED/integrated_CRS/@Passenger" xmlDataType="string"/>
    </xmlCellPr>
  </singleXmlCell>
  <singleXmlCell id="197" xr6:uid="{D4B8BCB7-B048-4BC6-8987-01FC33435985}" r="G46" connectionId="0">
    <xmlCellPr id="1" xr6:uid="{907D6841-C305-4283-8BFC-D8B331C49118}" uniqueName="Rear">
      <xmlPr mapId="7" xpath="/MAKE/GENERAL/SAFETY_EQUIPMENT/CHILD_OCCUPANT/VEHICLE_BASED/integrated_CRS/@Rear" xmlDataType="string"/>
    </xmlCellPr>
  </singleXmlCell>
  <singleXmlCell id="198" xr6:uid="{D6D62FCA-1C9E-4BD7-A3A0-53136B059442}" r="H46" connectionId="0">
    <xmlCellPr id="1" xr6:uid="{114B4AD5-9C46-4092-860F-FD65D47CBD71}" uniqueName="Row3">
      <xmlPr mapId="7" xpath="/MAKE/GENERAL/SAFETY_EQUIPMENT/CHILD_OCCUPANT/VEHICLE_BASED/integrated_CRS/@Row3" xmlDataType="string"/>
    </xmlCellPr>
  </singleXmlCell>
  <singleXmlCell id="199" xr6:uid="{F4E51A4F-3C3D-4EB0-A7BF-FA224CE7DC0F}" r="F47" connectionId="0">
    <xmlCellPr id="1" xr6:uid="{9F55852C-1C89-40C9-9C6A-51EF5B083D66}" uniqueName="Passenger">
      <xmlPr mapId="7" xpath="/MAKE/GENERAL/SAFETY_EQUIPMENT/CHILD_OCCUPANT/VEHICLE_BASED/airbag_cut_off_switch/@Passenger" xmlDataType="string"/>
    </xmlCellPr>
  </singleXmlCell>
  <singleXmlCell id="2056" xr6:uid="{2D996D03-0980-40B2-B063-5B20A222BA53}" r="E59" connectionId="0">
    <xmlCellPr id="1" xr6:uid="{01A76E47-ABBB-4860-ABBA-E04BEAABD2D4}" uniqueName="Fitment">
      <xmlPr mapId="7" xpath="/MAKE/GENERAL/SAFETY_EQUIPMENT/PEDESTRIAN/AEB_Motorcyclist/@Fitment" xmlDataType="string"/>
    </xmlCellPr>
  </singleXmlCell>
  <singleXmlCell id="2057" xr6:uid="{6804193E-331F-4B39-AEAC-7A05B9D6392F}" r="F48" connectionId="0">
    <xmlCellPr id="1" xr6:uid="{87F08E60-8956-4687-822E-56ABEF885AA9}" uniqueName="Passenger">
      <xmlPr mapId="7" xpath="/MAKE/GENERAL/SAFETY_EQUIPMENT/CHILD_OCCUPANT/VEHICLE_BASED/Child_Presence_Detection/@Passenger" xmlDataType="string"/>
    </xmlCellPr>
  </singleXmlCell>
  <singleXmlCell id="2058" xr6:uid="{60227735-F9EE-416F-9C96-4D4CBBC1AE52}" r="G48" connectionId="0">
    <xmlCellPr id="1" xr6:uid="{75FC9325-353C-47E3-AE48-35B7D3112C82}" uniqueName="Rear">
      <xmlPr mapId="7" xpath="/MAKE/GENERAL/SAFETY_EQUIPMENT/CHILD_OCCUPANT/VEHICLE_BASED/Child_Presence_Detection/@Rear" xmlDataType="string"/>
    </xmlCellPr>
  </singleXmlCell>
  <singleXmlCell id="2059" xr6:uid="{B64A31BE-F0F9-4825-BCED-570EB947EE79}" r="H48" connectionId="0">
    <xmlCellPr id="1" xr6:uid="{4D23B0C5-49F3-4AFE-A5CA-52BA2D32B504}" uniqueName="Row3">
      <xmlPr mapId="7" xpath="/MAKE/GENERAL/SAFETY_EQUIPMENT/CHILD_OCCUPANT/VEHICLE_BASED/Child_Presence_Detection/@Row3" xmlDataType="string"/>
    </xmlCellPr>
  </singleXmlCell>
  <singleXmlCell id="2060" xr6:uid="{D0476FFA-F334-4B05-9CF8-7666D21F2CAA}" r="E66" connectionId="0">
    <xmlCellPr id="1" xr6:uid="{B6B93CA6-449F-46B7-8F39-077F21F0CCB6}" uniqueName="Fitment_on_range">
      <xmlPr mapId="7" xpath="/MAKE/GENERAL/SAFETY_EQUIPMENT/SAFETY_ASSIST/SAFETY_ASSIST_SYSTEMS/Fatigue_Distraction/@Fitment_on_range" xmlDataType="string"/>
    </xmlCellPr>
  </singleXmlCell>
  <singleXmlCell id="4383" xr6:uid="{2586B943-47FF-441D-AE5A-C11ABCFAA98B}" r="E55" connectionId="0">
    <xmlCellPr id="1" xr6:uid="{F1A91EAE-3530-4E5D-83F4-93F82F0EACD1}" uniqueName="Fitment">
      <xmlPr mapId="7" xpath="/MAKE/GENERAL/SAFETY_EQUIPMENT/PEDESTRIAN/Cyclist_Dooring/@Fitment" xmlDataType="string"/>
    </xmlCellPr>
  </singleXmlCell>
  <singleXmlCell id="5077" xr6:uid="{D7234588-F171-42B4-868E-EC9B93512873}" r="G8" connectionId="0">
    <xmlCellPr id="1" xr6:uid="{87712C79-5D2D-4358-9ACD-D98A4FC78F37}" uniqueName="Side_O2O">
      <xmlPr mapId="7" xpath="/MAKE/GENERAL/VEHICLE_SPECIFICATION/Side_O2O" xmlDataType="string"/>
    </xmlCellPr>
  </singleXmlCell>
  <singleXmlCell id="5078" xr6:uid="{804E673E-E65D-4D37-AC3F-C66AEEFB168B}" r="G13" connectionId="0">
    <xmlCellPr id="1" xr6:uid="{36777917-6E01-447D-8250-5334F87BDFFD}" uniqueName="AEB_VRU_Motorcyclist_Tests">
      <xmlPr mapId="7" xpath="/MAKE/GENERAL/VEHICLE_SPECIFICATION/AEB_VRU_Motorcyclist_Tests" xmlDataType="anyType"/>
    </xmlCellPr>
  </singleXmlCell>
  <singleXmlCell id="5079" xr6:uid="{F3C4F12C-12E6-4B94-9203-2809B91737D8}" r="G41" connectionId="0">
    <xmlCellPr id="1" xr6:uid="{FE74F580-950F-4BDF-8900-05F21354FDA1}" uniqueName="Q6">
      <xmlPr mapId="7" xpath="/MAKE/GENERAL/SAFETY_EQUIPMENT/CHILD_OCCUPANT/CHILD_RESTRAINT_SYSTEM/recommended_CRS/Q6" xmlDataType="string"/>
    </xmlCellPr>
  </singleXmlCell>
  <singleXmlCell id="5080" xr6:uid="{CD0D5BE6-883E-4B07-8A70-CBCEF087FDF3}" r="G42" connectionId="0">
    <xmlCellPr id="1" xr6:uid="{353D7633-47C1-48AC-9DD9-EDFB8D3F09B8}" uniqueName="Q10">
      <xmlPr mapId="7" xpath="/MAKE/GENERAL/SAFETY_EQUIPMENT/CHILD_OCCUPANT/CHILD_RESTRAINT_SYSTEM/recommended_CRS/Q10" xmlDataType="string"/>
    </xmlCellPr>
  </singleXmlCell>
  <singleXmlCell id="3670" xr6:uid="{DD7A7B81-AD96-4DA1-A7ED-AE582CAE6300}" r="C13" connectionId="0">
    <xmlCellPr id="1" xr6:uid="{B4A3B4AC-C00B-4D66-B25C-AC7A8EE1F72D}" uniqueName="Full_Release_Date">
      <xmlPr mapId="7" xpath="/MAKE/GENERAL/VEHICLE_SPECIFICATION/Full_Release_Date" xmlDataType="date"/>
    </xmlCellPr>
  </singleXmlCell>
  <singleXmlCell id="3671" xr6:uid="{C5FB5B1C-D929-49D5-BEFD-980CE8A8C74A}" r="E13" connectionId="0">
    <xmlCellPr id="1" xr6:uid="{17EDDB42-8E7D-4253-8998-B01767B84F17}" uniqueName="Release_date">
      <xmlPr mapId="7" xpath="/MAKE/GENERAL/VEHICLE_SPECIFICATION/Release_date" xmlDataType="string"/>
    </xmlCellPr>
  </singleXmlCell>
</singleXmlCells>
</file>

<file path=xl/tables/tableSingleCells2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200" xr6:uid="{7B27B08C-B470-4216-BBB4-04990770656B}" r="K16" connectionId="0">
    <xmlCellPr id="1" xr6:uid="{B3704125-C8A0-4599-B56C-16163B78FECC}" uniqueName="Total">
      <xmlPr mapId="7" xpath="/MAKE/OVERALL_RATING/@Total" xmlDataType="decimal"/>
    </xmlCellPr>
  </singleXmlCell>
  <singleXmlCell id="201" xr6:uid="{45204D0D-CAF6-4FF2-9A16-4970C89743E2}" r="L25" connectionId="0">
    <xmlCellPr id="1" xr6:uid="{3DBCDFCD-8985-4290-95C9-DE0BA1366EBE}" uniqueName="Rating_Stars">
      <xmlPr mapId="7" xpath="/MAKE/OVERALL_RATING/@Rating_Stars" xmlDataType="integer"/>
    </xmlCellPr>
  </singleXmlCell>
  <singleXmlCell id="202" xr6:uid="{07B36268-6075-4B73-959A-1A0081884332}" r="C14" connectionId="0">
    <xmlCellPr id="1" xr6:uid="{A656A2CC-E98C-454C-BB48-43BAB1ABC914}" uniqueName="Adult_Occupant">
      <xmlPr mapId="7" xpath="/MAKE/OVERALL_RATING/Total_Score/@Adult_Occupant" xmlDataType="decimal"/>
    </xmlCellPr>
  </singleXmlCell>
  <singleXmlCell id="203" xr6:uid="{A50457E7-4DF5-4547-8EDD-DC23D6D47BE3}" r="E14" connectionId="0">
    <xmlCellPr id="1" xr6:uid="{EC21C1F9-C575-4FC8-9F89-7F372612A287}" uniqueName="Child_Occupant">
      <xmlPr mapId="7" xpath="/MAKE/OVERALL_RATING/Total_Score/@Child_Occupant" xmlDataType="decimal"/>
    </xmlCellPr>
  </singleXmlCell>
  <singleXmlCell id="204" xr6:uid="{046E325F-FB97-49FD-88F3-5CBB63C837AF}" r="G14" connectionId="0">
    <xmlCellPr id="1" xr6:uid="{52042477-0114-44AF-B3DD-B37E622B6944}" uniqueName="Pedestrian">
      <xmlPr mapId="7" xpath="/MAKE/OVERALL_RATING/Total_Score/@Pedestrian" xmlDataType="decimal"/>
    </xmlCellPr>
  </singleXmlCell>
  <singleXmlCell id="205" xr6:uid="{2CB512F7-097B-496A-9126-D6139E8D663D}" r="I14" connectionId="0">
    <xmlCellPr id="1" xr6:uid="{48A0725E-E023-4198-B52B-EDF9AEFE9BA2}" uniqueName="Safety_Assist">
      <xmlPr mapId="7" xpath="/MAKE/OVERALL_RATING/Total_Score/@Safety_Assist" xmlDataType="decimal"/>
    </xmlCellPr>
  </singleXmlCell>
  <singleXmlCell id="206" xr6:uid="{061EEA46-52D6-499E-A22F-8B50121C8562}" r="C15" connectionId="0">
    <xmlCellPr id="1" xr6:uid="{D334DAC3-0D97-4E8E-B6B6-23058F71134C}" uniqueName="Adult_Occupant">
      <xmlPr mapId="7" xpath="/MAKE/OVERALL_RATING/Max_Points_available/@Adult_Occupant" xmlDataType="decimal"/>
    </xmlCellPr>
  </singleXmlCell>
  <singleXmlCell id="207" xr6:uid="{2E9180A8-2046-4888-8FCE-98D14BF38D84}" r="E15" connectionId="0">
    <xmlCellPr id="1" xr6:uid="{A4A57352-213F-4346-A704-4173E89F9AD3}" uniqueName="Child_Occupant">
      <xmlPr mapId="7" xpath="/MAKE/OVERALL_RATING/Max_Points_available/@Child_Occupant" xmlDataType="decimal"/>
    </xmlCellPr>
  </singleXmlCell>
  <singleXmlCell id="208" xr6:uid="{783ECE7B-4648-4BDA-93CA-D8A4A48AAF4E}" r="G15" connectionId="0">
    <xmlCellPr id="1" xr6:uid="{D03A9394-DF05-4B9A-A356-0635179C5DA0}" uniqueName="Pedestrian">
      <xmlPr mapId="7" xpath="/MAKE/OVERALL_RATING/Max_Points_available/@Pedestrian" xmlDataType="decimal"/>
    </xmlCellPr>
  </singleXmlCell>
  <singleXmlCell id="209" xr6:uid="{5635C6B8-EEDC-4C91-BC88-6F84D5E2E225}" r="I15" connectionId="0">
    <xmlCellPr id="1" xr6:uid="{326C09D7-8202-4167-A2F5-D551A2658DC6}" uniqueName="Safety_Assist">
      <xmlPr mapId="7" xpath="/MAKE/OVERALL_RATING/Max_Points_available/@Safety_Assist" xmlDataType="decimal"/>
    </xmlCellPr>
  </singleXmlCell>
  <singleXmlCell id="210" xr6:uid="{52EC3093-24B6-4455-8433-BA717AB8E367}" r="C16" connectionId="0">
    <xmlCellPr id="1" xr6:uid="{75993A5B-748A-4060-B8FA-F7163894BBC3}" uniqueName="Adult_Occupant">
      <xmlPr mapId="7" xpath="/MAKE/OVERALL_RATING/Normalised_Score/@Adult_Occupant" xmlDataType="decimal"/>
    </xmlCellPr>
  </singleXmlCell>
  <singleXmlCell id="211" xr6:uid="{5B289D40-09FF-43CA-86A9-85F7500035A4}" r="E16" connectionId="0">
    <xmlCellPr id="1" xr6:uid="{128A4F2D-293D-43D6-BE0F-04E55B545F3C}" uniqueName="Child_Occupant">
      <xmlPr mapId="7" xpath="/MAKE/OVERALL_RATING/Normalised_Score/@Child_Occupant" xmlDataType="decimal"/>
    </xmlCellPr>
  </singleXmlCell>
  <singleXmlCell id="212" xr6:uid="{C8AC0858-EC7F-4F97-BE0E-917FAB5CA501}" r="G16" connectionId="0">
    <xmlCellPr id="1" xr6:uid="{3FD77541-74DC-4D46-8F39-7ABA89DD3B54}" uniqueName="Pedestrian">
      <xmlPr mapId="7" xpath="/MAKE/OVERALL_RATING/Normalised_Score/@Pedestrian" xmlDataType="decimal"/>
    </xmlCellPr>
  </singleXmlCell>
  <singleXmlCell id="213" xr6:uid="{3292C33B-2EAE-49DA-AB44-2D6AEB198E88}" r="I16" connectionId="0">
    <xmlCellPr id="1" xr6:uid="{69713495-E81F-49DD-87E8-73F11E645707}" uniqueName="Safety_Assist">
      <xmlPr mapId="7" xpath="/MAKE/OVERALL_RATING/Normalised_Score/@Safety_Assist" xmlDataType="decimal"/>
    </xmlCellPr>
  </singleXmlCell>
  <singleXmlCell id="214" xr6:uid="{6A41248A-1B02-4EE7-94A2-50EC95406E6E}" r="C17" connectionId="0">
    <xmlCellPr id="1" xr6:uid="{B8E5F169-CA72-4EC0-B696-FECB5E4B9621}" uniqueName="Adult_Occupant">
      <xmlPr mapId="7" xpath="/MAKE/OVERALL_RATING/Weight/@Adult_Occupant" xmlDataType="decimal"/>
    </xmlCellPr>
  </singleXmlCell>
  <singleXmlCell id="215" xr6:uid="{E3A19477-7C97-406A-A900-D9CAB6E09BDE}" r="E17" connectionId="0">
    <xmlCellPr id="1" xr6:uid="{7D2ACB15-7CDD-43BC-99CD-1CD6404E9082}" uniqueName="Child_Occupant">
      <xmlPr mapId="7" xpath="/MAKE/OVERALL_RATING/Weight/@Child_Occupant" xmlDataType="decimal"/>
    </xmlCellPr>
  </singleXmlCell>
  <singleXmlCell id="216" xr6:uid="{5D7472D3-BB5E-418E-A2BA-E773F092F3C4}" r="G17" connectionId="0">
    <xmlCellPr id="1" xr6:uid="{82D43DDA-503B-4976-A1FC-F33F4D972B36}" uniqueName="Pedestrian">
      <xmlPr mapId="7" xpath="/MAKE/OVERALL_RATING/Weight/@Pedestrian" xmlDataType="decimal"/>
    </xmlCellPr>
  </singleXmlCell>
  <singleXmlCell id="217" xr6:uid="{05FF96BB-6E69-496D-9B0F-D163EFC0E565}" r="I17" connectionId="0">
    <xmlCellPr id="1" xr6:uid="{ABB4EA86-5E25-465B-8D71-E9F3B22A23E1}" uniqueName="Safety_Assist">
      <xmlPr mapId="7" xpath="/MAKE/OVERALL_RATING/Weight/@Safety_Assist" xmlDataType="decimal"/>
    </xmlCellPr>
  </singleXmlCell>
</singleXmlCells>
</file>

<file path=xl/tables/tableSingleCells3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2006" xr6:uid="{CDD0D2C3-07AC-4C4D-8649-EA1061BF234F}" r="D129" connectionId="0">
    <xmlCellPr id="1" xr6:uid="{A39E616A-02EA-4D40-80AA-63608CCBE866}" uniqueName="TOTAL_FRONTAL_MPDB">
      <xmlPr mapId="7" xpath="/MAKE/AOP/AOP_Frontal_MPDB/@TOTAL_FRONTAL_MPDB" xmlDataType="decimal"/>
    </xmlCellPr>
  </singleXmlCell>
  <singleXmlCell id="2081" xr6:uid="{9C32E4DE-F9C3-4A1B-A7E3-3A6C4B5B93E8}" r="D34" connectionId="0">
    <xmlCellPr id="1" xr6:uid="{769CD0D7-B6D4-4903-B128-74D3D3991F89}" uniqueName="DriverPoints">
      <xmlPr mapId="7" xpath="/MAKE/AOP/AOP_Frontal_MPDB/Head_and_Neck_assessment/@DriverPoints" xmlDataType="decimal"/>
    </xmlCellPr>
  </singleXmlCell>
  <singleXmlCell id="2082" xr6:uid="{579F338D-3539-40A2-B677-B97D797F4BFC}" r="F34" connectionId="0">
    <xmlCellPr id="1" xr6:uid="{BABF1614-F8DC-4621-8643-87669BEA11EF}" uniqueName="PassengerPoints">
      <xmlPr mapId="7" xpath="/MAKE/AOP/AOP_Frontal_MPDB/Head_and_Neck_assessment/@PassengerPoints" xmlDataType="decimal"/>
    </xmlCellPr>
  </singleXmlCell>
  <singleXmlCell id="2083" xr6:uid="{7BC5F5A8-ACDF-413D-AD95-A02A57C54779}" r="E24" connectionId="0">
    <xmlCellPr id="1" xr6:uid="{06B0D6EE-3904-40E0-91A7-4A9B460CB3B2}" uniqueName="DriverPoints">
      <xmlPr mapId="7" xpath="/MAKE/AOP/AOP_Frontal_MPDB/Head_and_Neck_assessment/Head_assessment/@DriverPoints" xmlDataType="decimal"/>
    </xmlCellPr>
  </singleXmlCell>
  <singleXmlCell id="2084" xr6:uid="{ACBDD00E-BE11-4157-8D31-BA077F85EA30}" r="G24" connectionId="0">
    <xmlCellPr id="1" xr6:uid="{D4C97CDE-C07A-44C1-8D17-CA88395BB448}" uniqueName="PassengerPoints">
      <xmlPr mapId="7" xpath="/MAKE/AOP/AOP_Frontal_MPDB/Head_and_Neck_assessment/Head_assessment/@PassengerPoints" xmlDataType="decimal"/>
    </xmlCellPr>
  </singleXmlCell>
  <singleXmlCell id="2085" xr6:uid="{2CE808AE-CF16-4087-9220-F008E7A2D45D}" r="D6" connectionId="0">
    <xmlCellPr id="1" xr6:uid="{2143EF0E-8868-4FD8-8488-0A432E07A622}" uniqueName="Steering_wheel_airbag_present">
      <xmlPr mapId="7" xpath="/MAKE/AOP/AOP_Frontal_MPDB/Head_and_Neck_assessment/Head_assessment/Steering_wheel_airbag_present" xmlDataType="string"/>
    </xmlCellPr>
  </singleXmlCell>
  <singleXmlCell id="2086" xr6:uid="{77509012-4EB6-45B1-A16E-45D0D37CDEA0}" r="D7" connectionId="0">
    <xmlCellPr id="1" xr6:uid="{EFFAC38D-C765-4923-9E12-4C324922D5C2}" uniqueName="DriverValue">
      <xmlPr mapId="7" xpath="/MAKE/AOP/AOP_Frontal_MPDB/Head_and_Neck_assessment/Head_assessment/Peak_resultant_acceleration/@DriverValue" xmlDataType="decimal"/>
    </xmlCellPr>
  </singleXmlCell>
  <singleXmlCell id="2087" xr6:uid="{E875E41E-6A26-4A68-A3DD-48C8DC6D8F88}" r="E7" connectionId="0">
    <xmlCellPr id="1" xr6:uid="{5A5AD578-3076-4ABF-B4CC-4823E3C92DA2}" uniqueName="DriverPoints">
      <xmlPr mapId="7" xpath="/MAKE/AOP/AOP_Frontal_MPDB/Head_and_Neck_assessment/Head_assessment/Peak_resultant_acceleration/@DriverPoints" xmlDataType="decimal"/>
    </xmlCellPr>
  </singleXmlCell>
  <singleXmlCell id="2088" xr6:uid="{1460CD63-A905-4FD8-B59D-191C4DF710B7}" r="F7" connectionId="0">
    <xmlCellPr id="1" xr6:uid="{9D031DA8-9B6E-4B30-8CBC-06F6EBFAAF0A}" uniqueName="PassengerValue">
      <xmlPr mapId="7" xpath="/MAKE/AOP/AOP_Frontal_MPDB/Head_and_Neck_assessment/Head_assessment/Peak_resultant_acceleration/@PassengerValue" xmlDataType="decimal"/>
    </xmlCellPr>
  </singleXmlCell>
  <singleXmlCell id="2089" xr6:uid="{C1916733-A764-417C-8080-F21C4F1E8A1A}" r="G7" connectionId="0">
    <xmlCellPr id="1" xr6:uid="{09CA40C6-3DE1-4584-AF84-C22C4093C275}" uniqueName="PassengerPoints">
      <xmlPr mapId="7" xpath="/MAKE/AOP/AOP_Frontal_MPDB/Head_and_Neck_assessment/Head_assessment/Peak_resultant_acceleration/@PassengerPoints" xmlDataType="decimal"/>
    </xmlCellPr>
  </singleXmlCell>
  <singleXmlCell id="2090" xr6:uid="{8C7FAB65-996E-4721-A2B6-12A66787BAA5}" r="D8" connectionId="0">
    <xmlCellPr id="1" xr6:uid="{681B6154-0935-4C46-90DC-A7CC00192405}" uniqueName="DriverValue">
      <xmlPr mapId="7" xpath="/MAKE/AOP/AOP_Frontal_MPDB/Head_and_Neck_assessment/Head_assessment/HIC36/@DriverValue" xmlDataType="decimal"/>
    </xmlCellPr>
  </singleXmlCell>
  <singleXmlCell id="2091" xr6:uid="{152F6614-3332-4F09-A836-37DFAECD95F6}" r="E8" connectionId="0">
    <xmlCellPr id="1" xr6:uid="{E144DD97-2E1E-45F7-91A6-B80B5B573295}" uniqueName="DriverPoints">
      <xmlPr mapId="7" xpath="/MAKE/AOP/AOP_Frontal_MPDB/Head_and_Neck_assessment/Head_assessment/HIC36/@DriverPoints" xmlDataType="decimal"/>
    </xmlCellPr>
  </singleXmlCell>
  <singleXmlCell id="2092" xr6:uid="{78F1BFF9-E197-4278-9192-71B1827762C3}" r="F8" connectionId="0">
    <xmlCellPr id="1" xr6:uid="{0CD9D0A0-4089-414F-82EB-F4CAD5ECDBF4}" uniqueName="PassengerValue">
      <xmlPr mapId="7" xpath="/MAKE/AOP/AOP_Frontal_MPDB/Head_and_Neck_assessment/Head_assessment/HIC36/@PassengerValue" xmlDataType="decimal"/>
    </xmlCellPr>
  </singleXmlCell>
  <singleXmlCell id="2093" xr6:uid="{AC4B0F2E-7AA0-4CE3-9B62-73F85BEEE38C}" r="G8" connectionId="0">
    <xmlCellPr id="1" xr6:uid="{CBF87AD6-3233-4EE3-8DB3-5FDD0B267C18}" uniqueName="PassengerPoints">
      <xmlPr mapId="7" xpath="/MAKE/AOP/AOP_Frontal_MPDB/Head_and_Neck_assessment/Head_assessment/HIC36/@PassengerPoints" xmlDataType="decimal"/>
    </xmlCellPr>
  </singleXmlCell>
  <singleXmlCell id="2094" xr6:uid="{6F576B3C-F9AE-4755-B9B0-A04922DCBF86}" r="D9" connectionId="0">
    <xmlCellPr id="1" xr6:uid="{2B59AF8A-6387-48D2-A255-3D7292759877}" uniqueName="DriverValue">
      <xmlPr mapId="7" xpath="/MAKE/AOP/AOP_Frontal_MPDB/Head_and_Neck_assessment/Head_assessment/Resultant_Acc_3_msec_exeedence/@DriverValue" xmlDataType="decimal"/>
    </xmlCellPr>
  </singleXmlCell>
  <singleXmlCell id="2095" xr6:uid="{1BF62A45-FC3F-4F26-90EB-2B2E0CAAD093}" r="E9" connectionId="0">
    <xmlCellPr id="1" xr6:uid="{C21E3DCD-C0C9-422B-AE80-073FFCBA061F}" uniqueName="DriverPoints">
      <xmlPr mapId="7" xpath="/MAKE/AOP/AOP_Frontal_MPDB/Head_and_Neck_assessment/Head_assessment/Resultant_Acc_3_msec_exeedence/@DriverPoints" xmlDataType="decimal"/>
    </xmlCellPr>
  </singleXmlCell>
  <singleXmlCell id="2096" xr6:uid="{440FB699-4EAE-445D-96E0-FFF5CE7E2470}" r="F9" connectionId="0">
    <xmlCellPr id="1" xr6:uid="{C66F2112-E324-4EF9-9FA0-C70B65FB810E}" uniqueName="PassengerValue">
      <xmlPr mapId="7" xpath="/MAKE/AOP/AOP_Frontal_MPDB/Head_and_Neck_assessment/Head_assessment/Resultant_Acc_3_msec_exeedence/@PassengerValue" xmlDataType="decimal"/>
    </xmlCellPr>
  </singleXmlCell>
  <singleXmlCell id="2097" xr6:uid="{F656FAB2-9A8F-4526-9DF9-6E31083816BD}" r="G9" connectionId="0">
    <xmlCellPr id="1" xr6:uid="{C11A505C-F7CE-4019-BE4F-790A261B9F3C}" uniqueName="PassengerPoints">
      <xmlPr mapId="7" xpath="/MAKE/AOP/AOP_Frontal_MPDB/Head_and_Neck_assessment/Head_assessment/Resultant_Acc_3_msec_exeedence/@PassengerPoints" xmlDataType="decimal"/>
    </xmlCellPr>
  </singleXmlCell>
  <singleXmlCell id="2098" xr6:uid="{9E891151-B603-4003-A4CC-5C8C907475EA}" r="D12" connectionId="0">
    <xmlCellPr id="1" xr6:uid="{4C466397-9B5B-4566-9FFF-30A89AD280D1}" uniqueName="DriverValue">
      <xmlPr mapId="7" xpath="/MAKE/AOP/AOP_Frontal_MPDB/Head_and_Neck_assessment/Head_assessment/SUFEHM/@DriverValue" xmlDataType="decimal"/>
    </xmlCellPr>
  </singleXmlCell>
  <singleXmlCell id="2099" xr6:uid="{629DC7F3-A8B0-48D6-BB58-DE6C93A76F67}" r="D13" connectionId="0">
    <xmlCellPr id="1" xr6:uid="{36E8234B-9AFB-4F0F-BC07-449CDCA060E7}" uniqueName="DriverValue">
      <xmlPr mapId="7" xpath="/MAKE/AOP/AOP_Frontal_MPDB/Head_and_Neck_assessment/Head_assessment/BrIC/@DriverValue" xmlDataType="decimal"/>
    </xmlCellPr>
  </singleXmlCell>
  <singleXmlCell id="2100" xr6:uid="{4EED2A66-443E-442F-8A81-0324A86ACBBE}" r="E17" connectionId="0">
    <xmlCellPr id="1" xr6:uid="{C5559139-F2A8-444F-8408-4C06E5A724FF}" uniqueName="DriverPoints">
      <xmlPr mapId="7" xpath="/MAKE/AOP/AOP_Frontal_MPDB/Head_and_Neck_assessment/Head_assessment/Airbag_contact_modifier/@DriverPoints" xmlDataType="decimal"/>
    </xmlCellPr>
  </singleXmlCell>
  <singleXmlCell id="2101" xr6:uid="{F20EFA92-A597-4697-9BA7-BBA40E9A1F74}" r="G17" connectionId="0">
    <xmlCellPr id="1" xr6:uid="{12E53448-EC84-473D-8BF5-12E62712B476}" uniqueName="PassengerPoints">
      <xmlPr mapId="7" xpath="/MAKE/AOP/AOP_Frontal_MPDB/Head_and_Neck_assessment/Head_assessment/Airbag_contact_modifier/@PassengerPoints" xmlDataType="decimal"/>
    </xmlCellPr>
  </singleXmlCell>
  <singleXmlCell id="2102" xr6:uid="{ACA7B475-AE25-47E4-8641-9EC1357032AA}" r="E18" connectionId="0">
    <xmlCellPr id="1" xr6:uid="{5785F454-7E35-4B41-9D0F-169EA5E0113A}" uniqueName="DriverPoints">
      <xmlPr mapId="7" xpath="/MAKE/AOP/AOP_Frontal_MPDB/Head_and_Neck_assessment/Head_assessment/Hazardous_airbag_deployment_modifier/@DriverPoints" xmlDataType="decimal"/>
    </xmlCellPr>
  </singleXmlCell>
  <singleXmlCell id="2103" xr6:uid="{E505F862-EF95-4D6F-B3F6-97597C1740F5}" r="G18" connectionId="0">
    <xmlCellPr id="1" xr6:uid="{E94B9CDE-2A37-4362-ABC7-B96A2FADC72F}" uniqueName="PassengerPoints">
      <xmlPr mapId="7" xpath="/MAKE/AOP/AOP_Frontal_MPDB/Head_and_Neck_assessment/Head_assessment/Hazardous_airbag_deployment_modifier/@PassengerPoints" xmlDataType="decimal"/>
    </xmlCellPr>
  </singleXmlCell>
  <singleXmlCell id="2104" xr6:uid="{16830D66-73FA-41FF-AF30-09314575A008}" r="E19" connectionId="0">
    <xmlCellPr id="1" xr6:uid="{8DE63DA9-9DDF-444B-A785-F9FD6B810162}" uniqueName="DriverPoints">
      <xmlPr mapId="7" xpath="/MAKE/AOP/AOP_Frontal_MPDB/Head_and_Neck_assessment/Head_assessment/Incorrect_airbag_deployment_modifier/@DriverPoints" xmlDataType="decimal"/>
    </xmlCellPr>
  </singleXmlCell>
  <singleXmlCell id="2105" xr6:uid="{2C71DC0E-5F70-41BA-A75A-9900956945AB}" r="G19" connectionId="0">
    <xmlCellPr id="1" xr6:uid="{B73BCA68-ADF0-43AC-82CB-3746824A1FFC}" uniqueName="PassengerPoints">
      <xmlPr mapId="7" xpath="/MAKE/AOP/AOP_Frontal_MPDB/Head_and_Neck_assessment/Head_assessment/Incorrect_airbag_deployment_modifier/@PassengerPoints" xmlDataType="decimal"/>
    </xmlCellPr>
  </singleXmlCell>
  <singleXmlCell id="2106" xr6:uid="{D80626B9-E8A9-493D-A03B-D9D935AA7E1E}" r="D21" connectionId="0">
    <xmlCellPr id="1" xr6:uid="{23F5DC18-33C9-457E-A2D6-6274DDEE635E}" uniqueName="Fore_aft_displacement">
      <xmlPr mapId="7" xpath="/MAKE/AOP/AOP_Frontal_MPDB/Head_and_Neck_assessment/Head_assessment/Steering_wheel_displacement/Fore_aft_displacement" xmlDataType="decimal"/>
    </xmlCellPr>
  </singleXmlCell>
  <singleXmlCell id="2107" xr6:uid="{2825F5F9-2B1C-4CAC-A52F-3C4B135A2DFC}" r="D22" connectionId="0">
    <xmlCellPr id="1" xr6:uid="{9C83E992-0ADF-4D59-8342-4C12A8C6981D}" uniqueName="Vertical_displacement">
      <xmlPr mapId="7" xpath="/MAKE/AOP/AOP_Frontal_MPDB/Head_and_Neck_assessment/Head_assessment/Steering_wheel_displacement/Vertical_displacement" xmlDataType="decimal"/>
    </xmlCellPr>
  </singleXmlCell>
  <singleXmlCell id="2108" xr6:uid="{21829FBE-85E9-49C0-AC97-8111EC64BCDE}" r="D23" connectionId="0">
    <xmlCellPr id="1" xr6:uid="{89C454B7-CF3A-4DB4-873A-1741EC6C4B61}" uniqueName="Lateral_displacement">
      <xmlPr mapId="7" xpath="/MAKE/AOP/AOP_Frontal_MPDB/Head_and_Neck_assessment/Head_assessment/Steering_wheel_displacement/Lateral_displacement" xmlDataType="decimal"/>
    </xmlCellPr>
  </singleXmlCell>
  <singleXmlCell id="2109" xr6:uid="{1C52E2E1-2703-455A-B6B1-2C8F1EA9FD98}" r="E20" connectionId="0">
    <xmlCellPr id="1" xr6:uid="{97446480-8A24-444D-BB42-4B7D01AB57A9}" uniqueName="Value">
      <xmlPr mapId="7" xpath="/MAKE/AOP/AOP_Frontal_MPDB/Head_and_Neck_assessment/Head_assessment/Steering_wheel_displacement/@Value" xmlDataType="decimal"/>
    </xmlCellPr>
  </singleXmlCell>
  <singleXmlCell id="2110" xr6:uid="{AF329BB5-788C-431F-8B75-93BACB365C55}" r="E32" connectionId="0">
    <xmlCellPr id="1" xr6:uid="{1A20363C-1CD1-4C09-85ED-363791513DC7}" uniqueName="DriverPoints">
      <xmlPr mapId="7" xpath="/MAKE/AOP/AOP_Frontal_MPDB/Head_and_Neck_assessment/Neck_assessment/@DriverPoints" xmlDataType="decimal"/>
    </xmlCellPr>
  </singleXmlCell>
  <singleXmlCell id="2111" xr6:uid="{EE4D13EF-6CE9-4A06-989E-E6B7CC110EF3}" r="G32" connectionId="0">
    <xmlCellPr id="1" xr6:uid="{DAAEC40E-2096-496C-BCC2-EEA630AEF5BA}" uniqueName="PassengerPoints">
      <xmlPr mapId="7" xpath="/MAKE/AOP/AOP_Frontal_MPDB/Head_and_Neck_assessment/Neck_assessment/@PassengerPoints" xmlDataType="decimal"/>
    </xmlCellPr>
  </singleXmlCell>
  <singleXmlCell id="2112" xr6:uid="{0E74235D-8F11-42FA-87B5-D88EFA1698DF}" r="D27" connectionId="0">
    <xmlCellPr id="1" xr6:uid="{E4E84D5C-46BD-4E5B-B65D-723F8A4C1FD3}" uniqueName="DriverValue">
      <xmlPr mapId="7" xpath="/MAKE/AOP/AOP_Frontal_MPDB/Head_and_Neck_assessment/Neck_assessment/Shear_level_exceeded_kN/@DriverValue" xmlDataType="decimal"/>
    </xmlCellPr>
  </singleXmlCell>
  <singleXmlCell id="2113" xr6:uid="{6C1F0445-78F6-4A91-B351-74B4F2039CC9}" r="E27" connectionId="0">
    <xmlCellPr id="1" xr6:uid="{6F2B1FF3-4C47-45A9-BEBE-E4A417FCB61E}" uniqueName="DriverPoints">
      <xmlPr mapId="7" xpath="/MAKE/AOP/AOP_Frontal_MPDB/Head_and_Neck_assessment/Neck_assessment/Shear_level_exceeded_kN/@DriverPoints" xmlDataType="decimal"/>
    </xmlCellPr>
  </singleXmlCell>
  <singleXmlCell id="2114" xr6:uid="{2E6928F8-CFB8-409D-BA85-867C0B1CF4BF}" r="F27" connectionId="0">
    <xmlCellPr id="1" xr6:uid="{E489733D-6EE9-4365-BDB8-CA2B96CB9A2F}" uniqueName="PassengerValue">
      <xmlPr mapId="7" xpath="/MAKE/AOP/AOP_Frontal_MPDB/Head_and_Neck_assessment/Neck_assessment/Shear_level_exceeded_kN/@PassengerValue" xmlDataType="decimal"/>
    </xmlCellPr>
  </singleXmlCell>
  <singleXmlCell id="2115" xr6:uid="{99335C5A-262A-4424-BAC2-D332F3F9510E}" r="G27" connectionId="0">
    <xmlCellPr id="1" xr6:uid="{3B7A1364-A8C7-47EC-8CF5-4783375CEC21}" uniqueName="PassengerPoints">
      <xmlPr mapId="7" xpath="/MAKE/AOP/AOP_Frontal_MPDB/Head_and_Neck_assessment/Neck_assessment/Shear_level_exceeded_kN/@PassengerPoints" xmlDataType="decimal"/>
    </xmlCellPr>
  </singleXmlCell>
  <singleXmlCell id="2118" xr6:uid="{DB9BEC4E-B57E-4436-8C99-C9EF673CCCBE}" r="F28" connectionId="0">
    <xmlCellPr id="1" xr6:uid="{96E2643E-3475-4E0C-BC85-D9C60F1C2670}" uniqueName="PassengerValue">
      <xmlPr mapId="7" xpath="/MAKE/AOP/AOP_Frontal_MPDB/Head_and_Neck_assessment/Neck_assessment/Shear_level_exceeded_duration_of_exceedence_ms/@PassengerValue" xmlDataType="decimal"/>
    </xmlCellPr>
  </singleXmlCell>
  <singleXmlCell id="2120" xr6:uid="{19C2B9C5-982D-40E0-B37E-63B75ED67F3E}" r="D29" connectionId="0">
    <xmlCellPr id="1" xr6:uid="{94EAD8E1-4FE7-4102-BC3E-54BDD2137E9F}" uniqueName="DriverValue">
      <xmlPr mapId="7" xpath="/MAKE/AOP/AOP_Frontal_MPDB/Head_and_Neck_assessment/Neck_assessment/Tension_level_exceeded_kN/@DriverValue" xmlDataType="decimal"/>
    </xmlCellPr>
  </singleXmlCell>
  <singleXmlCell id="2121" xr6:uid="{8331DD9F-9E25-44B5-98AF-D8BEC23AE838}" r="E29" connectionId="0">
    <xmlCellPr id="1" xr6:uid="{7A681725-8D6F-4979-B2C8-FE950F044EEA}" uniqueName="DriverPoints">
      <xmlPr mapId="7" xpath="/MAKE/AOP/AOP_Frontal_MPDB/Head_and_Neck_assessment/Neck_assessment/Tension_level_exceeded_kN/@DriverPoints" xmlDataType="decimal"/>
    </xmlCellPr>
  </singleXmlCell>
  <singleXmlCell id="2122" xr6:uid="{8CD083EB-CC73-4A24-925E-3328362F8ED8}" r="F29" connectionId="0">
    <xmlCellPr id="1" xr6:uid="{0F14A384-481A-48A8-B550-38A0F84A238E}" uniqueName="PassengerValue">
      <xmlPr mapId="7" xpath="/MAKE/AOP/AOP_Frontal_MPDB/Head_and_Neck_assessment/Neck_assessment/Tension_level_exceeded_kN/@PassengerValue" xmlDataType="decimal"/>
    </xmlCellPr>
  </singleXmlCell>
  <singleXmlCell id="2123" xr6:uid="{92EE3530-F160-4321-8916-9AA7047A2AC7}" r="G29" connectionId="0">
    <xmlCellPr id="1" xr6:uid="{26BA03F8-18F3-402A-A242-2A392880886C}" uniqueName="PassengerPoints">
      <xmlPr mapId="7" xpath="/MAKE/AOP/AOP_Frontal_MPDB/Head_and_Neck_assessment/Neck_assessment/Tension_level_exceeded_kN/@PassengerPoints" xmlDataType="decimal"/>
    </xmlCellPr>
  </singleXmlCell>
  <singleXmlCell id="2126" xr6:uid="{0A3D4455-754A-434B-BFED-695441A88680}" r="F30" connectionId="0">
    <xmlCellPr id="1" xr6:uid="{3B1FE195-A602-4F40-89AB-F888E46CE612}" uniqueName="PassengerValue">
      <xmlPr mapId="7" xpath="/MAKE/AOP/AOP_Frontal_MPDB/Head_and_Neck_assessment/Neck_assessment/Tension_level_exceeded_duration_of_exceedence_ms/@PassengerValue" xmlDataType="decimal"/>
    </xmlCellPr>
  </singleXmlCell>
  <singleXmlCell id="2128" xr6:uid="{2F102457-4222-4924-A3D0-712EF37BFB22}" r="D31" connectionId="0">
    <xmlCellPr id="1" xr6:uid="{D67C7245-3739-41DB-94B9-FCDDCCA6A916}" uniqueName="DriverValue">
      <xmlPr mapId="7" xpath="/MAKE/AOP/AOP_Frontal_MPDB/Head_and_Neck_assessment/Neck_assessment/Extension_Nm/@DriverValue" xmlDataType="decimal"/>
    </xmlCellPr>
  </singleXmlCell>
  <singleXmlCell id="2129" xr6:uid="{65702DC0-417C-4E4F-843D-5DF99414CDA4}" r="E31" connectionId="0">
    <xmlCellPr id="1" xr6:uid="{C70DC276-A436-47F2-B823-3724D900A3F7}" uniqueName="DriverPoints">
      <xmlPr mapId="7" xpath="/MAKE/AOP/AOP_Frontal_MPDB/Head_and_Neck_assessment/Neck_assessment/Extension_Nm/@DriverPoints" xmlDataType="decimal"/>
    </xmlCellPr>
  </singleXmlCell>
  <singleXmlCell id="2130" xr6:uid="{15213EE9-614F-42B7-B70D-F39644D94BD5}" r="F31" connectionId="0">
    <xmlCellPr id="1" xr6:uid="{4CA5F409-35BC-4C10-B874-8FB8D44EE13C}" uniqueName="PassengerValue">
      <xmlPr mapId="7" xpath="/MAKE/AOP/AOP_Frontal_MPDB/Head_and_Neck_assessment/Neck_assessment/Extension_Nm/@PassengerValue" xmlDataType="decimal"/>
    </xmlCellPr>
  </singleXmlCell>
  <singleXmlCell id="2131" xr6:uid="{F9B43F5C-B9C3-4C73-B648-476C79B74652}" r="G31" connectionId="0">
    <xmlCellPr id="1" xr6:uid="{C568692B-502D-4CCA-B4CF-BCFC3C3165F9}" uniqueName="PassengerPoints">
      <xmlPr mapId="7" xpath="/MAKE/AOP/AOP_Frontal_MPDB/Head_and_Neck_assessment/Neck_assessment/Extension_Nm/@PassengerPoints" xmlDataType="decimal"/>
    </xmlCellPr>
  </singleXmlCell>
  <singleXmlCell id="2132" xr6:uid="{B87776F5-20A0-4BA6-AD94-BF737B289D2B}" r="D57" connectionId="0">
    <xmlCellPr id="1" xr6:uid="{DCC22620-EF94-4D78-AFE6-ED83E9B8706F}" uniqueName="DriverPoints">
      <xmlPr mapId="7" xpath="/MAKE/AOP/AOP_Frontal_MPDB/Chest_and_Abdomen_assessment/@DriverPoints" xmlDataType="decimal"/>
    </xmlCellPr>
  </singleXmlCell>
  <singleXmlCell id="2133" xr6:uid="{F8D7F12C-B63C-4276-985D-47F9A8D82D46}" r="F57" connectionId="0">
    <xmlCellPr id="1" xr6:uid="{FB7FBA03-00AB-4753-82ED-066314399625}" uniqueName="PassengerPoints">
      <xmlPr mapId="7" xpath="/MAKE/AOP/AOP_Frontal_MPDB/Chest_and_Abdomen_assessment/@PassengerPoints" xmlDataType="decimal"/>
    </xmlCellPr>
  </singleXmlCell>
  <singleXmlCell id="2134" xr6:uid="{A372F708-292F-4A35-802E-E5D134427B80}" r="E51" connectionId="0">
    <xmlCellPr id="1" xr6:uid="{728C8606-DEC2-46EF-BCC5-5B3D518ADCD5}" uniqueName="DriverPoints">
      <xmlPr mapId="7" xpath="/MAKE/AOP/AOP_Frontal_MPDB/Chest_and_Abdomen_assessment/Chest_assessment/@DriverPoints" xmlDataType="decimal"/>
    </xmlCellPr>
  </singleXmlCell>
  <singleXmlCell id="2135" xr6:uid="{47D52539-716A-45E4-A8B4-FCFEA8BE2C18}" r="G51" connectionId="0">
    <xmlCellPr id="1" xr6:uid="{8155D187-6E48-45B0-A7AA-9CC8AA6461A0}" uniqueName="PassengerPoints">
      <xmlPr mapId="7" xpath="/MAKE/AOP/AOP_Frontal_MPDB/Chest_and_Abdomen_assessment/Chest_assessment/@PassengerPoints" xmlDataType="decimal"/>
    </xmlCellPr>
  </singleXmlCell>
  <singleXmlCell id="2138" xr6:uid="{F9711E14-8CFD-401B-8161-A899BA5D816E}" r="D41" connectionId="0">
    <xmlCellPr id="1" xr6:uid="{7C38EF83-2577-4ABC-BCC8-B947F6C371CF}" uniqueName="DriverValue">
      <xmlPr mapId="7" xpath="/MAKE/AOP/AOP_Frontal_MPDB/Chest_and_Abdomen_assessment/Chest_assessment/Dr_Chest_D_Rmax/@DriverValue" xmlDataType="decimal"/>
    </xmlCellPr>
  </singleXmlCell>
  <singleXmlCell id="2139" xr6:uid="{55E7EBD7-F1AF-4873-9533-C3EF6F9A60B2}" r="E41" connectionId="0">
    <xmlCellPr id="1" xr6:uid="{D04130BC-822B-4326-91AA-15811E59F48B}" uniqueName="DriverPoints">
      <xmlPr mapId="7" xpath="/MAKE/AOP/AOP_Frontal_MPDB/Chest_and_Abdomen_assessment/Chest_assessment/Dr_Chest_D_Rmax/@DriverPoints" xmlDataType="decimal"/>
    </xmlCellPr>
  </singleXmlCell>
  <singleXmlCell id="2140" xr6:uid="{38A2D5DC-E403-4C94-9E32-BCD300997BC2}" r="D42" connectionId="0">
    <xmlCellPr id="1" xr6:uid="{D47F5834-6448-4EAB-B912-CF5EB0D740CE}" uniqueName="DriverValue">
      <xmlPr mapId="7" xpath="/MAKE/AOP/AOP_Frontal_MPDB/Chest_and_Abdomen_assessment/Chest_assessment/Dr_Chest_D_PCA/@DriverValue" xmlDataType="decimal"/>
    </xmlCellPr>
  </singleXmlCell>
  <singleXmlCell id="2143" xr6:uid="{3927F146-B322-4658-9A56-CFA6EBF65300}" r="F44" connectionId="0">
    <xmlCellPr id="1" xr6:uid="{B4C71257-3208-47CA-B3DA-80B8BB7EB4A8}" uniqueName="PassengerValue">
      <xmlPr mapId="7" xpath="/MAKE/AOP/AOP_Frontal_MPDB/Chest_and_Abdomen_assessment/Chest_assessment/Compression/@PassengerValue" xmlDataType="decimal"/>
    </xmlCellPr>
  </singleXmlCell>
  <singleXmlCell id="2144" xr6:uid="{B0B0C3F7-518B-4D29-8FD6-10CBBE558437}" r="G44" connectionId="0">
    <xmlCellPr id="1" xr6:uid="{E1BFEFEA-122B-414B-99E3-8AF96B11A525}" uniqueName="PassengerPoints">
      <xmlPr mapId="7" xpath="/MAKE/AOP/AOP_Frontal_MPDB/Chest_and_Abdomen_assessment/Chest_assessment/Compression/@PassengerPoints" xmlDataType="decimal"/>
    </xmlCellPr>
  </singleXmlCell>
  <singleXmlCell id="2151" xr6:uid="{63BF242A-CB74-4FA9-9D1A-6FA2C77777D9}" r="F45" connectionId="0">
    <xmlCellPr id="1" xr6:uid="{BE2EFD29-20F5-4A00-9A85-F579E1401891}" uniqueName="PassengerValue">
      <xmlPr mapId="7" xpath="/MAKE/AOP/AOP_Frontal_MPDB/Chest_and_Abdomen_assessment/Chest_assessment/Viscous_criterion/@PassengerValue" xmlDataType="decimal"/>
    </xmlCellPr>
  </singleXmlCell>
  <singleXmlCell id="2152" xr6:uid="{4439413D-C11E-4C20-A457-9CADE471576F}" r="G45" connectionId="0">
    <xmlCellPr id="1" xr6:uid="{CAA96D7A-B36A-48D2-BA19-1AF4FDA2058B}" uniqueName="PassengerPoints">
      <xmlPr mapId="7" xpath="/MAKE/AOP/AOP_Frontal_MPDB/Chest_and_Abdomen_assessment/Chest_assessment/Viscous_criterion/@PassengerPoints" xmlDataType="decimal"/>
    </xmlCellPr>
  </singleXmlCell>
  <singleXmlCell id="2153" xr6:uid="{EE59DA94-759A-4791-9F54-3A23A16CC302}" r="D46" connectionId="0">
    <xmlCellPr id="1" xr6:uid="{904899F0-B942-43A7-A73E-AE232CFED565}" uniqueName="DriverValue">
      <xmlPr mapId="7" xpath="/MAKE/AOP/AOP_Frontal_MPDB/Chest_and_Abdomen_assessment/Chest_assessment/Shoulder_belt_load_kN/@DriverValue" xmlDataType="decimal"/>
    </xmlCellPr>
  </singleXmlCell>
  <singleXmlCell id="2154" xr6:uid="{26D80AC3-553C-49C7-B34A-EF1AFC05E9ED}" r="E46" connectionId="0">
    <xmlCellPr id="1" xr6:uid="{454C88A3-2152-4DD2-825A-6B5FEE13DB3B}" uniqueName="DriverPoints">
      <xmlPr mapId="7" xpath="/MAKE/AOP/AOP_Frontal_MPDB/Chest_and_Abdomen_assessment/Chest_assessment/Shoulder_belt_load_kN/@DriverPoints" xmlDataType="decimal"/>
    </xmlCellPr>
  </singleXmlCell>
  <singleXmlCell id="2155" xr6:uid="{6C8A1CFC-79B4-4980-8FDD-0F51587C1258}" r="F46" connectionId="0">
    <xmlCellPr id="1" xr6:uid="{5F1992BE-CB9A-4659-A1C8-A19F900A79FB}" uniqueName="PassengerValue">
      <xmlPr mapId="7" xpath="/MAKE/AOP/AOP_Frontal_MPDB/Chest_and_Abdomen_assessment/Chest_assessment/Shoulder_belt_load_kN/@PassengerValue" xmlDataType="decimal"/>
    </xmlCellPr>
  </singleXmlCell>
  <singleXmlCell id="2156" xr6:uid="{0F631CA3-733D-4C25-AAF9-C1F28C41D545}" r="G46" connectionId="0">
    <xmlCellPr id="1" xr6:uid="{7070B4D7-DABD-4CB3-93E9-607BC8E4F5FD}" uniqueName="PassengerPoints">
      <xmlPr mapId="7" xpath="/MAKE/AOP/AOP_Frontal_MPDB/Chest_and_Abdomen_assessment/Chest_assessment/Shoulder_belt_load_kN/@PassengerPoints" xmlDataType="decimal"/>
    </xmlCellPr>
  </singleXmlCell>
  <singleXmlCell id="2157" xr6:uid="{D0DAF22B-599F-44DA-B8E5-CF9D708BF705}" r="E47" connectionId="0">
    <xmlCellPr id="1" xr6:uid="{849B3D91-E8BF-421A-B837-B05923B1C638}" uniqueName="DriverPoints">
      <xmlPr mapId="7" xpath="/MAKE/AOP/AOP_Frontal_MPDB/Chest_and_Abdomen_assessment/Chest_assessment/Incorrect_airbag_deployment_modifier/@DriverPoints" xmlDataType="decimal"/>
    </xmlCellPr>
  </singleXmlCell>
  <singleXmlCell id="2158" xr6:uid="{A17DCEC8-866F-4171-B153-5709D7BD9646}" r="G47" connectionId="0">
    <xmlCellPr id="1" xr6:uid="{39DC1525-BCFD-4AF7-9415-A3ACF836FBA4}" uniqueName="PassengerPoints">
      <xmlPr mapId="7" xpath="/MAKE/AOP/AOP_Frontal_MPDB/Chest_and_Abdomen_assessment/Chest_assessment/Incorrect_airbag_deployment_modifier/@PassengerPoints" xmlDataType="decimal"/>
    </xmlCellPr>
  </singleXmlCell>
  <singleXmlCell id="2159" xr6:uid="{7053945A-7A5D-473C-A0AB-02B23DD868B3}" r="E48" connectionId="0">
    <xmlCellPr id="1" xr6:uid="{B2292DBA-5E7F-4E79-9B2E-1DE1DBC12CFC}" uniqueName="DriverPoints">
      <xmlPr mapId="7" xpath="/MAKE/AOP/AOP_Frontal_MPDB/Chest_and_Abdomen_assessment/Chest_assessment/Steering_wheel_contact/@DriverPoints" xmlDataType="decimal"/>
    </xmlCellPr>
  </singleXmlCell>
  <singleXmlCell id="2160" xr6:uid="{A935124C-C3DF-4541-8779-8A141C6EA4B8}" r="E49" connectionId="0">
    <xmlCellPr id="1" xr6:uid="{EF17A55D-2F7B-446F-86CD-C9062170EAC6}" uniqueName="Modifier_Score">
      <xmlPr mapId="7" xpath="/MAKE/AOP/AOP_Frontal_MPDB/Chest_and_Abdomen_assessment/Chest_assessment/A_Pillar_displacement/@Modifier_Score" xmlDataType="decimal"/>
    </xmlCellPr>
  </singleXmlCell>
  <singleXmlCell id="2161" xr6:uid="{69608721-1F7C-41A6-83B2-D1DCD0512C75}" r="E50" connectionId="0">
    <xmlCellPr id="1" xr6:uid="{0B2AAF0E-62D7-465A-9784-8A69B1364D2E}" uniqueName="Unstable_passenger_compartment">
      <xmlPr mapId="7" xpath="/MAKE/AOP/AOP_Frontal_MPDB/Chest_and_Abdomen_assessment/Chest_assessment/Unstable_passenger_compartment" xmlDataType="integer"/>
    </xmlCellPr>
  </singleXmlCell>
  <singleXmlCell id="2162" xr6:uid="{95A7A6F8-D6C4-470E-A536-7D0E18C7F63F}" r="D49" connectionId="0">
    <xmlCellPr id="1" xr6:uid="{D6D2B113-B382-42D4-BC43-A38F8F47E44D}" uniqueName="Value">
      <xmlPr mapId="7" xpath="/MAKE/AOP/AOP_Frontal_MPDB/Chest_and_Abdomen_assessment/Chest_assessment/A_Pillar_displacement/@Value" xmlDataType="decimal"/>
    </xmlCellPr>
  </singleXmlCell>
  <singleXmlCell id="2163" xr6:uid="{6A6D128E-1AD7-499F-BD1E-A75274759EC0}" r="D53" connectionId="0">
    <xmlCellPr id="1" xr6:uid="{E1EBB9EC-C7B0-4068-8D6B-236576664870}" uniqueName="DriverValue">
      <xmlPr mapId="7" xpath="/MAKE/AOP/AOP_Frontal_MPDB/Chest_and_Abdomen_assessment/Abdomen/Compression_L/@DriverValue" xmlDataType="decimal"/>
    </xmlCellPr>
  </singleXmlCell>
  <singleXmlCell id="2164" xr6:uid="{1FE64555-3E8D-4592-98E8-A3EAE72E4C39}" r="E53" connectionId="0">
    <xmlCellPr id="1" xr6:uid="{7EB8E1BB-36CE-4DB3-B21C-0364C48CE557}" uniqueName="DriverPoints">
      <xmlPr mapId="7" xpath="/MAKE/AOP/AOP_Frontal_MPDB/Chest_and_Abdomen_assessment/Abdomen/Compression_L/@DriverPoints" xmlDataType="decimal"/>
    </xmlCellPr>
  </singleXmlCell>
  <singleXmlCell id="2165" xr6:uid="{1014C30F-8E83-420F-A178-A404310D890E}" r="D54" connectionId="0">
    <xmlCellPr id="1" xr6:uid="{D7B797DC-B7BF-4D52-B48A-72124ED0177B}" uniqueName="DriverValue">
      <xmlPr mapId="7" xpath="/MAKE/AOP/AOP_Frontal_MPDB/Chest_and_Abdomen_assessment/Abdomen/Compression_R/@DriverValue" xmlDataType="decimal"/>
    </xmlCellPr>
  </singleXmlCell>
  <singleXmlCell id="2166" xr6:uid="{9EF4B4BA-64EE-4B8E-A631-1AC389B2A129}" r="E54" connectionId="0">
    <xmlCellPr id="1" xr6:uid="{936D4AC2-D3EF-4E16-A69D-6FBEE84EE090}" uniqueName="DriverPoints">
      <xmlPr mapId="7" xpath="/MAKE/AOP/AOP_Frontal_MPDB/Chest_and_Abdomen_assessment/Abdomen/Compression_R/@DriverPoints" xmlDataType="decimal"/>
    </xmlCellPr>
  </singleXmlCell>
  <singleXmlCell id="2167" xr6:uid="{4A43AA9F-78AA-4A29-857A-D20A687F5845}" r="E55" connectionId="0">
    <xmlCellPr id="1" xr6:uid="{30B10C9A-7361-44F6-AEFC-AAAD6FF8B53D}" uniqueName="DriverPoints">
      <xmlPr mapId="7" xpath="/MAKE/AOP/AOP_Frontal_MPDB/Chest_and_Abdomen_assessment/Abdomen/@DriverPoints" xmlDataType="decimal"/>
    </xmlCellPr>
  </singleXmlCell>
  <singleXmlCell id="2168" xr6:uid="{12B3464F-0CC7-4485-A9FB-C35877575D0C}" r="D79" connectionId="0">
    <xmlCellPr id="1" xr6:uid="{AA76B619-5C67-4001-A251-33D4EEF77AD8}" uniqueName="DriverPoints">
      <xmlPr mapId="7" xpath="/MAKE/AOP/AOP_Frontal_MPDB/Knee_Femur_and_Pelvis_assessment/@DriverPoints" xmlDataType="decimal"/>
    </xmlCellPr>
  </singleXmlCell>
  <singleXmlCell id="2169" xr6:uid="{BF4CAC2D-7BA6-4DE1-B35A-323C0D2591A3}" r="F79" connectionId="0">
    <xmlCellPr id="1" xr6:uid="{5D9B1B2F-7290-4C2D-8E59-9A36CC66648D}" uniqueName="PassengerPoints">
      <xmlPr mapId="7" xpath="/MAKE/AOP/AOP_Frontal_MPDB/Knee_Femur_and_Pelvis_assessment/@PassengerPoints" xmlDataType="decimal"/>
    </xmlCellPr>
  </singleXmlCell>
  <singleXmlCell id="2170" xr6:uid="{6BE70D9A-4726-4F78-86CD-8C4BE7E7034C}" r="E77" connectionId="0">
    <xmlCellPr id="1" xr6:uid="{4C5B43BA-5262-4026-A658-62CBC7019C28}" uniqueName="DriverPoints">
      <xmlPr mapId="7" xpath="/MAKE/AOP/AOP_Frontal_MPDB/Knee_Femur_and_Pelvis_assessment/Pelvis/@DriverPoints" xmlDataType="decimal"/>
    </xmlCellPr>
  </singleXmlCell>
  <singleXmlCell id="2171" xr6:uid="{10E18A76-F19C-4E3B-84BD-4612C26F0C2C}" r="D74" connectionId="0">
    <xmlCellPr id="1" xr6:uid="{3B55AD94-FC72-4FD6-ABD9-4FAA46B1E8FA}" uniqueName="DriverValue">
      <xmlPr mapId="7" xpath="/MAKE/AOP/AOP_Frontal_MPDB/Knee_Femur_and_Pelvis_assessment/Pelvis/Left_Acetabulum_Comp/@DriverValue" xmlDataType="decimal"/>
    </xmlCellPr>
  </singleXmlCell>
  <singleXmlCell id="2172" xr6:uid="{2414FBBF-6ABB-4DB8-82B7-93337DC36A93}" r="E74" connectionId="0">
    <xmlCellPr id="1" xr6:uid="{1CC5051B-8654-4FA2-A0E9-1B54D9425595}" uniqueName="DriverPoints">
      <xmlPr mapId="7" xpath="/MAKE/AOP/AOP_Frontal_MPDB/Knee_Femur_and_Pelvis_assessment/Pelvis/Left_Acetabulum_Comp/@DriverPoints" xmlDataType="decimal"/>
    </xmlCellPr>
  </singleXmlCell>
  <singleXmlCell id="2173" xr6:uid="{9C022706-6B5D-4AD3-8838-944E6C16BC43}" r="D75" connectionId="0">
    <xmlCellPr id="1" xr6:uid="{8AFC4D07-0F7D-4060-986C-292B561CDDA9}" uniqueName="DriverValue">
      <xmlPr mapId="7" xpath="/MAKE/AOP/AOP_Frontal_MPDB/Knee_Femur_and_Pelvis_assessment/Pelvis/Right_Acetabulum_Comp/@DriverValue" xmlDataType="decimal"/>
    </xmlCellPr>
  </singleXmlCell>
  <singleXmlCell id="2174" xr6:uid="{4BCC78E7-F7A9-4A90-A347-7AF16D710D96}" r="E75" connectionId="0">
    <xmlCellPr id="1" xr6:uid="{853BAE23-191D-4803-A17B-1E20BACD8110}" uniqueName="DriverPoints">
      <xmlPr mapId="7" xpath="/MAKE/AOP/AOP_Frontal_MPDB/Knee_Femur_and_Pelvis_assessment/Pelvis/Right_Acetabulum_Comp/@DriverPoints" xmlDataType="decimal"/>
    </xmlCellPr>
  </singleXmlCell>
  <singleXmlCell id="2175" xr6:uid="{63BEF979-2322-45E8-A433-2DDD0C10D648}" r="D60" connectionId="0">
    <xmlCellPr id="1" xr6:uid="{2DC69959-A033-453A-8B66-ACC033B33506}" uniqueName="DriverValue">
      <xmlPr mapId="7" xpath="/MAKE/AOP/AOP_Frontal_MPDB/Knee_Femur_and_Pelvis_assessment/Left_Knee_Femur_and_Pelvis_assessment/Left_Knee_Slide/@DriverValue" xmlDataType="decimal"/>
    </xmlCellPr>
  </singleXmlCell>
  <singleXmlCell id="2176" xr6:uid="{54FF5094-A45E-45DB-A537-BBD9FF4B0C0B}" r="E60" connectionId="0">
    <xmlCellPr id="1" xr6:uid="{3CF3FDA9-F7D1-4C3D-A4D0-4C167D152EFB}" uniqueName="DriverPoints">
      <xmlPr mapId="7" xpath="/MAKE/AOP/AOP_Frontal_MPDB/Knee_Femur_and_Pelvis_assessment/Left_Knee_Femur_and_Pelvis_assessment/Left_Knee_Slide/@DriverPoints" xmlDataType="decimal"/>
    </xmlCellPr>
  </singleXmlCell>
  <singleXmlCell id="2177" xr6:uid="{EB80206C-8D92-4A6B-8A89-C85A3117770A}" r="F60" connectionId="0">
    <xmlCellPr id="1" xr6:uid="{9BA7B9BC-6426-4EC3-8720-06BC4C5A879A}" uniqueName="PassengerValue">
      <xmlPr mapId="7" xpath="/MAKE/AOP/AOP_Frontal_MPDB/Knee_Femur_and_Pelvis_assessment/Left_Knee_Femur_and_Pelvis_assessment/Left_Knee_Slide/@PassengerValue" xmlDataType="decimal"/>
    </xmlCellPr>
  </singleXmlCell>
  <singleXmlCell id="2178" xr6:uid="{75AAC8D5-9324-4122-9395-E143BFD700E4}" r="G60" connectionId="0">
    <xmlCellPr id="1" xr6:uid="{89E01928-D6CF-47F6-9428-4F428CE0D293}" uniqueName="PassengerPoints">
      <xmlPr mapId="7" xpath="/MAKE/AOP/AOP_Frontal_MPDB/Knee_Femur_and_Pelvis_assessment/Left_Knee_Femur_and_Pelvis_assessment/Left_Knee_Slide/@PassengerPoints" xmlDataType="decimal"/>
    </xmlCellPr>
  </singleXmlCell>
  <singleXmlCell id="2179" xr6:uid="{BBF6DABB-B0D1-484D-997E-4C789A484778}" r="D61" connectionId="0">
    <xmlCellPr id="1" xr6:uid="{BE05781E-F62A-4CC8-8CF2-8007CA09C676}" uniqueName="DriverValue">
      <xmlPr mapId="7" xpath="/MAKE/AOP/AOP_Frontal_MPDB/Knee_Femur_and_Pelvis_assessment/Left_Knee_Femur_and_Pelvis_assessment/Left_Femur_Compression_level_exceeded_kN/@DriverValue" xmlDataType="decimal"/>
    </xmlCellPr>
  </singleXmlCell>
  <singleXmlCell id="2180" xr6:uid="{2F607E44-4118-475F-9350-4DB7B7701D3E}" r="E61" connectionId="0">
    <xmlCellPr id="1" xr6:uid="{4AFE488C-F811-43F0-9F33-CCB306BE60AE}" uniqueName="DriverPoints">
      <xmlPr mapId="7" xpath="/MAKE/AOP/AOP_Frontal_MPDB/Knee_Femur_and_Pelvis_assessment/Left_Knee_Femur_and_Pelvis_assessment/Left_Femur_Compression_level_exceeded_kN/@DriverPoints" xmlDataType="decimal"/>
    </xmlCellPr>
  </singleXmlCell>
  <singleXmlCell id="2181" xr6:uid="{791B9A9F-6BBB-40DF-BF7A-1BF0B27667DF}" r="F61" connectionId="0">
    <xmlCellPr id="1" xr6:uid="{7CCCA2FB-5921-49BE-AB27-406A294439C9}" uniqueName="PassengerValue">
      <xmlPr mapId="7" xpath="/MAKE/AOP/AOP_Frontal_MPDB/Knee_Femur_and_Pelvis_assessment/Left_Knee_Femur_and_Pelvis_assessment/Left_Femur_Compression_level_exceeded_kN/@PassengerValue" xmlDataType="decimal"/>
    </xmlCellPr>
  </singleXmlCell>
  <singleXmlCell id="2182" xr6:uid="{7A5D65C5-7ABB-4303-B56D-D571370CDD92}" r="G61" connectionId="0">
    <xmlCellPr id="1" xr6:uid="{2F70955C-402E-4E9A-8BBE-1E4F0E188D65}" uniqueName="PassengerPoints">
      <xmlPr mapId="7" xpath="/MAKE/AOP/AOP_Frontal_MPDB/Knee_Femur_and_Pelvis_assessment/Left_Knee_Femur_and_Pelvis_assessment/Left_Femur_Compression_level_exceeded_kN/@PassengerPoints" xmlDataType="decimal"/>
    </xmlCellPr>
  </singleXmlCell>
  <singleXmlCell id="2183" xr6:uid="{16ACE6D4-EA38-472A-9B9A-60FC36E2D9DC}" r="D62" connectionId="0">
    <xmlCellPr id="1" xr6:uid="{13BDC964-EED0-4873-A8EF-CBE05E850441}" uniqueName="DriverValue">
      <xmlPr mapId="7" xpath="/MAKE/AOP/AOP_Frontal_MPDB/Knee_Femur_and_Pelvis_assessment/Left_Knee_Femur_and_Pelvis_assessment/Left_femur_compression_duration/@DriverValue" xmlDataType="decimal"/>
    </xmlCellPr>
  </singleXmlCell>
  <singleXmlCell id="2185" xr6:uid="{3A792DBC-1121-4958-915C-34B5CFFABF6F}" r="F62" connectionId="0">
    <xmlCellPr id="1" xr6:uid="{678AA7EE-877F-4981-93E4-2252E20AB649}" uniqueName="PassengerValue">
      <xmlPr mapId="7" xpath="/MAKE/AOP/AOP_Frontal_MPDB/Knee_Femur_and_Pelvis_assessment/Left_Knee_Femur_and_Pelvis_assessment/Left_femur_compression_duration/@PassengerValue" xmlDataType="decimal"/>
    </xmlCellPr>
  </singleXmlCell>
  <singleXmlCell id="2187" xr6:uid="{D177632E-FBFF-4977-91B7-E33FAA93B6E5}" r="E63" connectionId="0">
    <xmlCellPr id="1" xr6:uid="{2F64CB24-A8BB-439F-92AE-D55A3A733C35}" uniqueName="DriverPoints">
      <xmlPr mapId="7" xpath="/MAKE/AOP/AOP_Frontal_MPDB/Knee_Femur_and_Pelvis_assessment/Left_Knee_Femur_and_Pelvis_assessment/Variable_contact/@DriverPoints" xmlDataType="decimal"/>
    </xmlCellPr>
  </singleXmlCell>
  <singleXmlCell id="2188" xr6:uid="{F81889BA-3ACA-44C3-BED4-8181ACB730EE}" r="G63" connectionId="0">
    <xmlCellPr id="1" xr6:uid="{9AEE6CF5-97B4-442B-8CC8-9654154C0E4B}" uniqueName="PassengerPoints">
      <xmlPr mapId="7" xpath="/MAKE/AOP/AOP_Frontal_MPDB/Knee_Femur_and_Pelvis_assessment/Left_Knee_Femur_and_Pelvis_assessment/Variable_contact/@PassengerPoints" xmlDataType="decimal"/>
    </xmlCellPr>
  </singleXmlCell>
  <singleXmlCell id="2189" xr6:uid="{57AF40BF-967B-4905-9764-CA8CF5FBF03A}" r="E64" connectionId="0">
    <xmlCellPr id="1" xr6:uid="{AB883359-3685-43E9-8DC4-404C9B27B2A1}" uniqueName="DriverPoints">
      <xmlPr mapId="7" xpath="/MAKE/AOP/AOP_Frontal_MPDB/Knee_Femur_and_Pelvis_assessment/Left_Knee_Femur_and_Pelvis_assessment/Concentrated_loading/@DriverPoints" xmlDataType="decimal"/>
    </xmlCellPr>
  </singleXmlCell>
  <singleXmlCell id="2190" xr6:uid="{6A1C77DD-DB4C-4D44-8F05-7A5B1FB5FB0A}" r="G64" connectionId="0">
    <xmlCellPr id="1" xr6:uid="{2422A842-E3F5-452A-8168-82121038E7D4}" uniqueName="PassengerPoints">
      <xmlPr mapId="7" xpath="/MAKE/AOP/AOP_Frontal_MPDB/Knee_Femur_and_Pelvis_assessment/Left_Knee_Femur_and_Pelvis_assessment/Concentrated_loading/@PassengerPoints" xmlDataType="decimal"/>
    </xmlCellPr>
  </singleXmlCell>
  <singleXmlCell id="2191" xr6:uid="{DEDFB57C-0291-4BF8-9F31-978DC4C88090}" r="E65" connectionId="0">
    <xmlCellPr id="1" xr6:uid="{172D8B55-0301-4575-AC33-15BDC6C17C48}" uniqueName="DriverPoints">
      <xmlPr mapId="7" xpath="/MAKE/AOP/AOP_Frontal_MPDB/Knee_Femur_and_Pelvis_assessment/Left_Knee_Femur_and_Pelvis_assessment/Incorrect_airbag_deployment_modifier/@DriverPoints" xmlDataType="decimal"/>
    </xmlCellPr>
  </singleXmlCell>
  <singleXmlCell id="2192" xr6:uid="{01DCEEDE-EB38-4167-BFB7-0C73CD348907}" r="G65" connectionId="0">
    <xmlCellPr id="1" xr6:uid="{657A2FB0-13B4-4123-8631-CD2D20C64173}" uniqueName="PassengerPoints">
      <xmlPr mapId="7" xpath="/MAKE/AOP/AOP_Frontal_MPDB/Knee_Femur_and_Pelvis_assessment/Left_Knee_Femur_and_Pelvis_assessment/Incorrect_airbag_deployment_modifier/@PassengerPoints" xmlDataType="decimal"/>
    </xmlCellPr>
  </singleXmlCell>
  <singleXmlCell id="2193" xr6:uid="{CECA7716-1486-4B0A-9888-7A5B73570188}" r="E66" connectionId="0">
    <xmlCellPr id="1" xr6:uid="{A97148B2-24D4-445D-BCE0-5FD5326DE723}" uniqueName="DriverPoints">
      <xmlPr mapId="7" xpath="/MAKE/AOP/AOP_Frontal_MPDB/Knee_Femur_and_Pelvis_assessment/Left_Knee_Femur_and_Pelvis_assessment/@DriverPoints" xmlDataType="decimal"/>
    </xmlCellPr>
  </singleXmlCell>
  <singleXmlCell id="2194" xr6:uid="{8287D410-469A-4D84-AAF8-7A1FF26B976D}" r="G66" connectionId="0">
    <xmlCellPr id="1" xr6:uid="{D2F41E44-F0A0-42B7-B4CA-39D93740633E}" uniqueName="PassengerPoints">
      <xmlPr mapId="7" xpath="/MAKE/AOP/AOP_Frontal_MPDB/Knee_Femur_and_Pelvis_assessment/Left_Knee_Femur_and_Pelvis_assessment/@PassengerPoints" xmlDataType="decimal"/>
    </xmlCellPr>
  </singleXmlCell>
  <singleXmlCell id="2214" xr6:uid="{90021AA3-9FAF-4789-ACF8-90465CA0F614}" r="D67" connectionId="0">
    <xmlCellPr id="1" xr6:uid="{B0FA0AB3-0681-41DB-B344-53E93068CAFA}" uniqueName="DriverValue">
      <xmlPr mapId="7" xpath="/MAKE/AOP/AOP_Frontal_MPDB/Knee_Femur_and_Pelvis_assessment/Right_Knee_Femur_and_Pelvis_assessment/Right_Knee_Slide/@DriverValue" xmlDataType="decimal"/>
    </xmlCellPr>
  </singleXmlCell>
  <singleXmlCell id="2215" xr6:uid="{BA9FCD33-5731-4448-B118-EB76DE7BEE90}" r="E67" connectionId="0">
    <xmlCellPr id="1" xr6:uid="{E3642B9D-501C-4C9F-83C9-B94B996939BF}" uniqueName="DriverPoints">
      <xmlPr mapId="7" xpath="/MAKE/AOP/AOP_Frontal_MPDB/Knee_Femur_and_Pelvis_assessment/Right_Knee_Femur_and_Pelvis_assessment/Right_Knee_Slide/@DriverPoints" xmlDataType="decimal"/>
    </xmlCellPr>
  </singleXmlCell>
  <singleXmlCell id="2216" xr6:uid="{501B36F6-D9BB-478C-A477-0CBF64A626FA}" r="F67" connectionId="0">
    <xmlCellPr id="1" xr6:uid="{1E9E6282-908F-403C-83E2-B50752C38A4A}" uniqueName="PassengerValue">
      <xmlPr mapId="7" xpath="/MAKE/AOP/AOP_Frontal_MPDB/Knee_Femur_and_Pelvis_assessment/Right_Knee_Femur_and_Pelvis_assessment/Right_Knee_Slide/@PassengerValue" xmlDataType="decimal"/>
    </xmlCellPr>
  </singleXmlCell>
  <singleXmlCell id="2217" xr6:uid="{0B3AF30D-B12A-459C-BE09-4373FDB4ABE3}" r="G67" connectionId="0">
    <xmlCellPr id="1" xr6:uid="{E6CFBB44-A831-4C34-88A8-8530449E355B}" uniqueName="PassengerPoints">
      <xmlPr mapId="7" xpath="/MAKE/AOP/AOP_Frontal_MPDB/Knee_Femur_and_Pelvis_assessment/Right_Knee_Femur_and_Pelvis_assessment/Right_Knee_Slide/@PassengerPoints" xmlDataType="decimal"/>
    </xmlCellPr>
  </singleXmlCell>
  <singleXmlCell id="2218" xr6:uid="{D9DBC337-923F-467B-A7A5-4A335D5A944D}" r="D68" connectionId="0">
    <xmlCellPr id="1" xr6:uid="{7C308C6B-A133-4123-A54E-6DEF3CB9CE2F}" uniqueName="DriverValue">
      <xmlPr mapId="7" xpath="/MAKE/AOP/AOP_Frontal_MPDB/Knee_Femur_and_Pelvis_assessment/Right_Knee_Femur_and_Pelvis_assessment/Right_Femur_Compression_level_exceeded_kN/@DriverValue" xmlDataType="decimal"/>
    </xmlCellPr>
  </singleXmlCell>
  <singleXmlCell id="2219" xr6:uid="{F6A96435-889F-4977-82AA-5620722B50A3}" r="E68" connectionId="0">
    <xmlCellPr id="1" xr6:uid="{745DB829-A0E7-4913-8E1B-4B38F478EBE7}" uniqueName="DriverPoints">
      <xmlPr mapId="7" xpath="/MAKE/AOP/AOP_Frontal_MPDB/Knee_Femur_and_Pelvis_assessment/Right_Knee_Femur_and_Pelvis_assessment/Right_Femur_Compression_level_exceeded_kN/@DriverPoints" xmlDataType="decimal"/>
    </xmlCellPr>
  </singleXmlCell>
  <singleXmlCell id="2220" xr6:uid="{316EC03A-DE4E-4EF2-A58D-F3E553DAABA7}" r="F68" connectionId="0">
    <xmlCellPr id="1" xr6:uid="{1E8FFF8F-5F18-4B28-AE1C-E681E5DB8F6A}" uniqueName="PassengerValue">
      <xmlPr mapId="7" xpath="/MAKE/AOP/AOP_Frontal_MPDB/Knee_Femur_and_Pelvis_assessment/Right_Knee_Femur_and_Pelvis_assessment/Right_Femur_Compression_level_exceeded_kN/@PassengerValue" xmlDataType="decimal"/>
    </xmlCellPr>
  </singleXmlCell>
  <singleXmlCell id="2221" xr6:uid="{BDA21E88-B08E-4154-BF88-D0326F59E585}" r="G68" connectionId="0">
    <xmlCellPr id="1" xr6:uid="{901A63DC-3EE0-4CDB-8878-AD82BEACAFBE}" uniqueName="PassengerPoints">
      <xmlPr mapId="7" xpath="/MAKE/AOP/AOP_Frontal_MPDB/Knee_Femur_and_Pelvis_assessment/Right_Knee_Femur_and_Pelvis_assessment/Right_Femur_Compression_level_exceeded_kN/@PassengerPoints" xmlDataType="decimal"/>
    </xmlCellPr>
  </singleXmlCell>
  <singleXmlCell id="2222" xr6:uid="{AD9781F8-B75E-4C2D-B2A3-B133A4B480AC}" r="D69" connectionId="0">
    <xmlCellPr id="1" xr6:uid="{2C71B1B6-FDED-412D-8A45-C28FD2152FC7}" uniqueName="DriverValue">
      <xmlPr mapId="7" xpath="/MAKE/AOP/AOP_Frontal_MPDB/Knee_Femur_and_Pelvis_assessment/Right_Knee_Femur_and_Pelvis_assessment/Right_femur_compression_duration/@DriverValue" xmlDataType="decimal"/>
    </xmlCellPr>
  </singleXmlCell>
  <singleXmlCell id="2223" xr6:uid="{3EA3B5C9-71F4-4817-BF5B-CF82A98C2423}" r="F69" connectionId="0">
    <xmlCellPr id="1" xr6:uid="{E1C545BC-DF84-4A2E-84A0-ABFA40B1B76C}" uniqueName="PassengerValue">
      <xmlPr mapId="7" xpath="/MAKE/AOP/AOP_Frontal_MPDB/Knee_Femur_and_Pelvis_assessment/Right_Knee_Femur_and_Pelvis_assessment/Right_femur_compression_duration/@PassengerValue" xmlDataType="decimal"/>
    </xmlCellPr>
  </singleXmlCell>
  <singleXmlCell id="2224" xr6:uid="{CB681084-7FA2-40B7-913F-C83C60DD49FD}" r="E70" connectionId="0">
    <xmlCellPr id="1" xr6:uid="{ADC7C5E1-5559-4096-B147-93EC7E02A4C8}" uniqueName="DriverPoints">
      <xmlPr mapId="7" xpath="/MAKE/AOP/AOP_Frontal_MPDB/Knee_Femur_and_Pelvis_assessment/Right_Knee_Femur_and_Pelvis_assessment/Variable_contact/@DriverPoints" xmlDataType="decimal"/>
    </xmlCellPr>
  </singleXmlCell>
  <singleXmlCell id="2225" xr6:uid="{F4A818FC-6213-4A03-A50F-F8A5BD2C1837}" r="G70" connectionId="0">
    <xmlCellPr id="1" xr6:uid="{2BA8A8A2-C4C1-41EA-8288-F15715DD93FA}" uniqueName="PassengerPoints">
      <xmlPr mapId="7" xpath="/MAKE/AOP/AOP_Frontal_MPDB/Knee_Femur_and_Pelvis_assessment/Right_Knee_Femur_and_Pelvis_assessment/Variable_contact/@PassengerPoints" xmlDataType="decimal"/>
    </xmlCellPr>
  </singleXmlCell>
  <singleXmlCell id="2226" xr6:uid="{C180DB08-26F6-48D1-876D-BCCC1025F694}" r="E71" connectionId="0">
    <xmlCellPr id="1" xr6:uid="{E4077136-6A84-4037-B99F-6E644331BDC4}" uniqueName="DriverPoints">
      <xmlPr mapId="7" xpath="/MAKE/AOP/AOP_Frontal_MPDB/Knee_Femur_and_Pelvis_assessment/Right_Knee_Femur_and_Pelvis_assessment/Concentrated_loading/@DriverPoints" xmlDataType="decimal"/>
    </xmlCellPr>
  </singleXmlCell>
  <singleXmlCell id="2227" xr6:uid="{DB92B1CF-8168-426A-8509-4162135DEAEB}" r="G71" connectionId="0">
    <xmlCellPr id="1" xr6:uid="{A76E349A-2C5A-4924-A6F3-0117D326C7D5}" uniqueName="PassengerPoints">
      <xmlPr mapId="7" xpath="/MAKE/AOP/AOP_Frontal_MPDB/Knee_Femur_and_Pelvis_assessment/Right_Knee_Femur_and_Pelvis_assessment/Concentrated_loading/@PassengerPoints" xmlDataType="decimal"/>
    </xmlCellPr>
  </singleXmlCell>
  <singleXmlCell id="2228" xr6:uid="{25EF02D4-D0AC-419D-9249-76143FC64393}" r="E72" connectionId="0">
    <xmlCellPr id="1" xr6:uid="{FB2D04E2-3D7A-456A-A4EC-43DAB566C876}" uniqueName="DriverPoints">
      <xmlPr mapId="7" xpath="/MAKE/AOP/AOP_Frontal_MPDB/Knee_Femur_and_Pelvis_assessment/Right_Knee_Femur_and_Pelvis_assessment/Incorrect_airbag_deployment_modifier/@DriverPoints" xmlDataType="decimal"/>
    </xmlCellPr>
  </singleXmlCell>
  <singleXmlCell id="2229" xr6:uid="{3C98C1A7-C255-4597-82F0-C4BDAD6F29AA}" r="G72" connectionId="0">
    <xmlCellPr id="1" xr6:uid="{8D50D2A3-B8D1-44F7-A7CD-26042064280D}" uniqueName="PassengerPoints">
      <xmlPr mapId="7" xpath="/MAKE/AOP/AOP_Frontal_MPDB/Knee_Femur_and_Pelvis_assessment/Right_Knee_Femur_and_Pelvis_assessment/Incorrect_airbag_deployment_modifier/@PassengerPoints" xmlDataType="decimal"/>
    </xmlCellPr>
  </singleXmlCell>
  <singleXmlCell id="2230" xr6:uid="{3B172619-135C-4FCE-BFA8-4080ABAF21B6}" r="D109" connectionId="0">
    <xmlCellPr id="1" xr6:uid="{C5E13362-372A-463D-A76C-68AFE7CB1E72}" uniqueName="DriverPoints">
      <xmlPr mapId="7" xpath="/MAKE/AOP/AOP_Frontal_MPDB/Lower_Leg_Foot_and_Ankle_assessment/@DriverPoints" xmlDataType="decimal"/>
    </xmlCellPr>
  </singleXmlCell>
  <singleXmlCell id="2231" xr6:uid="{2E69051D-6A8F-48AC-888C-7BA32F66E07F}" r="F109" connectionId="0">
    <xmlCellPr id="1" xr6:uid="{CA5A417D-D784-4370-A02E-0211EE2BDA78}" uniqueName="PassengerPoints">
      <xmlPr mapId="7" xpath="/MAKE/AOP/AOP_Frontal_MPDB/Lower_Leg_Foot_and_Ankle_assessment/@PassengerPoints" xmlDataType="decimal"/>
    </xmlCellPr>
  </singleXmlCell>
  <singleXmlCell id="2232" xr6:uid="{E6730D2B-B09D-4600-9037-097B821ED028}" r="E89" connectionId="0">
    <xmlCellPr id="1" xr6:uid="{E39EA99D-F28E-41C9-A1F5-A1ECB3C44EDD}" uniqueName="DriverPoints">
      <xmlPr mapId="7" xpath="/MAKE/AOP/AOP_Frontal_MPDB/Lower_Leg_Foot_and_Ankle_assessment/Left_Lower_Leg_assessment/@DriverPoints" xmlDataType="decimal"/>
    </xmlCellPr>
  </singleXmlCell>
  <singleXmlCell id="2233" xr6:uid="{9C6E6FDE-FA5B-49C2-9FAF-5958449AEAEB}" r="G89" connectionId="0">
    <xmlCellPr id="1" xr6:uid="{7EA87510-CC72-4D02-9461-033A1F5E07A8}" uniqueName="PassengerPoints">
      <xmlPr mapId="7" xpath="/MAKE/AOP/AOP_Frontal_MPDB/Lower_Leg_Foot_and_Ankle_assessment/Left_Lower_Leg_assessment/@PassengerPoints" xmlDataType="decimal"/>
    </xmlCellPr>
  </singleXmlCell>
  <singleXmlCell id="2234" xr6:uid="{28815076-2572-4D10-97C0-3601BB4FA7AF}" r="D82" connectionId="0">
    <xmlCellPr id="1" xr6:uid="{2E48B45C-5CDF-4E51-AAD4-4C5457387351}" uniqueName="DriverValue">
      <xmlPr mapId="7" xpath="/MAKE/AOP/AOP_Frontal_MPDB/Lower_Leg_Foot_and_Ankle_assessment/Left_Lower_Leg_assessment/Left_compression_kN/@DriverValue" xmlDataType="decimal"/>
    </xmlCellPr>
  </singleXmlCell>
  <singleXmlCell id="2235" xr6:uid="{117C786B-8FEE-4D84-A59B-E809CAB8A5D2}" r="E82" connectionId="0">
    <xmlCellPr id="1" xr6:uid="{568F078D-08D7-49AC-B1A7-3D61ED68E072}" uniqueName="DriverPoints">
      <xmlPr mapId="7" xpath="/MAKE/AOP/AOP_Frontal_MPDB/Lower_Leg_Foot_and_Ankle_assessment/Left_Lower_Leg_assessment/Left_compression_kN/@DriverPoints" xmlDataType="decimal"/>
    </xmlCellPr>
  </singleXmlCell>
  <singleXmlCell id="2236" xr6:uid="{07818708-3F45-4629-A30A-ED463FECFB77}" r="F82" connectionId="0">
    <xmlCellPr id="1" xr6:uid="{F683AD46-AEB2-474E-B1A6-2B17A1D5276C}" uniqueName="PassengerValue">
      <xmlPr mapId="7" xpath="/MAKE/AOP/AOP_Frontal_MPDB/Lower_Leg_Foot_and_Ankle_assessment/Left_Lower_Leg_assessment/Left_compression_kN/@PassengerValue" xmlDataType="decimal"/>
    </xmlCellPr>
  </singleXmlCell>
  <singleXmlCell id="2237" xr6:uid="{482478CB-7D82-44A8-B10D-925472E74511}" r="G82" connectionId="0">
    <xmlCellPr id="1" xr6:uid="{B5745FFE-4B72-4F36-B120-CF4E786BDEA3}" uniqueName="PassengerPoints">
      <xmlPr mapId="7" xpath="/MAKE/AOP/AOP_Frontal_MPDB/Lower_Leg_Foot_and_Ankle_assessment/Left_Lower_Leg_assessment/Left_compression_kN/@PassengerPoints" xmlDataType="decimal"/>
    </xmlCellPr>
  </singleXmlCell>
  <singleXmlCell id="2238" xr6:uid="{72AF7D2E-B107-4BA8-9CB5-51AC23517FF8}" r="D83" connectionId="0">
    <xmlCellPr id="1" xr6:uid="{7E32B77F-DBD2-4306-AF44-559ABC6BBA28}" uniqueName="DriverValue">
      <xmlPr mapId="7" xpath="/MAKE/AOP/AOP_Frontal_MPDB/Lower_Leg_Foot_and_Ankle_assessment/Left_Lower_Leg_assessment/Left_Upper_Tibia_Index/@DriverValue" xmlDataType="decimal"/>
    </xmlCellPr>
  </singleXmlCell>
  <singleXmlCell id="2239" xr6:uid="{689F36C4-B58F-47FC-AAC0-860A0701768E}" r="E83" connectionId="0">
    <xmlCellPr id="1" xr6:uid="{AA46D57F-463C-4680-935D-0857570A187B}" uniqueName="DriverPoints">
      <xmlPr mapId="7" xpath="/MAKE/AOP/AOP_Frontal_MPDB/Lower_Leg_Foot_and_Ankle_assessment/Left_Lower_Leg_assessment/Left_Upper_Tibia_Index/@DriverPoints" xmlDataType="decimal"/>
    </xmlCellPr>
  </singleXmlCell>
  <singleXmlCell id="2240" xr6:uid="{828039FC-6E9A-42D8-84B6-15003EE0E34C}" r="F83" connectionId="0">
    <xmlCellPr id="1" xr6:uid="{F46EBF5A-2595-4DA5-8EBB-800065064E2A}" uniqueName="PassengerValue">
      <xmlPr mapId="7" xpath="/MAKE/AOP/AOP_Frontal_MPDB/Lower_Leg_Foot_and_Ankle_assessment/Left_Lower_Leg_assessment/Left_Upper_Tibia_Index/@PassengerValue" xmlDataType="decimal"/>
    </xmlCellPr>
  </singleXmlCell>
  <singleXmlCell id="2241" xr6:uid="{3EB299D8-0B90-4A14-BC54-CB7FBC1EEEF2}" r="G83" connectionId="0">
    <xmlCellPr id="1" xr6:uid="{B74C9040-B32E-45D2-81F6-CE02FE922355}" uniqueName="PassengerPoints">
      <xmlPr mapId="7" xpath="/MAKE/AOP/AOP_Frontal_MPDB/Lower_Leg_Foot_and_Ankle_assessment/Left_Lower_Leg_assessment/Left_Upper_Tibia_Index/@PassengerPoints" xmlDataType="decimal"/>
    </xmlCellPr>
  </singleXmlCell>
  <singleXmlCell id="2242" xr6:uid="{D4FC9138-310A-4FE3-AD9F-1A2801D12E1E}" r="D84" connectionId="0">
    <xmlCellPr id="1" xr6:uid="{A859A2F9-6E7D-4721-B64D-A641219BF3C4}" uniqueName="DriverValue">
      <xmlPr mapId="7" xpath="/MAKE/AOP/AOP_Frontal_MPDB/Lower_Leg_Foot_and_Ankle_assessment/Left_Lower_Leg_assessment/Left_Lower_Tibia_Index/@DriverValue" xmlDataType="decimal"/>
    </xmlCellPr>
  </singleXmlCell>
  <singleXmlCell id="2243" xr6:uid="{FDD3A142-68FE-4A87-9355-E2FC64942DE4}" r="E84" connectionId="0">
    <xmlCellPr id="1" xr6:uid="{82029561-9CDE-457E-96B4-424F5DA1C199}" uniqueName="DriverPoints">
      <xmlPr mapId="7" xpath="/MAKE/AOP/AOP_Frontal_MPDB/Lower_Leg_Foot_and_Ankle_assessment/Left_Lower_Leg_assessment/Left_Lower_Tibia_Index/@DriverPoints" xmlDataType="decimal"/>
    </xmlCellPr>
  </singleXmlCell>
  <singleXmlCell id="2244" xr6:uid="{F1C1366E-847C-4A54-9CA8-EEB1687219D9}" r="F84" connectionId="0">
    <xmlCellPr id="1" xr6:uid="{D5736A30-C39B-49F8-8ECB-22FC4A373F0F}" uniqueName="PassengerValue">
      <xmlPr mapId="7" xpath="/MAKE/AOP/AOP_Frontal_MPDB/Lower_Leg_Foot_and_Ankle_assessment/Left_Lower_Leg_assessment/Left_Lower_Tibia_Index/@PassengerValue" xmlDataType="decimal"/>
    </xmlCellPr>
  </singleXmlCell>
  <singleXmlCell id="2245" xr6:uid="{D0438852-278C-4BB7-94E6-8C556BEA0653}" r="G84" connectionId="0">
    <xmlCellPr id="1" xr6:uid="{98D6EBCA-05B9-42C8-B962-524EE75984ED}" uniqueName="PassengerPoints">
      <xmlPr mapId="7" xpath="/MAKE/AOP/AOP_Frontal_MPDB/Lower_Leg_Foot_and_Ankle_assessment/Left_Lower_Leg_assessment/Left_Lower_Tibia_Index/@PassengerPoints" xmlDataType="decimal"/>
    </xmlCellPr>
  </singleXmlCell>
  <singleXmlCell id="2246" xr6:uid="{264B5DD7-545E-426D-8472-0295B3432394}" r="D86" connectionId="0">
    <xmlCellPr id="1" xr6:uid="{B47149F2-5ED2-43EA-8BD8-EFD7BCEE5210}" uniqueName="Brake_Vertical_displacement">
      <xmlPr mapId="7" xpath="/MAKE/AOP/AOP_Frontal_MPDB/Lower_Leg_Foot_and_Ankle_assessment/Left_Lower_Leg_assessment/Maximum_pedal_vertical_displacement/Brake_Vertical_displacement" xmlDataType="anyType"/>
    </xmlCellPr>
  </singleXmlCell>
  <singleXmlCell id="2247" xr6:uid="{6974A652-698F-4C54-A00E-879D0307FA0D}" r="D87" connectionId="0">
    <xmlCellPr id="1" xr6:uid="{DA882300-3E10-495A-92BB-992F6AAA02C7}" uniqueName="Clutch_Vertical_displacement">
      <xmlPr mapId="7" xpath="/MAKE/AOP/AOP_Frontal_MPDB/Lower_Leg_Foot_and_Ankle_assessment/Left_Lower_Leg_assessment/Maximum_pedal_vertical_displacement/Clutch_Vertical_displacement" xmlDataType="decimal"/>
    </xmlCellPr>
  </singleXmlCell>
  <singleXmlCell id="2248" xr6:uid="{63C55E9D-EFEA-495C-8453-D6FEDF2015BB}" r="D88" connectionId="0">
    <xmlCellPr id="1" xr6:uid="{F9AA1CA8-E040-42ED-82B1-340D591A1618}" uniqueName="Accel_Vertical_displacement">
      <xmlPr mapId="7" xpath="/MAKE/AOP/AOP_Frontal_MPDB/Lower_Leg_Foot_and_Ankle_assessment/Left_Lower_Leg_assessment/Maximum_pedal_vertical_displacement/Accel_Vertical_displacement" xmlDataType="decimal"/>
    </xmlCellPr>
  </singleXmlCell>
  <singleXmlCell id="2249" xr6:uid="{8BCB3D1D-4086-46F4-A5A2-8B5A26515E27}" r="E85" connectionId="0">
    <xmlCellPr id="1" xr6:uid="{79B4F800-8C0C-4008-BA71-F81C3ED0AB89}" uniqueName="Value">
      <xmlPr mapId="7" xpath="/MAKE/AOP/AOP_Frontal_MPDB/Lower_Leg_Foot_and_Ankle_assessment/Left_Lower_Leg_assessment/Maximum_pedal_vertical_displacement/@Value" xmlDataType="decimal"/>
    </xmlCellPr>
  </singleXmlCell>
  <singleXmlCell id="2271" xr6:uid="{C454D13E-321B-47FF-B04B-20E6A8EBC9B0}" r="E98" connectionId="0">
    <xmlCellPr id="1" xr6:uid="{2AA106DA-24C0-4F05-A186-8426C202D461}" uniqueName="DriverPoints">
      <xmlPr mapId="7" xpath="/MAKE/AOP/AOP_Frontal_MPDB/Lower_Leg_Foot_and_Ankle_assessment/Right_Lower_Leg_assessment/@DriverPoints" xmlDataType="decimal"/>
    </xmlCellPr>
  </singleXmlCell>
  <singleXmlCell id="2272" xr6:uid="{3FDC8FC3-9D8B-4106-8C2F-A1F4285433F2}" r="G98" connectionId="0">
    <xmlCellPr id="1" xr6:uid="{ED46DB46-CA3F-4449-A803-E3B31E458C56}" uniqueName="PassengerPoints">
      <xmlPr mapId="7" xpath="/MAKE/AOP/AOP_Frontal_MPDB/Lower_Leg_Foot_and_Ankle_assessment/Right_Lower_Leg_assessment/@PassengerPoints" xmlDataType="decimal"/>
    </xmlCellPr>
  </singleXmlCell>
  <singleXmlCell id="2275" xr6:uid="{9E151D4B-00A7-4D26-B873-D3E746915C80}" r="D91" connectionId="0">
    <xmlCellPr id="1" xr6:uid="{91A5D119-3479-4654-B47E-C898A8E52805}" uniqueName="DriverValue">
      <xmlPr mapId="7" xpath="/MAKE/AOP/AOP_Frontal_MPDB/Lower_Leg_Foot_and_Ankle_assessment/Right_Lower_Leg_assessment/Right_compression_kN/@DriverValue" xmlDataType="decimal"/>
    </xmlCellPr>
  </singleXmlCell>
  <singleXmlCell id="2276" xr6:uid="{F90D7102-D1A5-4811-99B8-ACFE6412BB5C}" r="E91" connectionId="0">
    <xmlCellPr id="1" xr6:uid="{1ED2A307-11E3-445F-AC05-A1270DDB7990}" uniqueName="DriverPoints">
      <xmlPr mapId="7" xpath="/MAKE/AOP/AOP_Frontal_MPDB/Lower_Leg_Foot_and_Ankle_assessment/Right_Lower_Leg_assessment/Right_compression_kN/@DriverPoints" xmlDataType="decimal"/>
    </xmlCellPr>
  </singleXmlCell>
  <singleXmlCell id="2277" xr6:uid="{888A7AA0-46CA-4390-9D95-FFB6EBD35F52}" r="F91" connectionId="0">
    <xmlCellPr id="1" xr6:uid="{CB84D406-79ED-4679-B912-738F03A58B1F}" uniqueName="PassengerValue">
      <xmlPr mapId="7" xpath="/MAKE/AOP/AOP_Frontal_MPDB/Lower_Leg_Foot_and_Ankle_assessment/Right_Lower_Leg_assessment/Right_compression_kN/@PassengerValue" xmlDataType="decimal"/>
    </xmlCellPr>
  </singleXmlCell>
  <singleXmlCell id="2278" xr6:uid="{42459DA7-5F23-4BF5-B034-26DD176AB999}" r="G91" connectionId="0">
    <xmlCellPr id="1" xr6:uid="{D6B9FA7D-4981-4845-8A1F-B9D36ECF520D}" uniqueName="PassengerPoints">
      <xmlPr mapId="7" xpath="/MAKE/AOP/AOP_Frontal_MPDB/Lower_Leg_Foot_and_Ankle_assessment/Right_Lower_Leg_assessment/Right_compression_kN/@PassengerPoints" xmlDataType="decimal"/>
    </xmlCellPr>
  </singleXmlCell>
  <singleXmlCell id="2279" xr6:uid="{617CBE22-19F8-4E3B-B18D-42B4BAB7FB1A}" r="D92" connectionId="0">
    <xmlCellPr id="1" xr6:uid="{B0874A56-8D4E-46F2-9937-8D7BC28EB588}" uniqueName="DriverValue">
      <xmlPr mapId="7" xpath="/MAKE/AOP/AOP_Frontal_MPDB/Lower_Leg_Foot_and_Ankle_assessment/Right_Lower_Leg_assessment/Right_Upper_Tibia_Index_/@DriverValue" xmlDataType="decimal"/>
    </xmlCellPr>
  </singleXmlCell>
  <singleXmlCell id="2280" xr6:uid="{638390A5-6E5F-4BF4-B12F-504C89FD470F}" r="E92" connectionId="0">
    <xmlCellPr id="1" xr6:uid="{6A455C05-5445-4762-AC74-F5F68E0ED8D1}" uniqueName="DriverPoints">
      <xmlPr mapId="7" xpath="/MAKE/AOP/AOP_Frontal_MPDB/Lower_Leg_Foot_and_Ankle_assessment/Right_Lower_Leg_assessment/Right_Upper_Tibia_Index_/@DriverPoints" xmlDataType="decimal"/>
    </xmlCellPr>
  </singleXmlCell>
  <singleXmlCell id="2281" xr6:uid="{43F52FAF-D1E3-4E65-9D97-D6C016F44C28}" r="F92" connectionId="0">
    <xmlCellPr id="1" xr6:uid="{E8EA7A2F-B576-45A8-BCDC-65FFA3958253}" uniqueName="PassengerValue">
      <xmlPr mapId="7" xpath="/MAKE/AOP/AOP_Frontal_MPDB/Lower_Leg_Foot_and_Ankle_assessment/Right_Lower_Leg_assessment/Right_Upper_Tibia_Index_/@PassengerValue" xmlDataType="decimal"/>
    </xmlCellPr>
  </singleXmlCell>
  <singleXmlCell id="2282" xr6:uid="{3550E1F4-7A3A-4EA9-90DD-4CD112D33D2B}" r="G92" connectionId="0">
    <xmlCellPr id="1" xr6:uid="{A6EAE2AE-6906-423B-AB14-0F45B89C0C8E}" uniqueName="PassengerPoints">
      <xmlPr mapId="7" xpath="/MAKE/AOP/AOP_Frontal_MPDB/Lower_Leg_Foot_and_Ankle_assessment/Right_Lower_Leg_assessment/Right_Upper_Tibia_Index_/@PassengerPoints" xmlDataType="decimal"/>
    </xmlCellPr>
  </singleXmlCell>
  <singleXmlCell id="2283" xr6:uid="{110C960A-69F8-4ECD-B6C2-090B5E5010DA}" r="D93" connectionId="0">
    <xmlCellPr id="1" xr6:uid="{3EE39909-2FCD-4D10-935C-CDB476B77638}" uniqueName="DriverValue">
      <xmlPr mapId="7" xpath="/MAKE/AOP/AOP_Frontal_MPDB/Lower_Leg_Foot_and_Ankle_assessment/Right_Lower_Leg_assessment/Right_Lower_Tibia_Index/@DriverValue" xmlDataType="decimal"/>
    </xmlCellPr>
  </singleXmlCell>
  <singleXmlCell id="2284" xr6:uid="{692982F7-ABB3-44B3-B385-B9083F41BD81}" r="E93" connectionId="0">
    <xmlCellPr id="1" xr6:uid="{B6F5CDA9-4055-42A6-8B3B-C1DF174F21E0}" uniqueName="DriverPoints">
      <xmlPr mapId="7" xpath="/MAKE/AOP/AOP_Frontal_MPDB/Lower_Leg_Foot_and_Ankle_assessment/Right_Lower_Leg_assessment/Right_Lower_Tibia_Index/@DriverPoints" xmlDataType="decimal"/>
    </xmlCellPr>
  </singleXmlCell>
  <singleXmlCell id="2285" xr6:uid="{62C82540-48DC-4303-A102-67A137246801}" r="F93" connectionId="0">
    <xmlCellPr id="1" xr6:uid="{C3C7D051-38CD-49C9-98B7-E45F6944C5D9}" uniqueName="PassengerValue">
      <xmlPr mapId="7" xpath="/MAKE/AOP/AOP_Frontal_MPDB/Lower_Leg_Foot_and_Ankle_assessment/Right_Lower_Leg_assessment/Right_Lower_Tibia_Index/@PassengerValue" xmlDataType="decimal"/>
    </xmlCellPr>
  </singleXmlCell>
  <singleXmlCell id="2286" xr6:uid="{F430B893-AA2D-4FEC-A8A9-62ED8ADA59C0}" r="G93" connectionId="0">
    <xmlCellPr id="1" xr6:uid="{2AE5BBA0-906A-4B8C-B9BC-E1C33C3DB5A5}" uniqueName="PassengerPoints">
      <xmlPr mapId="7" xpath="/MAKE/AOP/AOP_Frontal_MPDB/Lower_Leg_Foot_and_Ankle_assessment/Right_Lower_Leg_assessment/Right_Lower_Tibia_Index/@PassengerPoints" xmlDataType="decimal"/>
    </xmlCellPr>
  </singleXmlCell>
  <singleXmlCell id="2287" xr6:uid="{AB599703-5D75-465D-89A1-15D3F5724F14}" r="E94" connectionId="0">
    <xmlCellPr id="1" xr6:uid="{DC51D114-6C90-4108-9065-3D3F702C4111}" uniqueName="Value">
      <xmlPr mapId="7" xpath="/MAKE/AOP/AOP_Frontal_MPDB/Lower_Leg_Foot_and_Ankle_assessment/Right_Lower_Leg_assessment/Maximum_pedal_vertical_displacement/@Value" xmlDataType="decimal"/>
    </xmlCellPr>
  </singleXmlCell>
  <singleXmlCell id="2288" xr6:uid="{82A208DB-91D6-43A2-9A12-52901AE01399}" r="E107" connectionId="0">
    <xmlCellPr id="1" xr6:uid="{347A8697-9560-44ED-9020-8771F0263996}" uniqueName="DriverPoints">
      <xmlPr mapId="7" xpath="/MAKE/AOP/AOP_Frontal_MPDB/Lower_Leg_Foot_and_Ankle_assessment/Foot_and_Ankle_assessment/@DriverPoints" xmlDataType="decimal"/>
    </xmlCellPr>
  </singleXmlCell>
  <singleXmlCell id="2289" xr6:uid="{657CF6D6-1700-4D3D-882E-55410A323A64}" r="D102" connectionId="0">
    <xmlCellPr id="1" xr6:uid="{D984D6C0-EBFC-4AE3-B350-201E7B10A824}" uniqueName="Brake_Horizontal_displacement">
      <xmlPr mapId="7" xpath="/MAKE/AOP/AOP_Frontal_MPDB/Lower_Leg_Foot_and_Ankle_assessment/Foot_and_Ankle_assessment/Maximum_pedal_horizontal_displacement/Brake_Horizontal_displacement" xmlDataType="decimal"/>
    </xmlCellPr>
  </singleXmlCell>
  <singleXmlCell id="2290" xr6:uid="{2F7A9834-29C2-43AE-B8C0-75E35F3E007F}" r="D103" connectionId="0">
    <xmlCellPr id="1" xr6:uid="{CA8A6527-26C0-43B3-9878-48546ADB7C1F}" uniqueName="Clutch_Horizontal_displacement">
      <xmlPr mapId="7" xpath="/MAKE/AOP/AOP_Frontal_MPDB/Lower_Leg_Foot_and_Ankle_assessment/Foot_and_Ankle_assessment/Maximum_pedal_horizontal_displacement/Clutch_Horizontal_displacement" xmlDataType="decimal"/>
    </xmlCellPr>
  </singleXmlCell>
  <singleXmlCell id="2291" xr6:uid="{31C17727-3E95-481B-A215-F21162170B49}" r="D104" connectionId="0">
    <xmlCellPr id="1" xr6:uid="{2B8BCBC3-92CA-4FE2-A338-49698FDC9022}" uniqueName="Accel_Horizontal_displacement">
      <xmlPr mapId="7" xpath="/MAKE/AOP/AOP_Frontal_MPDB/Lower_Leg_Foot_and_Ankle_assessment/Foot_and_Ankle_assessment/Maximum_pedal_horizontal_displacement/Accel_Horizontal_displacement" xmlDataType="decimal"/>
    </xmlCellPr>
  </singleXmlCell>
  <singleXmlCell id="2293" xr6:uid="{9E669E50-4167-45BB-A23E-AB8EA93B930A}" r="E106" connectionId="0">
    <xmlCellPr id="1" xr6:uid="{F15B8A62-EA91-436C-9534-AB3ED21F72FD}" uniqueName="Modifier_Score">
      <xmlPr mapId="7" xpath="/MAKE/AOP/AOP_Frontal_MPDB/Lower_Leg_Foot_and_Ankle_assessment/Foot_and_Ankle_assessment/Pedal_Blocking/@Modifier_Score" xmlDataType="decimal"/>
    </xmlCellPr>
  </singleXmlCell>
  <singleXmlCell id="2294" xr6:uid="{3652905F-EEBE-4FA5-82C1-C920E6BF2337}" r="E101" connectionId="0">
    <xmlCellPr id="1" xr6:uid="{E18F7A77-394E-452A-AC1D-37C1EB4DB2FF}" uniqueName="Value">
      <xmlPr mapId="7" xpath="/MAKE/AOP/AOP_Frontal_MPDB/Lower_Leg_Foot_and_Ankle_assessment/Foot_and_Ankle_assessment/Pedal_Blocking/@Value" xmlDataType="decimal"/>
    </xmlCellPr>
  </singleXmlCell>
  <singleXmlCell id="2295" xr6:uid="{2ADC82A3-9022-4B1F-9AE4-E3DA45C2621B}" r="D112" connectionId="0">
    <xmlCellPr id="1" xr6:uid="{29FAF6B7-6E53-4570-982D-601C618769D6}" uniqueName="DriverPoints">
      <xmlPr mapId="7" xpath="/MAKE/AOP/AOP_Frontal_MPDB/SUMMARY/Head_and_Neck_assessment/@DriverPoints" xmlDataType="decimal"/>
    </xmlCellPr>
  </singleXmlCell>
  <singleXmlCell id="2296" xr6:uid="{5BEA944C-1A22-47A2-9EED-06A1BF0B8704}" r="F112" connectionId="0">
    <xmlCellPr id="1" xr6:uid="{3861F785-4050-40E1-8AA8-99016C75D85F}" uniqueName="PassengerPoints">
      <xmlPr mapId="7" xpath="/MAKE/AOP/AOP_Frontal_MPDB/SUMMARY/Head_and_Neck_assessment/@PassengerPoints" xmlDataType="decimal"/>
    </xmlCellPr>
  </singleXmlCell>
  <singleXmlCell id="2297" xr6:uid="{E9648E7B-17E2-4154-B003-D47928014ACA}" r="D113" connectionId="0">
    <xmlCellPr id="1" xr6:uid="{F1CF2FF4-68C9-48E9-87A6-A9AF464EC50F}" uniqueName="DriverPoints">
      <xmlPr mapId="7" xpath="/MAKE/AOP/AOP_Frontal_MPDB/SUMMARY/Chest_and_Abdomen_assessment/@DriverPoints" xmlDataType="decimal"/>
    </xmlCellPr>
  </singleXmlCell>
  <singleXmlCell id="2298" xr6:uid="{790DA7B6-EEF1-4941-AEEC-3510093D3B35}" r="F113" connectionId="0">
    <xmlCellPr id="1" xr6:uid="{374420F6-3210-4243-8E75-727234646253}" uniqueName="PassengerPoints">
      <xmlPr mapId="7" xpath="/MAKE/AOP/AOP_Frontal_MPDB/SUMMARY/Chest_and_Abdomen_assessment/@PassengerPoints" xmlDataType="decimal"/>
    </xmlCellPr>
  </singleXmlCell>
  <singleXmlCell id="2299" xr6:uid="{B9145FDB-D8D5-455D-BE97-8B032F166AD3}" r="D114" connectionId="0">
    <xmlCellPr id="1" xr6:uid="{82635627-452D-4CC9-B1A4-F88985DB07EA}" uniqueName="DriverPoints">
      <xmlPr mapId="7" xpath="/MAKE/AOP/AOP_Frontal_MPDB/SUMMARY/Knee_Femur_and_Pelvis_assessment/@DriverPoints" xmlDataType="decimal"/>
    </xmlCellPr>
  </singleXmlCell>
  <singleXmlCell id="2300" xr6:uid="{A8553494-C542-4E54-9C81-9C2A67C5C1C8}" r="F114" connectionId="0">
    <xmlCellPr id="1" xr6:uid="{E01BCFBD-73EE-4775-8E88-4447A3F34616}" uniqueName="PassengerPoints">
      <xmlPr mapId="7" xpath="/MAKE/AOP/AOP_Frontal_MPDB/SUMMARY/Knee_Femur_and_Pelvis_assessment/@PassengerPoints" xmlDataType="decimal"/>
    </xmlCellPr>
  </singleXmlCell>
  <singleXmlCell id="2301" xr6:uid="{2F174B14-FB53-4FBD-AA67-756B42C20CF1}" r="D115" connectionId="0">
    <xmlCellPr id="1" xr6:uid="{40C3A430-0309-4B09-886A-DD9F31685E3A}" uniqueName="DriverPoints">
      <xmlPr mapId="7" xpath="/MAKE/AOP/AOP_Frontal_MPDB/SUMMARY/Lower_Leg_Foot_and_Ankle_Assessment/@DriverPoints" xmlDataType="decimal"/>
    </xmlCellPr>
  </singleXmlCell>
  <singleXmlCell id="2302" xr6:uid="{63CA637C-42D7-475C-BA77-BA28E50AD060}" r="F115" connectionId="0">
    <xmlCellPr id="1" xr6:uid="{F2213DE0-F670-42B0-9558-B0190C6DBE83}" uniqueName="PassengerPoints">
      <xmlPr mapId="7" xpath="/MAKE/AOP/AOP_Frontal_MPDB/SUMMARY/Lower_Leg_Foot_and_Ankle_Assessment/@PassengerPoints" xmlDataType="decimal"/>
    </xmlCellPr>
  </singleXmlCell>
  <singleXmlCell id="2303" xr6:uid="{A00B23D8-D812-47A1-AFD9-F58F5D52495A}" r="D118" connectionId="0">
    <xmlCellPr id="1" xr6:uid="{A530F326-6B58-4806-9031-CC1C553FF6B9}" uniqueName="Door_Opening">
      <xmlPr mapId="7" xpath="/MAKE/AOP/AOP_Frontal_MPDB/Door_Opening" xmlDataType="integer"/>
    </xmlCellPr>
  </singleXmlCell>
  <singleXmlCell id="2304" xr6:uid="{0BEDA9D3-6931-43D5-9BED-24FE74258B0D}" r="D127" connectionId="0">
    <xmlCellPr id="1" xr6:uid="{60EB7F75-B99A-4650-8BC1-5CC7B606471C}" uniqueName="Compatibility_Assessment">
      <xmlPr mapId="7" xpath="/MAKE/AOP/AOP_Frontal_MPDB/COMPATIBILITY/@Compatibility_Assessment" xmlDataType="decimal"/>
    </xmlCellPr>
  </singleXmlCell>
  <singleXmlCell id="2305" xr6:uid="{AB30995C-591F-47CA-9ECA-2746717E73A9}" r="D122" connectionId="0">
    <xmlCellPr id="1" xr6:uid="{A7C11299-7331-4164-B1CF-4F7CD6D9E691}" uniqueName="Value">
      <xmlPr mapId="7" xpath="/MAKE/AOP/AOP_Frontal_MPDB/COMPATIBILITY/OLC_g/@Value" xmlDataType="decimal"/>
    </xmlCellPr>
  </singleXmlCell>
  <singleXmlCell id="2306" xr6:uid="{3E3DCE89-EB43-436C-B56D-B97AC3A4ED74}" r="E122" connectionId="0">
    <xmlCellPr id="1" xr6:uid="{8414142C-11C7-480F-B371-459D273CCFC4}" uniqueName="Points">
      <xmlPr mapId="7" xpath="/MAKE/AOP/AOP_Frontal_MPDB/COMPATIBILITY/OLC_g/@Points" xmlDataType="decimal"/>
    </xmlCellPr>
  </singleXmlCell>
  <singleXmlCell id="2309" xr6:uid="{828BABA5-3AFF-43E1-BDE6-C192172E2D3A}" r="D121" connectionId="0">
    <xmlCellPr id="1" xr6:uid="{C405D909-88F6-44C0-BBE3-302A7E632AD4}" uniqueName="Value">
      <xmlPr mapId="7" xpath="/MAKE/AOP/AOP_Frontal_MPDB/COMPATIBILITY/Standard_Deviation/@Value" xmlDataType="decimal"/>
    </xmlCellPr>
  </singleXmlCell>
  <singleXmlCell id="2211" xr6:uid="{7B3ACED0-43AF-47E8-8B50-F0F42A8001F6}" r="D136" connectionId="0">
    <xmlCellPr id="1" xr6:uid="{0967C8DD-5B78-41AC-B372-9BEC3D521D1A}" uniqueName="DriverValue">
      <xmlPr mapId="7" xpath="/MAKE/AOP/AOP_Frontal_MPDB/DUMMY_MEASUREMENTS/Head/Ax_Max/@DriverValue" xmlDataType="decimal"/>
    </xmlCellPr>
  </singleXmlCell>
  <singleXmlCell id="2213" xr6:uid="{7C49A963-9F45-4A34-AF93-4166DD348221}" r="F136" connectionId="0">
    <xmlCellPr id="1" xr6:uid="{570DE4E9-8584-4893-87FE-83CEBF219B00}" uniqueName="OEM_Pass_Value">
      <xmlPr mapId="7" xpath="/MAKE/AOP/AOP_Frontal_MPDB/DUMMY_MEASUREMENTS/Head/Ax_Max/@OEM_Pass_Value" xmlDataType="decimal"/>
    </xmlCellPr>
  </singleXmlCell>
  <singleXmlCell id="2250" xr6:uid="{AC128C71-EF8A-46CF-BB38-944CEF95548B}" r="D137" connectionId="0">
    <xmlCellPr id="1" xr6:uid="{41E5A805-F007-4378-9A6C-7AC299B9D7A9}" uniqueName="DriverValue">
      <xmlPr mapId="7" xpath="/MAKE/AOP/AOP_Frontal_MPDB/DUMMY_MEASUREMENTS/Head/Ax_Min/@DriverValue" xmlDataType="decimal"/>
    </xmlCellPr>
  </singleXmlCell>
  <singleXmlCell id="2252" xr6:uid="{672F6B77-519E-43F3-B2D0-9462747F76A9}" r="F137" connectionId="0">
    <xmlCellPr id="1" xr6:uid="{ADDDF372-DED1-400D-BD71-4AA07CDF5185}" uniqueName="OEM_Pass_Value">
      <xmlPr mapId="7" xpath="/MAKE/AOP/AOP_Frontal_MPDB/DUMMY_MEASUREMENTS/Head/Ax_Min/@OEM_Pass_Value" xmlDataType="decimal"/>
    </xmlCellPr>
  </singleXmlCell>
  <singleXmlCell id="2253" xr6:uid="{EC9C7528-F3E3-4AD7-AE2C-1E17564BD576}" r="D138" connectionId="0">
    <xmlCellPr id="1" xr6:uid="{8FBC831F-69A2-48DC-9589-57CB6A125000}" uniqueName="DriverValue">
      <xmlPr mapId="7" xpath="/MAKE/AOP/AOP_Frontal_MPDB/DUMMY_MEASUREMENTS/Head/Ay_Max/@DriverValue" xmlDataType="decimal"/>
    </xmlCellPr>
  </singleXmlCell>
  <singleXmlCell id="2255" xr6:uid="{0737687F-77CB-4B28-9551-1A2BCE2D0B29}" r="F138" connectionId="0">
    <xmlCellPr id="1" xr6:uid="{4658C92F-2CC6-4E04-BFC8-D79FBE79EB0E}" uniqueName="OEM_Pass_Value">
      <xmlPr mapId="7" xpath="/MAKE/AOP/AOP_Frontal_MPDB/DUMMY_MEASUREMENTS/Head/Ay_Max/@OEM_Pass_Value" xmlDataType="decimal"/>
    </xmlCellPr>
  </singleXmlCell>
  <singleXmlCell id="2256" xr6:uid="{CE5743A7-83D9-4F02-8237-BADB3FB2AC9E}" r="D139" connectionId="0">
    <xmlCellPr id="1" xr6:uid="{7CAE2CBF-0ADE-4C66-859B-9937FFB3DF79}" uniqueName="DriverValue">
      <xmlPr mapId="7" xpath="/MAKE/AOP/AOP_Frontal_MPDB/DUMMY_MEASUREMENTS/Head/Ay_Min/@DriverValue" xmlDataType="decimal"/>
    </xmlCellPr>
  </singleXmlCell>
  <singleXmlCell id="2258" xr6:uid="{81F6E1E0-E434-44E9-8859-B373E5462B95}" r="F139" connectionId="0">
    <xmlCellPr id="1" xr6:uid="{964B886E-A88D-4362-9B7B-CE9603AEE3EE}" uniqueName="OEM_Pass_Value">
      <xmlPr mapId="7" xpath="/MAKE/AOP/AOP_Frontal_MPDB/DUMMY_MEASUREMENTS/Head/Ay_Min/@OEM_Pass_Value" xmlDataType="decimal"/>
    </xmlCellPr>
  </singleXmlCell>
  <singleXmlCell id="2259" xr6:uid="{9780B052-5ACF-41F8-8EA2-3910C9E563C4}" r="D140" connectionId="0">
    <xmlCellPr id="1" xr6:uid="{E4D468B2-5F8C-45BD-B243-231365AE7FB3}" uniqueName="DriverValue">
      <xmlPr mapId="7" xpath="/MAKE/AOP/AOP_Frontal_MPDB/DUMMY_MEASUREMENTS/Head/Az_Max/@DriverValue" xmlDataType="decimal"/>
    </xmlCellPr>
  </singleXmlCell>
  <singleXmlCell id="2261" xr6:uid="{1A643803-35E2-42AF-ABA8-0CE114530B6E}" r="F140" connectionId="0">
    <xmlCellPr id="1" xr6:uid="{8BCC7129-A1D4-4B22-9966-BFB10A32A109}" uniqueName="OEM_Pass_Value">
      <xmlPr mapId="7" xpath="/MAKE/AOP/AOP_Frontal_MPDB/DUMMY_MEASUREMENTS/Head/Az_Max/@OEM_Pass_Value" xmlDataType="decimal"/>
    </xmlCellPr>
  </singleXmlCell>
  <singleXmlCell id="2262" xr6:uid="{0C7E3A2F-C28F-40EF-A68F-712B8F1A4564}" r="D141" connectionId="0">
    <xmlCellPr id="1" xr6:uid="{7B7248DB-D4EE-4897-B931-19B5BD923F39}" uniqueName="DriverValue">
      <xmlPr mapId="7" xpath="/MAKE/AOP/AOP_Frontal_MPDB/DUMMY_MEASUREMENTS/Head/Az_Min/@DriverValue" xmlDataType="decimal"/>
    </xmlCellPr>
  </singleXmlCell>
  <singleXmlCell id="2264" xr6:uid="{0F02C30A-3804-4F43-8FE7-291A9CBCF4FA}" r="F141" connectionId="0">
    <xmlCellPr id="1" xr6:uid="{19907125-10F2-42DF-B478-F5F64A2CEFA1}" uniqueName="OEM_Pass_Value">
      <xmlPr mapId="7" xpath="/MAKE/AOP/AOP_Frontal_MPDB/DUMMY_MEASUREMENTS/Head/Az_Min/@OEM_Pass_Value" xmlDataType="decimal"/>
    </xmlCellPr>
  </singleXmlCell>
  <singleXmlCell id="2265" xr6:uid="{47A6BB20-90D5-4021-BAFF-DD6781B5E81C}" r="D142" connectionId="0">
    <xmlCellPr id="1" xr6:uid="{9B6E3E02-A840-4B16-855F-9667BCCEA4A0}" uniqueName="DriverValue">
      <xmlPr mapId="7" xpath="/MAKE/AOP/AOP_Frontal_MPDB/DUMMY_MEASUREMENTS/Head/Wx_Max/@DriverValue" xmlDataType="decimal"/>
    </xmlCellPr>
  </singleXmlCell>
  <singleXmlCell id="2267" xr6:uid="{5FF309A3-2EAC-4D4B-86CA-EF2F0FAFBF3D}" r="F142" connectionId="0">
    <xmlCellPr id="1" xr6:uid="{D49BCE85-C874-40D1-A7D9-5C02E4DDCFAE}" uniqueName="OEM_Pass_Value">
      <xmlPr mapId="7" xpath="/MAKE/AOP/AOP_Frontal_MPDB/DUMMY_MEASUREMENTS/Head/Wx_Max/@OEM_Pass_Value" xmlDataType="decimal"/>
    </xmlCellPr>
  </singleXmlCell>
  <singleXmlCell id="2268" xr6:uid="{0D61C2AF-B9BF-47B6-84B5-8E16A26B2C2A}" r="D143" connectionId="0">
    <xmlCellPr id="1" xr6:uid="{4152F37B-720D-4798-A00E-5E2F4CF33E43}" uniqueName="DriverValue">
      <xmlPr mapId="7" xpath="/MAKE/AOP/AOP_Frontal_MPDB/DUMMY_MEASUREMENTS/Head/Wx_Min/@DriverValue" xmlDataType="decimal"/>
    </xmlCellPr>
  </singleXmlCell>
  <singleXmlCell id="2270" xr6:uid="{50E89C7F-9126-4164-A2DB-06DBCE4D4003}" r="F143" connectionId="0">
    <xmlCellPr id="1" xr6:uid="{934DBBB5-D9DA-4A1D-82A3-5BD663B72439}" uniqueName="OEM_Pass_Value">
      <xmlPr mapId="7" xpath="/MAKE/AOP/AOP_Frontal_MPDB/DUMMY_MEASUREMENTS/Head/Wx_Min/@OEM_Pass_Value" xmlDataType="decimal"/>
    </xmlCellPr>
  </singleXmlCell>
  <singleXmlCell id="2292" xr6:uid="{EAFD08CC-18EE-4479-805E-C4C9B4DB3F1C}" r="D144" connectionId="0">
    <xmlCellPr id="1" xr6:uid="{EE09B045-A14D-4F10-B87C-504F85686DB9}" uniqueName="DriverValue">
      <xmlPr mapId="7" xpath="/MAKE/AOP/AOP_Frontal_MPDB/DUMMY_MEASUREMENTS/Head/Wy_Max/@DriverValue" xmlDataType="decimal"/>
    </xmlCellPr>
  </singleXmlCell>
  <singleXmlCell id="2311" xr6:uid="{C6B51F62-22FF-4CB9-A14D-2BE7BF7B33CE}" r="F144" connectionId="0">
    <xmlCellPr id="1" xr6:uid="{19178667-BB71-4964-9580-58CCACACD27E}" uniqueName="OEM_Pass_Value">
      <xmlPr mapId="7" xpath="/MAKE/AOP/AOP_Frontal_MPDB/DUMMY_MEASUREMENTS/Head/Wy_Max/@OEM_Pass_Value" xmlDataType="decimal"/>
    </xmlCellPr>
  </singleXmlCell>
  <singleXmlCell id="2312" xr6:uid="{97838D6A-6BD1-425B-8F4D-8A94C4100CFD}" r="D145" connectionId="0">
    <xmlCellPr id="1" xr6:uid="{D59233C8-C324-4176-ADD4-8E01AA2C8A34}" uniqueName="DriverValue">
      <xmlPr mapId="7" xpath="/MAKE/AOP/AOP_Frontal_MPDB/DUMMY_MEASUREMENTS/Head/Wy_Min/@DriverValue" xmlDataType="decimal"/>
    </xmlCellPr>
  </singleXmlCell>
  <singleXmlCell id="2314" xr6:uid="{E56D79C8-1915-4FEE-B278-6B7C358BF10B}" r="F145" connectionId="0">
    <xmlCellPr id="1" xr6:uid="{3DE82B7F-4FA1-4756-BEA0-A15BFCB05D5D}" uniqueName="OEM_Pass_Value">
      <xmlPr mapId="7" xpath="/MAKE/AOP/AOP_Frontal_MPDB/DUMMY_MEASUREMENTS/Head/Wy_Min/@OEM_Pass_Value" xmlDataType="decimal"/>
    </xmlCellPr>
  </singleXmlCell>
  <singleXmlCell id="2315" xr6:uid="{C6A3A882-5D42-4A01-B9EA-5544D9D9B7B4}" r="D146" connectionId="0">
    <xmlCellPr id="1" xr6:uid="{B9961648-B5CD-4EB2-87CE-838424B76422}" uniqueName="DriverValue">
      <xmlPr mapId="7" xpath="/MAKE/AOP/AOP_Frontal_MPDB/DUMMY_MEASUREMENTS/Head/Wz_Max/@DriverValue" xmlDataType="decimal"/>
    </xmlCellPr>
  </singleXmlCell>
  <singleXmlCell id="2317" xr6:uid="{9AB22F1B-820C-46C9-8FCD-40E731A64CA2}" r="F146" connectionId="0">
    <xmlCellPr id="1" xr6:uid="{29874B32-0BE0-4DA0-AFB1-432EA4958E03}" uniqueName="OEM_Pass_Value">
      <xmlPr mapId="7" xpath="/MAKE/AOP/AOP_Frontal_MPDB/DUMMY_MEASUREMENTS/Head/Wz_Max/@OEM_Pass_Value" xmlDataType="decimal"/>
    </xmlCellPr>
  </singleXmlCell>
  <singleXmlCell id="2318" xr6:uid="{F5E1F57F-7651-4F4E-86AB-8EB1BD4B4ABC}" r="D147" connectionId="0">
    <xmlCellPr id="1" xr6:uid="{DD6DA530-1FA0-4F0A-B615-F38BA650E284}" uniqueName="DriverValue">
      <xmlPr mapId="7" xpath="/MAKE/AOP/AOP_Frontal_MPDB/DUMMY_MEASUREMENTS/Head/Wz_Min/@DriverValue" xmlDataType="decimal"/>
    </xmlCellPr>
  </singleXmlCell>
  <singleXmlCell id="2320" xr6:uid="{F1A7CEB9-934D-4A0E-9CB6-B7647EC43E69}" r="F147" connectionId="0">
    <xmlCellPr id="1" xr6:uid="{8C8FE842-C9C3-48A1-8F21-99D567247D9F}" uniqueName="OEM_Pass_Value">
      <xmlPr mapId="7" xpath="/MAKE/AOP/AOP_Frontal_MPDB/DUMMY_MEASUREMENTS/Head/Wz_Min/@OEM_Pass_Value" xmlDataType="decimal"/>
    </xmlCellPr>
  </singleXmlCell>
  <singleXmlCell id="2321" xr6:uid="{8B055DFB-749D-483A-B10F-9676DD1DA27D}" r="D149" connectionId="0">
    <xmlCellPr id="1" xr6:uid="{A794BAA9-B137-4F11-B7A3-4CC9C8149580}" uniqueName="DriverValue">
      <xmlPr mapId="7" xpath="/MAKE/AOP/AOP_Frontal_MPDB/DUMMY_MEASUREMENTS/Skull_Spring/Fz_Front_Max/@DriverValue" xmlDataType="decimal"/>
    </xmlCellPr>
  </singleXmlCell>
  <singleXmlCell id="2323" xr6:uid="{2D21A26D-6898-40CC-AC90-336B19EC6AD5}" r="F149" connectionId="0">
    <xmlCellPr id="1" xr6:uid="{D478089B-FD0D-4E29-87E1-89FA502296F2}" uniqueName="OEM_Pass_Value">
      <xmlPr mapId="7" xpath="/MAKE/AOP/AOP_Frontal_MPDB/DUMMY_MEASUREMENTS/Skull_Spring/Fz_Front_Max/@OEM_Pass_Value" xmlDataType="decimal"/>
    </xmlCellPr>
  </singleXmlCell>
  <singleXmlCell id="2324" xr6:uid="{22408A68-CF39-48ED-B0D7-544451C28410}" r="D150" connectionId="0">
    <xmlCellPr id="1" xr6:uid="{00B01EF2-80BE-432C-AC35-7296D28A9132}" uniqueName="DriverValue">
      <xmlPr mapId="7" xpath="/MAKE/AOP/AOP_Frontal_MPDB/DUMMY_MEASUREMENTS/Skull_Spring/Fz_Front_Min/@DriverValue" xmlDataType="decimal"/>
    </xmlCellPr>
  </singleXmlCell>
  <singleXmlCell id="2326" xr6:uid="{F8EA61A0-F5BA-47AD-8711-33A71CC57194}" r="F150" connectionId="0">
    <xmlCellPr id="1" xr6:uid="{E6976D76-2A12-42F9-BFCC-364A2276A295}" uniqueName="OEM_Pass_Value">
      <xmlPr mapId="7" xpath="/MAKE/AOP/AOP_Frontal_MPDB/DUMMY_MEASUREMENTS/Skull_Spring/Fz_Front_Min/@OEM_Pass_Value" xmlDataType="decimal"/>
    </xmlCellPr>
  </singleXmlCell>
  <singleXmlCell id="2327" xr6:uid="{11B91E0E-00C1-4F25-9B21-385A141F00F8}" r="D151" connectionId="0">
    <xmlCellPr id="1" xr6:uid="{2F9D5D79-C2A6-451B-9AD9-310A609E07FC}" uniqueName="DriverValue">
      <xmlPr mapId="7" xpath="/MAKE/AOP/AOP_Frontal_MPDB/DUMMY_MEASUREMENTS/Skull_Spring/Fz_Rear_Max/@DriverValue" xmlDataType="decimal"/>
    </xmlCellPr>
  </singleXmlCell>
  <singleXmlCell id="2329" xr6:uid="{D2579C68-C4D3-4287-A617-3BA8B33075DE}" r="F151" connectionId="0">
    <xmlCellPr id="1" xr6:uid="{77EB8A41-99B1-40A4-B8BF-BAD4D096BEB6}" uniqueName="OEM_Pass_Value">
      <xmlPr mapId="7" xpath="/MAKE/AOP/AOP_Frontal_MPDB/DUMMY_MEASUREMENTS/Skull_Spring/Fz_Rear_Max/@OEM_Pass_Value" xmlDataType="decimal"/>
    </xmlCellPr>
  </singleXmlCell>
  <singleXmlCell id="2330" xr6:uid="{632A409A-5946-4934-A8A5-666E8839983C}" r="D152" connectionId="0">
    <xmlCellPr id="1" xr6:uid="{CD164088-1DC8-4E75-9422-0E8942BFC4F8}" uniqueName="DriverValue">
      <xmlPr mapId="7" xpath="/MAKE/AOP/AOP_Frontal_MPDB/DUMMY_MEASUREMENTS/Skull_Spring/Fz_Rear_Min/@DriverValue" xmlDataType="decimal"/>
    </xmlCellPr>
  </singleXmlCell>
  <singleXmlCell id="2332" xr6:uid="{FB3E83A6-BD06-4EBB-9D05-4ED34854CEFF}" r="F152" connectionId="0">
    <xmlCellPr id="1" xr6:uid="{0CE67A7D-C110-473D-B92E-4D2A9B7EEA25}" uniqueName="OEM_Pass_Value">
      <xmlPr mapId="7" xpath="/MAKE/AOP/AOP_Frontal_MPDB/DUMMY_MEASUREMENTS/Skull_Spring/Fz_Rear_Min/@OEM_Pass_Value" xmlDataType="decimal"/>
    </xmlCellPr>
  </singleXmlCell>
  <singleXmlCell id="2333" xr6:uid="{E7F3AD40-D3C7-4975-8DC8-CF4E499C27CD}" r="D153" connectionId="0">
    <xmlCellPr id="1" xr6:uid="{D9AFF863-4AE7-4572-9387-7DB6B2E4A31D}" uniqueName="DriverValue">
      <xmlPr mapId="7" xpath="/MAKE/AOP/AOP_Frontal_MPDB/DUMMY_MEASUREMENTS/Brain_Injury/SUFEHM/@DriverValue" xmlDataType="decimal"/>
    </xmlCellPr>
  </singleXmlCell>
  <singleXmlCell id="2335" xr6:uid="{EE2DBD1F-8E00-415D-A135-BC7A078E37DE}" r="F153" connectionId="0">
    <xmlCellPr id="1" xr6:uid="{2C12345F-3237-41E5-9E17-3B64673ABE7D}" uniqueName="OEM_Pass_Value">
      <xmlPr mapId="7" xpath="/MAKE/AOP/AOP_Frontal_MPDB/DUMMY_MEASUREMENTS/Brain_Injury/SUFEHM/@OEM_Pass_Value" xmlDataType="decimal"/>
    </xmlCellPr>
  </singleXmlCell>
  <singleXmlCell id="2336" xr6:uid="{D2D289DD-2120-4E19-B66F-86C194BABC85}" r="D154" connectionId="0">
    <xmlCellPr id="1" xr6:uid="{F6423B05-4095-41CD-B477-7F54E00F13D6}" uniqueName="DriverValue">
      <xmlPr mapId="7" xpath="/MAKE/AOP/AOP_Frontal_MPDB/DUMMY_MEASUREMENTS/Brain_Injury/BrIC/@DriverValue" xmlDataType="decimal"/>
    </xmlCellPr>
  </singleXmlCell>
  <singleXmlCell id="2338" xr6:uid="{006C5936-6A37-45A9-9CBD-38397821C8EC}" r="F154" connectionId="0">
    <xmlCellPr id="1" xr6:uid="{1A1F49BF-714D-4094-B9F5-329BD1452BD3}" uniqueName="OEM_Pass_Value">
      <xmlPr mapId="7" xpath="/MAKE/AOP/AOP_Frontal_MPDB/DUMMY_MEASUREMENTS/Brain_Injury/BrIC/@OEM_Pass_Value" xmlDataType="decimal"/>
    </xmlCellPr>
  </singleXmlCell>
  <singleXmlCell id="2339" xr6:uid="{B17F6B37-DD28-4DA1-A21D-CDD663B04969}" r="D156" connectionId="0">
    <xmlCellPr id="1" xr6:uid="{886331B2-302A-4A7C-A8E5-92F5006215CD}" uniqueName="DriverValue">
      <xmlPr mapId="7" xpath="/MAKE/AOP/AOP_Frontal_MPDB/DUMMY_MEASUREMENTS/Neck/Fx_Max/@DriverValue" xmlDataType="decimal"/>
    </xmlCellPr>
  </singleXmlCell>
  <singleXmlCell id="2341" xr6:uid="{93422087-9B4E-4F04-80D5-CC5F9A5FF5B2}" r="F156" connectionId="0">
    <xmlCellPr id="1" xr6:uid="{0402E53D-7FDD-477F-8489-F80E89340CB7}" uniqueName="OEM_Pass_Value">
      <xmlPr mapId="7" xpath="/MAKE/AOP/AOP_Frontal_MPDB/DUMMY_MEASUREMENTS/Neck/Fx_Max/@OEM_Pass_Value" xmlDataType="decimal"/>
    </xmlCellPr>
  </singleXmlCell>
  <singleXmlCell id="2342" xr6:uid="{33AB478F-B8FC-4D4D-96DE-16EAC9BBF6D2}" r="D157" connectionId="0">
    <xmlCellPr id="1" xr6:uid="{62864442-1169-4685-9F42-B03C6B85D087}" uniqueName="DriverValue">
      <xmlPr mapId="7" xpath="/MAKE/AOP/AOP_Frontal_MPDB/DUMMY_MEASUREMENTS/Neck/Fx_Min/@DriverValue" xmlDataType="decimal"/>
    </xmlCellPr>
  </singleXmlCell>
  <singleXmlCell id="2344" xr6:uid="{D7FB7FEF-DBF5-46A3-9966-E8D3F8D8ED88}" r="F157" connectionId="0">
    <xmlCellPr id="1" xr6:uid="{BCD396E5-DB26-4D4B-9CE3-70C3E8BD28A3}" uniqueName="OEM_Pass_Value">
      <xmlPr mapId="7" xpath="/MAKE/AOP/AOP_Frontal_MPDB/DUMMY_MEASUREMENTS/Neck/Fx_Min/@OEM_Pass_Value" xmlDataType="decimal"/>
    </xmlCellPr>
  </singleXmlCell>
  <singleXmlCell id="2345" xr6:uid="{3EB0B8F5-834A-4190-90EE-90398221014D}" r="D158" connectionId="0">
    <xmlCellPr id="1" xr6:uid="{01A042CD-E134-4823-968C-BF8ECEB2A135}" uniqueName="DriverValue">
      <xmlPr mapId="7" xpath="/MAKE/AOP/AOP_Frontal_MPDB/DUMMY_MEASUREMENTS/Neck/Fy_Max/@DriverValue" xmlDataType="decimal"/>
    </xmlCellPr>
  </singleXmlCell>
  <singleXmlCell id="2347" xr6:uid="{A84E9509-48E5-4709-9AC5-07935B68EB77}" r="F158" connectionId="0">
    <xmlCellPr id="1" xr6:uid="{C8A2D8EA-FE96-4FAF-8758-15DF13FB8BFA}" uniqueName="OEM_Pass_Value">
      <xmlPr mapId="7" xpath="/MAKE/AOP/AOP_Frontal_MPDB/DUMMY_MEASUREMENTS/Neck/Fy_Max/@OEM_Pass_Value" xmlDataType="decimal"/>
    </xmlCellPr>
  </singleXmlCell>
  <singleXmlCell id="2348" xr6:uid="{F9BAAC49-F019-4F26-9452-46536B67BD76}" r="D159" connectionId="0">
    <xmlCellPr id="1" xr6:uid="{A17DF604-5542-4015-BF63-66F1FF35DF68}" uniqueName="DriverValue">
      <xmlPr mapId="7" xpath="/MAKE/AOP/AOP_Frontal_MPDB/DUMMY_MEASUREMENTS/Neck/Fy_Min/@DriverValue" xmlDataType="decimal"/>
    </xmlCellPr>
  </singleXmlCell>
  <singleXmlCell id="2350" xr6:uid="{1AAA681E-6562-45BB-BFC3-2F4FA4ADD645}" r="F159" connectionId="0">
    <xmlCellPr id="1" xr6:uid="{A914A9C7-F7C1-4DD1-AE96-2099DC8204F4}" uniqueName="OEM_Pass_Value">
      <xmlPr mapId="7" xpath="/MAKE/AOP/AOP_Frontal_MPDB/DUMMY_MEASUREMENTS/Neck/Fy_Min/@OEM_Pass_Value" xmlDataType="decimal"/>
    </xmlCellPr>
  </singleXmlCell>
  <singleXmlCell id="2351" xr6:uid="{DE5C58D9-EB10-41BB-8EAC-1FA153ABDEFA}" r="D160" connectionId="0">
    <xmlCellPr id="1" xr6:uid="{598B8F6B-EF1F-4741-B9EC-F55C9C017917}" uniqueName="DriverValue">
      <xmlPr mapId="7" xpath="/MAKE/AOP/AOP_Frontal_MPDB/DUMMY_MEASUREMENTS/Neck/Fz_Max/@DriverValue" xmlDataType="decimal"/>
    </xmlCellPr>
  </singleXmlCell>
  <singleXmlCell id="2353" xr6:uid="{58B5239D-3C6F-4DA7-9F31-EC0571EAE8B4}" r="F160" connectionId="0">
    <xmlCellPr id="1" xr6:uid="{E64CF738-91F2-4304-880C-1C68062A3B90}" uniqueName="OEM_Pass_Value">
      <xmlPr mapId="7" xpath="/MAKE/AOP/AOP_Frontal_MPDB/DUMMY_MEASUREMENTS/Neck/Fz_Max/@OEM_Pass_Value" xmlDataType="decimal"/>
    </xmlCellPr>
  </singleXmlCell>
  <singleXmlCell id="2354" xr6:uid="{308FEE11-D437-4CD8-B25F-BB3226CCEE5B}" r="D161" connectionId="0">
    <xmlCellPr id="1" xr6:uid="{BE4D0E3C-716D-4B88-805D-76B1DB7992CD}" uniqueName="DriverValue">
      <xmlPr mapId="7" xpath="/MAKE/AOP/AOP_Frontal_MPDB/DUMMY_MEASUREMENTS/Neck/Fz_Min/@DriverValue" xmlDataType="decimal"/>
    </xmlCellPr>
  </singleXmlCell>
  <singleXmlCell id="2356" xr6:uid="{7E503857-8C75-4B51-9F9F-5844DE82F9B7}" r="F161" connectionId="0">
    <xmlCellPr id="1" xr6:uid="{8AAF84F0-DDDA-469C-A576-BFFE38E92FFF}" uniqueName="OEM_Pass_Value">
      <xmlPr mapId="7" xpath="/MAKE/AOP/AOP_Frontal_MPDB/DUMMY_MEASUREMENTS/Neck/Fz_Min/@OEM_Pass_Value" xmlDataType="decimal"/>
    </xmlCellPr>
  </singleXmlCell>
  <singleXmlCell id="2357" xr6:uid="{C9C67D92-4EAC-4B18-A209-5B60618F5275}" r="D162" connectionId="0">
    <xmlCellPr id="1" xr6:uid="{F660536E-A851-46B6-8299-69D0CC572ADD}" uniqueName="DriverValue">
      <xmlPr mapId="7" xpath="/MAKE/AOP/AOP_Frontal_MPDB/DUMMY_MEASUREMENTS/Neck/Mx_Max/@DriverValue" xmlDataType="decimal"/>
    </xmlCellPr>
  </singleXmlCell>
  <singleXmlCell id="2359" xr6:uid="{28FF803B-CE46-4A8B-911F-3BBA589AEE06}" r="F162" connectionId="0">
    <xmlCellPr id="1" xr6:uid="{E0E97AF2-9CB2-4119-92B5-527A196BA2BB}" uniqueName="OEM_Pass_Value">
      <xmlPr mapId="7" xpath="/MAKE/AOP/AOP_Frontal_MPDB/DUMMY_MEASUREMENTS/Neck/Mx_Max/@OEM_Pass_Value" xmlDataType="decimal"/>
    </xmlCellPr>
  </singleXmlCell>
  <singleXmlCell id="2360" xr6:uid="{8C8D5117-AFAC-4153-9D0C-E8C2E37D4BD6}" r="D163" connectionId="0">
    <xmlCellPr id="1" xr6:uid="{ADA90705-4543-49BC-8E1D-6AF4B60BCCBC}" uniqueName="DriverValue">
      <xmlPr mapId="7" xpath="/MAKE/AOP/AOP_Frontal_MPDB/DUMMY_MEASUREMENTS/Neck/Mx_Min/@DriverValue" xmlDataType="decimal"/>
    </xmlCellPr>
  </singleXmlCell>
  <singleXmlCell id="2362" xr6:uid="{0046390B-7DBB-41F6-874B-BC3FB1799BC0}" r="F163" connectionId="0">
    <xmlCellPr id="1" xr6:uid="{7E68F554-4787-4322-B6DC-376D68BFA1B3}" uniqueName="OEM_Pass_Value">
      <xmlPr mapId="7" xpath="/MAKE/AOP/AOP_Frontal_MPDB/DUMMY_MEASUREMENTS/Neck/Mx_Min/@OEM_Pass_Value" xmlDataType="decimal"/>
    </xmlCellPr>
  </singleXmlCell>
  <singleXmlCell id="2363" xr6:uid="{A96907A3-0873-4410-93CF-F9F2EF499555}" r="D164" connectionId="0">
    <xmlCellPr id="1" xr6:uid="{F5C4EFCF-9E6C-4FC2-9110-0836A69C78FC}" uniqueName="DriverValue">
      <xmlPr mapId="7" xpath="/MAKE/AOP/AOP_Frontal_MPDB/DUMMY_MEASUREMENTS/Neck/My_Max/@DriverValue" xmlDataType="decimal"/>
    </xmlCellPr>
  </singleXmlCell>
  <singleXmlCell id="2365" xr6:uid="{B20BB302-0DAD-4791-9A6F-9E0C6624A811}" r="F164" connectionId="0">
    <xmlCellPr id="1" xr6:uid="{F8ED4B71-A737-48DB-9D6E-B7081F620525}" uniqueName="OEM_Pass_Value">
      <xmlPr mapId="7" xpath="/MAKE/AOP/AOP_Frontal_MPDB/DUMMY_MEASUREMENTS/Neck/My_Max/@OEM_Pass_Value" xmlDataType="decimal"/>
    </xmlCellPr>
  </singleXmlCell>
  <singleXmlCell id="2366" xr6:uid="{DD98361B-540D-48A6-8416-91AF44829CC6}" r="D165" connectionId="0">
    <xmlCellPr id="1" xr6:uid="{5D70CB42-7A66-4D7E-9417-AB9FEADF64D6}" uniqueName="DriverValue">
      <xmlPr mapId="7" xpath="/MAKE/AOP/AOP_Frontal_MPDB/DUMMY_MEASUREMENTS/Neck/My_Min/@DriverValue" xmlDataType="decimal"/>
    </xmlCellPr>
  </singleXmlCell>
  <singleXmlCell id="2368" xr6:uid="{A99F9118-30F1-4AF3-AAF5-2E6B4B5EDD65}" r="F165" connectionId="0">
    <xmlCellPr id="1" xr6:uid="{C3F321B2-AE99-4F58-A4C4-18DE99562848}" uniqueName="OEM_Pass_Value">
      <xmlPr mapId="7" xpath="/MAKE/AOP/AOP_Frontal_MPDB/DUMMY_MEASUREMENTS/Neck/My_Min/@OEM_Pass_Value" xmlDataType="decimal"/>
    </xmlCellPr>
  </singleXmlCell>
  <singleXmlCell id="2369" xr6:uid="{09CD501F-AF0E-4C7C-B646-C298950EDBEF}" r="D166" connectionId="0">
    <xmlCellPr id="1" xr6:uid="{46D0383A-0807-4700-A50F-1791E76CD025}" uniqueName="DriverValue">
      <xmlPr mapId="7" xpath="/MAKE/AOP/AOP_Frontal_MPDB/DUMMY_MEASUREMENTS/Neck/Mz_Max/@DriverValue" xmlDataType="decimal"/>
    </xmlCellPr>
  </singleXmlCell>
  <singleXmlCell id="2371" xr6:uid="{870FFFE3-AB40-4B7C-8799-8644CD623DBB}" r="F166" connectionId="0">
    <xmlCellPr id="1" xr6:uid="{FC56FA5A-850E-4A6F-AB03-0E66D32670C8}" uniqueName="OEM_Pass_Value">
      <xmlPr mapId="7" xpath="/MAKE/AOP/AOP_Frontal_MPDB/DUMMY_MEASUREMENTS/Neck/Mz_Max/@OEM_Pass_Value" xmlDataType="decimal"/>
    </xmlCellPr>
  </singleXmlCell>
  <singleXmlCell id="2372" xr6:uid="{60EF7A19-D930-4233-801D-47A735328143}" r="D167" connectionId="0">
    <xmlCellPr id="1" xr6:uid="{BD1E0550-0DF9-4325-938B-7BA8042F3891}" uniqueName="DriverValue">
      <xmlPr mapId="7" xpath="/MAKE/AOP/AOP_Frontal_MPDB/DUMMY_MEASUREMENTS/Neck/Mz_Min/@DriverValue" xmlDataType="decimal"/>
    </xmlCellPr>
  </singleXmlCell>
  <singleXmlCell id="2374" xr6:uid="{99B6EE94-30C0-477A-A2B9-F2D0EF7EBDA3}" r="F167" connectionId="0">
    <xmlCellPr id="1" xr6:uid="{E1063609-E607-4D74-970E-974483559DD7}" uniqueName="OEM_Pass_Value">
      <xmlPr mapId="7" xpath="/MAKE/AOP/AOP_Frontal_MPDB/DUMMY_MEASUREMENTS/Neck/Mz_Min/@OEM_Pass_Value" xmlDataType="decimal"/>
    </xmlCellPr>
  </singleXmlCell>
  <singleXmlCell id="2375" xr6:uid="{EE19D5AC-6571-4878-BA4D-D9B17DC1E576}" r="D169" connectionId="0">
    <xmlCellPr id="1" xr6:uid="{E11E4263-9EA5-4AD2-852B-E39DC13359A3}" uniqueName="DriverValue">
      <xmlPr mapId="7" xpath="/MAKE/AOP/AOP_Frontal_MPDB/DUMMY_MEASUREMENTS/Clavicle_Left_Inner/Fx_Max/@DriverValue" xmlDataType="decimal"/>
    </xmlCellPr>
  </singleXmlCell>
  <singleXmlCell id="2377" xr6:uid="{5A50CB2D-8379-4E3B-9C90-E99AE6F9227A}" r="F169" connectionId="0">
    <xmlCellPr id="1" xr6:uid="{363C6C49-7761-484D-9C97-87E309B99A28}" uniqueName="OEM_Pass_Value">
      <xmlPr mapId="7" xpath="/MAKE/AOP/AOP_Frontal_MPDB/DUMMY_MEASUREMENTS/Clavicle_Left_Inner/Fx_Max/@OEM_Pass_Value" xmlDataType="decimal"/>
    </xmlCellPr>
  </singleXmlCell>
  <singleXmlCell id="2378" xr6:uid="{3007724F-A973-4C05-B1C9-FADFC8C2F985}" r="D170" connectionId="0">
    <xmlCellPr id="1" xr6:uid="{0583AC1F-A8EB-48CC-9D12-E927A6D3DF52}" uniqueName="DriverValue">
      <xmlPr mapId="7" xpath="/MAKE/AOP/AOP_Frontal_MPDB/DUMMY_MEASUREMENTS/Clavicle_Left_Inner/Fx_Min/@DriverValue" xmlDataType="decimal"/>
    </xmlCellPr>
  </singleXmlCell>
  <singleXmlCell id="2380" xr6:uid="{AC09C835-65E9-4009-8DF7-FBED7A9733C7}" r="F170" connectionId="0">
    <xmlCellPr id="1" xr6:uid="{55556F30-0C00-4DDA-9563-7FC597D79103}" uniqueName="OEM_Pass_Value">
      <xmlPr mapId="7" xpath="/MAKE/AOP/AOP_Frontal_MPDB/DUMMY_MEASUREMENTS/Clavicle_Left_Inner/Fx_Min/@OEM_Pass_Value" xmlDataType="decimal"/>
    </xmlCellPr>
  </singleXmlCell>
  <singleXmlCell id="2381" xr6:uid="{9FC38958-BB80-43B3-8472-C93E3CD6315B}" r="D171" connectionId="0">
    <xmlCellPr id="1" xr6:uid="{C26A1946-73FC-4F5A-8C2E-DC03AD759E1D}" uniqueName="DriverValue">
      <xmlPr mapId="7" xpath="/MAKE/AOP/AOP_Frontal_MPDB/DUMMY_MEASUREMENTS/Clavicle_Left_Inner/Fy_Max/@DriverValue" xmlDataType="decimal"/>
    </xmlCellPr>
  </singleXmlCell>
  <singleXmlCell id="2383" xr6:uid="{D7F6E359-00B7-4A7C-BF06-3DC1216FD4E0}" r="F171" connectionId="0">
    <xmlCellPr id="1" xr6:uid="{5528C5A5-0772-441B-9CFD-3968C14BD152}" uniqueName="OEM_Pass_Value">
      <xmlPr mapId="7" xpath="/MAKE/AOP/AOP_Frontal_MPDB/DUMMY_MEASUREMENTS/Clavicle_Left_Inner/Fy_Max/@OEM_Pass_Value" xmlDataType="decimal"/>
    </xmlCellPr>
  </singleXmlCell>
  <singleXmlCell id="2384" xr6:uid="{88CC943E-69F8-4EA0-BAEC-39C0B825DB61}" r="D172" connectionId="0">
    <xmlCellPr id="1" xr6:uid="{0235F8AF-CBC0-4E04-85DC-95F2FB5AC122}" uniqueName="DriverValue">
      <xmlPr mapId="7" xpath="/MAKE/AOP/AOP_Frontal_MPDB/DUMMY_MEASUREMENTS/Clavicle_Left_Inner/Fy_Min/@DriverValue" xmlDataType="decimal"/>
    </xmlCellPr>
  </singleXmlCell>
  <singleXmlCell id="2386" xr6:uid="{75C2BEB4-B771-4798-8363-650AF0ECE3A9}" r="F172" connectionId="0">
    <xmlCellPr id="1" xr6:uid="{4342CA6E-85B9-4709-8310-F879C3EC8517}" uniqueName="OEM_Pass_Value">
      <xmlPr mapId="7" xpath="/MAKE/AOP/AOP_Frontal_MPDB/DUMMY_MEASUREMENTS/Clavicle_Left_Inner/Fy_Min/@OEM_Pass_Value" xmlDataType="decimal"/>
    </xmlCellPr>
  </singleXmlCell>
  <singleXmlCell id="2387" xr6:uid="{ADCA4EF4-A18F-4535-A19C-63DC68A1418F}" r="D173" connectionId="0">
    <xmlCellPr id="1" xr6:uid="{D0B9BF92-F104-4AB5-8CCB-298025826B39}" uniqueName="DriverValue">
      <xmlPr mapId="7" xpath="/MAKE/AOP/AOP_Frontal_MPDB/DUMMY_MEASUREMENTS/Clavicle_Left_Inner/Fz_Max/@DriverValue" xmlDataType="decimal"/>
    </xmlCellPr>
  </singleXmlCell>
  <singleXmlCell id="2389" xr6:uid="{DBF4DBB4-1F87-4425-8091-A2B44F9C05EB}" r="F173" connectionId="0">
    <xmlCellPr id="1" xr6:uid="{A12377BE-5094-4C0B-821A-3E3C861DD58C}" uniqueName="OEM_Pass_Value">
      <xmlPr mapId="7" xpath="/MAKE/AOP/AOP_Frontal_MPDB/DUMMY_MEASUREMENTS/Clavicle_Left_Inner/Fz_Max/@OEM_Pass_Value" xmlDataType="decimal"/>
    </xmlCellPr>
  </singleXmlCell>
  <singleXmlCell id="2390" xr6:uid="{FC0134D4-77E9-4AC2-ADCE-71E8736F3EF4}" r="D175" connectionId="0">
    <xmlCellPr id="1" xr6:uid="{90BEA7D2-9432-400D-B4B3-3F7094F92C28}" uniqueName="DriverValue">
      <xmlPr mapId="7" xpath="/MAKE/AOP/AOP_Frontal_MPDB/DUMMY_MEASUREMENTS/Clavicle_Left_Outer/Fx_Max/@DriverValue" xmlDataType="decimal"/>
    </xmlCellPr>
  </singleXmlCell>
  <singleXmlCell id="2392" xr6:uid="{83F26FFA-B8A0-4F8A-8FFD-C081FEBE8C50}" r="F175" connectionId="0">
    <xmlCellPr id="1" xr6:uid="{AB502630-696F-45F7-AB01-73EE3F4908C9}" uniqueName="OEM_Pass_Value">
      <xmlPr mapId="7" xpath="/MAKE/AOP/AOP_Frontal_MPDB/DUMMY_MEASUREMENTS/Clavicle_Left_Outer/Fx_Max/@OEM_Pass_Value" xmlDataType="decimal"/>
    </xmlCellPr>
  </singleXmlCell>
  <singleXmlCell id="2393" xr6:uid="{754E44E8-A9AE-4B7D-B664-E1436872EC8F}" r="D176" connectionId="0">
    <xmlCellPr id="1" xr6:uid="{40F95382-FBFA-4309-B82A-E9F8542E3FCB}" uniqueName="DriverValue">
      <xmlPr mapId="7" xpath="/MAKE/AOP/AOP_Frontal_MPDB/DUMMY_MEASUREMENTS/Clavicle_Left_Outer/Fx_Min/@DriverValue" xmlDataType="decimal"/>
    </xmlCellPr>
  </singleXmlCell>
  <singleXmlCell id="2395" xr6:uid="{D9562D70-1B81-498A-B08E-B7A69B08A81F}" r="F176" connectionId="0">
    <xmlCellPr id="1" xr6:uid="{AA841140-64FA-425C-AE1B-87EAD07F5BC7}" uniqueName="OEM_Pass_Value">
      <xmlPr mapId="7" xpath="/MAKE/AOP/AOP_Frontal_MPDB/DUMMY_MEASUREMENTS/Clavicle_Left_Outer/Fx_Min/@OEM_Pass_Value" xmlDataType="decimal"/>
    </xmlCellPr>
  </singleXmlCell>
  <singleXmlCell id="2396" xr6:uid="{6DFE0882-3A57-4519-9E44-2F8CAF30315B}" r="D177" connectionId="0">
    <xmlCellPr id="1" xr6:uid="{410724C8-71B9-4EBE-B037-CB7AC28DAD8E}" uniqueName="DriverValue">
      <xmlPr mapId="7" xpath="/MAKE/AOP/AOP_Frontal_MPDB/DUMMY_MEASUREMENTS/Clavicle_Left_Outer/Fy_Max/@DriverValue" xmlDataType="decimal"/>
    </xmlCellPr>
  </singleXmlCell>
  <singleXmlCell id="2398" xr6:uid="{B972473A-B0F3-463C-A407-ACF95E3E57F8}" r="F177" connectionId="0">
    <xmlCellPr id="1" xr6:uid="{99EB50EB-F20E-423A-92F4-73129D00BCD8}" uniqueName="OEM_Pass_Value">
      <xmlPr mapId="7" xpath="/MAKE/AOP/AOP_Frontal_MPDB/DUMMY_MEASUREMENTS/Clavicle_Left_Outer/Fy_Max/@OEM_Pass_Value" xmlDataType="decimal"/>
    </xmlCellPr>
  </singleXmlCell>
  <singleXmlCell id="2399" xr6:uid="{8FD47F37-89A2-422E-A458-E50C193F6DC9}" r="D178" connectionId="0">
    <xmlCellPr id="1" xr6:uid="{D4DAEBE8-416D-4511-BC34-29A7B01C37DB}" uniqueName="DriverValue">
      <xmlPr mapId="7" xpath="/MAKE/AOP/AOP_Frontal_MPDB/DUMMY_MEASUREMENTS/Clavicle_Left_Outer/Fy_Min/@DriverValue" xmlDataType="decimal"/>
    </xmlCellPr>
  </singleXmlCell>
  <singleXmlCell id="2401" xr6:uid="{895EEAE6-49A8-4D78-9214-58BA290DFFEE}" r="F178" connectionId="0">
    <xmlCellPr id="1" xr6:uid="{9B3389AA-D877-45F3-9512-DE5BB502959D}" uniqueName="OEM_Pass_Value">
      <xmlPr mapId="7" xpath="/MAKE/AOP/AOP_Frontal_MPDB/DUMMY_MEASUREMENTS/Clavicle_Left_Outer/Fy_Min/@OEM_Pass_Value" xmlDataType="decimal"/>
    </xmlCellPr>
  </singleXmlCell>
  <singleXmlCell id="2402" xr6:uid="{CA5E1970-BE06-4020-A783-A432A25F127E}" r="D179" connectionId="0">
    <xmlCellPr id="1" xr6:uid="{42C6C3A9-F23C-44EF-9BDD-9D6E87D76738}" uniqueName="DriverValue">
      <xmlPr mapId="7" xpath="/MAKE/AOP/AOP_Frontal_MPDB/DUMMY_MEASUREMENTS/Clavicle_Left_Outer/Fz_Max/@DriverValue" xmlDataType="decimal"/>
    </xmlCellPr>
  </singleXmlCell>
  <singleXmlCell id="2404" xr6:uid="{24E08D14-5F46-4E92-AC5B-E0B364EDA5BB}" r="F179" connectionId="0">
    <xmlCellPr id="1" xr6:uid="{E9C31A7E-7848-4E2F-80D5-FA0C20731E81}" uniqueName="OEM_Pass_Value">
      <xmlPr mapId="7" xpath="/MAKE/AOP/AOP_Frontal_MPDB/DUMMY_MEASUREMENTS/Clavicle_Left_Outer/Fz_Max/@OEM_Pass_Value" xmlDataType="decimal"/>
    </xmlCellPr>
  </singleXmlCell>
  <singleXmlCell id="2405" xr6:uid="{26A8C873-CAD8-4C76-B355-2553DFFF2CE1}" r="D181" connectionId="0">
    <xmlCellPr id="1" xr6:uid="{3683A3C2-38EC-4185-AF59-F510785E395D}" uniqueName="DriverValue">
      <xmlPr mapId="7" xpath="/MAKE/AOP/AOP_Frontal_MPDB/DUMMY_MEASUREMENTS/Clavicle_Right_Inner/Fx_Max/@DriverValue" xmlDataType="decimal"/>
    </xmlCellPr>
  </singleXmlCell>
  <singleXmlCell id="2407" xr6:uid="{B82B293F-4197-48A1-9093-42C96E458AB2}" r="F181" connectionId="0">
    <xmlCellPr id="1" xr6:uid="{E6BB0920-A1ED-454D-B739-3F21B03968E9}" uniqueName="OEM_Pass_Value">
      <xmlPr mapId="7" xpath="/MAKE/AOP/AOP_Frontal_MPDB/DUMMY_MEASUREMENTS/Clavicle_Right_Inner/Fx_Max/@OEM_Pass_Value" xmlDataType="decimal"/>
    </xmlCellPr>
  </singleXmlCell>
  <singleXmlCell id="2408" xr6:uid="{DB0949AA-5D91-478B-81D9-9367B44A3D14}" r="D182" connectionId="0">
    <xmlCellPr id="1" xr6:uid="{E434959E-0F8F-4DFD-88A4-57D1E6B7561C}" uniqueName="DriverValue">
      <xmlPr mapId="7" xpath="/MAKE/AOP/AOP_Frontal_MPDB/DUMMY_MEASUREMENTS/Clavicle_Right_Inner/Fx_Min/@DriverValue" xmlDataType="decimal"/>
    </xmlCellPr>
  </singleXmlCell>
  <singleXmlCell id="2410" xr6:uid="{9881A635-DD82-4292-AFDE-893F28966AD7}" r="F182" connectionId="0">
    <xmlCellPr id="1" xr6:uid="{9B55F9F4-AC16-4BF4-A886-7F8766BD8277}" uniqueName="OEM_Pass_Value">
      <xmlPr mapId="7" xpath="/MAKE/AOP/AOP_Frontal_MPDB/DUMMY_MEASUREMENTS/Clavicle_Right_Inner/Fx_Min/@OEM_Pass_Value" xmlDataType="decimal"/>
    </xmlCellPr>
  </singleXmlCell>
  <singleXmlCell id="2411" xr6:uid="{13E34455-9C96-459C-93A4-9F92B59EBBF5}" r="D183" connectionId="0">
    <xmlCellPr id="1" xr6:uid="{D683A527-2B02-4FA3-8973-9333D435A871}" uniqueName="DriverValue">
      <xmlPr mapId="7" xpath="/MAKE/AOP/AOP_Frontal_MPDB/DUMMY_MEASUREMENTS/Clavicle_Right_Inner/Fy_Max/@DriverValue" xmlDataType="decimal"/>
    </xmlCellPr>
  </singleXmlCell>
  <singleXmlCell id="2413" xr6:uid="{AD3780CF-1D67-4F93-8805-0B50E856E3B6}" r="F183" connectionId="0">
    <xmlCellPr id="1" xr6:uid="{FECC1133-C754-486C-AAD8-360C9C7F7B23}" uniqueName="OEM_Pass_Value">
      <xmlPr mapId="7" xpath="/MAKE/AOP/AOP_Frontal_MPDB/DUMMY_MEASUREMENTS/Clavicle_Right_Inner/Fy_Max/@OEM_Pass_Value" xmlDataType="decimal"/>
    </xmlCellPr>
  </singleXmlCell>
  <singleXmlCell id="2414" xr6:uid="{44DA91A9-9352-42FE-A63C-0C7A2AB691E4}" r="D184" connectionId="0">
    <xmlCellPr id="1" xr6:uid="{52EFB014-3816-4CDA-B4D5-A29288156E1F}" uniqueName="DriverValue">
      <xmlPr mapId="7" xpath="/MAKE/AOP/AOP_Frontal_MPDB/DUMMY_MEASUREMENTS/Clavicle_Right_Inner/Fy_Min/@DriverValue" xmlDataType="decimal"/>
    </xmlCellPr>
  </singleXmlCell>
  <singleXmlCell id="2416" xr6:uid="{DB3DF541-A0F9-46A8-9662-03253A5DDC33}" r="F184" connectionId="0">
    <xmlCellPr id="1" xr6:uid="{BDD0A932-29B0-409F-B8AF-4B278B2F43F6}" uniqueName="OEM_Pass_Value">
      <xmlPr mapId="7" xpath="/MAKE/AOP/AOP_Frontal_MPDB/DUMMY_MEASUREMENTS/Clavicle_Right_Inner/Fy_Min/@OEM_Pass_Value" xmlDataType="decimal"/>
    </xmlCellPr>
  </singleXmlCell>
  <singleXmlCell id="2417" xr6:uid="{C96E3B7F-ED5D-4C38-927B-77929BCA9817}" r="D185" connectionId="0">
    <xmlCellPr id="1" xr6:uid="{58DC10D6-098E-471D-8E4A-7D170C1FFB97}" uniqueName="DriverValue">
      <xmlPr mapId="7" xpath="/MAKE/AOP/AOP_Frontal_MPDB/DUMMY_MEASUREMENTS/Clavicle_Right_Inner/Fz_Max/@DriverValue" xmlDataType="decimal"/>
    </xmlCellPr>
  </singleXmlCell>
  <singleXmlCell id="2419" xr6:uid="{4F2B6F64-AB1B-473D-A456-CDD8365D212A}" r="F185" connectionId="0">
    <xmlCellPr id="1" xr6:uid="{9B7D9305-F90C-4377-8F0C-96E9A297EBF1}" uniqueName="OEM_Pass_Value">
      <xmlPr mapId="7" xpath="/MAKE/AOP/AOP_Frontal_MPDB/DUMMY_MEASUREMENTS/Clavicle_Right_Inner/Fz_Max/@OEM_Pass_Value" xmlDataType="decimal"/>
    </xmlCellPr>
  </singleXmlCell>
  <singleXmlCell id="2420" xr6:uid="{FED72810-5B91-4248-A7A0-3F5C1699A6D4}" r="D187" connectionId="0">
    <xmlCellPr id="1" xr6:uid="{BC5EA251-8F2C-48F8-88FD-3D3C67CE4C64}" uniqueName="DriverValue">
      <xmlPr mapId="7" xpath="/MAKE/AOP/AOP_Frontal_MPDB/DUMMY_MEASUREMENTS/Clavicle_Right_Outer/Fx_Max/@DriverValue" xmlDataType="decimal"/>
    </xmlCellPr>
  </singleXmlCell>
  <singleXmlCell id="2422" xr6:uid="{EA2F6B8C-AA1B-4F14-9AF1-67EE4B1892C3}" r="F187" connectionId="0">
    <xmlCellPr id="1" xr6:uid="{09655866-BA1D-4D3F-9547-ADFB5EFA8569}" uniqueName="OEM_Pass_Value">
      <xmlPr mapId="7" xpath="/MAKE/AOP/AOP_Frontal_MPDB/DUMMY_MEASUREMENTS/Clavicle_Right_Outer/Fx_Max/@OEM_Pass_Value" xmlDataType="decimal"/>
    </xmlCellPr>
  </singleXmlCell>
  <singleXmlCell id="2423" xr6:uid="{411AA08E-CEEF-4F0A-8908-A6A9941DF1F8}" r="D188" connectionId="0">
    <xmlCellPr id="1" xr6:uid="{38A6B597-A623-463F-82D0-69790BCDB2F5}" uniqueName="DriverValue">
      <xmlPr mapId="7" xpath="/MAKE/AOP/AOP_Frontal_MPDB/DUMMY_MEASUREMENTS/Clavicle_Right_Outer/Fx_Min/@DriverValue" xmlDataType="decimal"/>
    </xmlCellPr>
  </singleXmlCell>
  <singleXmlCell id="2425" xr6:uid="{1B554F68-CB79-4A40-9DCA-7AAD64BACB3E}" r="F188" connectionId="0">
    <xmlCellPr id="1" xr6:uid="{FEDC5888-46CE-44B9-B7F0-255A848E2B49}" uniqueName="OEM_Pass_Value">
      <xmlPr mapId="7" xpath="/MAKE/AOP/AOP_Frontal_MPDB/DUMMY_MEASUREMENTS/Clavicle_Right_Outer/Fx_Min/@OEM_Pass_Value" xmlDataType="decimal"/>
    </xmlCellPr>
  </singleXmlCell>
  <singleXmlCell id="2426" xr6:uid="{3A68506C-81A0-47E8-A225-DC55A81DDF52}" r="D189" connectionId="0">
    <xmlCellPr id="1" xr6:uid="{A258C525-85F1-4334-B176-96258F35891D}" uniqueName="DriverValue">
      <xmlPr mapId="7" xpath="/MAKE/AOP/AOP_Frontal_MPDB/DUMMY_MEASUREMENTS/Clavicle_Right_Outer/Fy_Max/@DriverValue" xmlDataType="decimal"/>
    </xmlCellPr>
  </singleXmlCell>
  <singleXmlCell id="2428" xr6:uid="{1714CDD7-F6DF-4BCE-9003-E9A901895CF7}" r="F189" connectionId="0">
    <xmlCellPr id="1" xr6:uid="{8918129D-9D22-419D-8E63-82070A4F51FD}" uniqueName="OEM_Pass_Value">
      <xmlPr mapId="7" xpath="/MAKE/AOP/AOP_Frontal_MPDB/DUMMY_MEASUREMENTS/Clavicle_Right_Outer/Fy_Max/@OEM_Pass_Value" xmlDataType="decimal"/>
    </xmlCellPr>
  </singleXmlCell>
  <singleXmlCell id="2429" xr6:uid="{551900AC-5DB5-4250-A8CD-06A1054EEA16}" r="D190" connectionId="0">
    <xmlCellPr id="1" xr6:uid="{1974ED51-24AD-4DF3-977D-8509F31C25D3}" uniqueName="DriverValue">
      <xmlPr mapId="7" xpath="/MAKE/AOP/AOP_Frontal_MPDB/DUMMY_MEASUREMENTS/Clavicle_Right_Outer/Fy_Min/@DriverValue" xmlDataType="decimal"/>
    </xmlCellPr>
  </singleXmlCell>
  <singleXmlCell id="2431" xr6:uid="{5A6F26F5-CFE5-4772-8015-1EFCADCF035F}" r="F190" connectionId="0">
    <xmlCellPr id="1" xr6:uid="{A747DB66-1D41-4D73-9914-D67DB572B566}" uniqueName="OEM_Pass_Value">
      <xmlPr mapId="7" xpath="/MAKE/AOP/AOP_Frontal_MPDB/DUMMY_MEASUREMENTS/Clavicle_Right_Outer/Fy_Min/@OEM_Pass_Value" xmlDataType="decimal"/>
    </xmlCellPr>
  </singleXmlCell>
  <singleXmlCell id="2432" xr6:uid="{48775AD0-6DA0-4621-9645-5F4B2A30E88B}" r="D191" connectionId="0">
    <xmlCellPr id="1" xr6:uid="{6C616C63-329E-408D-BC20-2BE1B1DD5853}" uniqueName="DriverValue">
      <xmlPr mapId="7" xpath="/MAKE/AOP/AOP_Frontal_MPDB/DUMMY_MEASUREMENTS/Clavicle_Right_Outer/Fz_Max/@DriverValue" xmlDataType="decimal"/>
    </xmlCellPr>
  </singleXmlCell>
  <singleXmlCell id="2434" xr6:uid="{A5D44C90-902E-4EB2-966A-981391B0DD30}" r="F191" connectionId="0">
    <xmlCellPr id="1" xr6:uid="{71F5FEAD-1D57-4806-8A79-FD1EEDC14D44}" uniqueName="OEM_Pass_Value">
      <xmlPr mapId="7" xpath="/MAKE/AOP/AOP_Frontal_MPDB/DUMMY_MEASUREMENTS/Clavicle_Right_Outer/Fz_Max/@OEM_Pass_Value" xmlDataType="decimal"/>
    </xmlCellPr>
  </singleXmlCell>
  <singleXmlCell id="2435" xr6:uid="{92AA0F5B-6708-4980-BBC0-BBB634433E6A}" r="D193" connectionId="0">
    <xmlCellPr id="1" xr6:uid="{E6D459E5-02D7-4EDD-90DE-212D5599323B}" uniqueName="DriverValue">
      <xmlPr mapId="7" xpath="/MAKE/AOP/AOP_Frontal_MPDB/DUMMY_MEASUREMENTS/Chest_Left_Upper/Dx_Max/@DriverValue" xmlDataType="decimal"/>
    </xmlCellPr>
  </singleXmlCell>
  <singleXmlCell id="2437" xr6:uid="{732BEC5B-5014-4195-B43E-51696F135C49}" r="F193" connectionId="0">
    <xmlCellPr id="1" xr6:uid="{7721DA14-2C3F-4142-99DD-2CEACE303805}" uniqueName="OEM_Pass_Value">
      <xmlPr mapId="7" xpath="/MAKE/AOP/AOP_Frontal_MPDB/DUMMY_MEASUREMENTS/Chest_Left_Upper/Dx_Max/@OEM_Pass_Value" xmlDataType="decimal"/>
    </xmlCellPr>
  </singleXmlCell>
  <singleXmlCell id="2438" xr6:uid="{7FF362D0-567D-4216-B35E-1A410CB2654C}" r="D194" connectionId="0">
    <xmlCellPr id="1" xr6:uid="{4DC67538-3E6A-4FB0-84F9-7D59BC885C79}" uniqueName="DriverValue">
      <xmlPr mapId="7" xpath="/MAKE/AOP/AOP_Frontal_MPDB/DUMMY_MEASUREMENTS/Chest_Left_Upper/Dx_Min/@DriverValue" xmlDataType="decimal"/>
    </xmlCellPr>
  </singleXmlCell>
  <singleXmlCell id="2440" xr6:uid="{7B3F0C85-9E4C-4478-867F-3115AF8FBD0D}" r="F194" connectionId="0">
    <xmlCellPr id="1" xr6:uid="{A9B496F8-0E32-4C90-BF30-200A83D82EBF}" uniqueName="OEM_Pass_Value">
      <xmlPr mapId="7" xpath="/MAKE/AOP/AOP_Frontal_MPDB/DUMMY_MEASUREMENTS/Chest_Left_Upper/Dx_Min/@OEM_Pass_Value" xmlDataType="decimal"/>
    </xmlCellPr>
  </singleXmlCell>
  <singleXmlCell id="2441" xr6:uid="{0977DDE0-ACBD-426D-8993-48D7557C3A73}" r="D195" connectionId="0">
    <xmlCellPr id="1" xr6:uid="{8400AF6C-8FA4-4DA3-B3DA-975C2B14E51C}" uniqueName="DriverValue">
      <xmlPr mapId="7" xpath="/MAKE/AOP/AOP_Frontal_MPDB/DUMMY_MEASUREMENTS/Chest_Left_Upper/Dy_Max/@DriverValue" xmlDataType="decimal"/>
    </xmlCellPr>
  </singleXmlCell>
  <singleXmlCell id="2443" xr6:uid="{DE8D1546-29AB-48C6-BC83-5674EBB5B5EC}" r="F195" connectionId="0">
    <xmlCellPr id="1" xr6:uid="{A3366BE9-9986-469A-BF29-FDE7D5F045F6}" uniqueName="OEM_Pass_Value">
      <xmlPr mapId="7" xpath="/MAKE/AOP/AOP_Frontal_MPDB/DUMMY_MEASUREMENTS/Chest_Left_Upper/Dy_Max/@OEM_Pass_Value" xmlDataType="decimal"/>
    </xmlCellPr>
  </singleXmlCell>
  <singleXmlCell id="2444" xr6:uid="{4E9AC765-930A-46FD-B62F-F3542AE4B377}" r="D196" connectionId="0">
    <xmlCellPr id="1" xr6:uid="{98CE0CE6-CE01-49AF-BB65-75121157C21D}" uniqueName="DriverValue">
      <xmlPr mapId="7" xpath="/MAKE/AOP/AOP_Frontal_MPDB/DUMMY_MEASUREMENTS/Chest_Left_Upper/Dy_Min/@DriverValue" xmlDataType="decimal"/>
    </xmlCellPr>
  </singleXmlCell>
  <singleXmlCell id="2446" xr6:uid="{2E65FEBE-C3BA-4AF0-BF9A-F8B63CA93C07}" r="F196" connectionId="0">
    <xmlCellPr id="1" xr6:uid="{31A2C091-1233-4D43-981F-F8E69F3EDB37}" uniqueName="OEM_Pass_Value">
      <xmlPr mapId="7" xpath="/MAKE/AOP/AOP_Frontal_MPDB/DUMMY_MEASUREMENTS/Chest_Left_Upper/Dy_Min/@OEM_Pass_Value" xmlDataType="decimal"/>
    </xmlCellPr>
  </singleXmlCell>
  <singleXmlCell id="2447" xr6:uid="{21F620D4-AFD8-4D7C-B448-6A10A29E2593}" r="D197" connectionId="0">
    <xmlCellPr id="1" xr6:uid="{4103A2DA-A9ED-4C58-8D6F-3E0D89617CC1}" uniqueName="DriverValue">
      <xmlPr mapId="7" xpath="/MAKE/AOP/AOP_Frontal_MPDB/DUMMY_MEASUREMENTS/Chest_Left_Upper/Dz_Max/@DriverValue" xmlDataType="decimal"/>
    </xmlCellPr>
  </singleXmlCell>
  <singleXmlCell id="2449" xr6:uid="{DF424FAD-C793-4221-BEC0-54699393E1D5}" r="F197" connectionId="0">
    <xmlCellPr id="1" xr6:uid="{AEE1153B-AE9A-40A0-8286-B0E020B63012}" uniqueName="OEM_Pass_Value">
      <xmlPr mapId="7" xpath="/MAKE/AOP/AOP_Frontal_MPDB/DUMMY_MEASUREMENTS/Chest_Left_Upper/Dz_Max/@OEM_Pass_Value" xmlDataType="decimal"/>
    </xmlCellPr>
  </singleXmlCell>
  <singleXmlCell id="2450" xr6:uid="{A5447D2D-FE7F-43C3-A734-EE0991C3C150}" r="D198" connectionId="0">
    <xmlCellPr id="1" xr6:uid="{1F0903D0-51D4-416E-B43F-08720048AA49}" uniqueName="DriverValue">
      <xmlPr mapId="7" xpath="/MAKE/AOP/AOP_Frontal_MPDB/DUMMY_MEASUREMENTS/Chest_Left_Upper/Dz_Min/@DriverValue" xmlDataType="decimal"/>
    </xmlCellPr>
  </singleXmlCell>
  <singleXmlCell id="2452" xr6:uid="{3BBA940D-2551-499C-B4CE-BC97D72B300F}" r="F198" connectionId="0">
    <xmlCellPr id="1" xr6:uid="{7CD40009-5033-4B86-B7B0-89BBA855E0B9}" uniqueName="OEM_Pass_Value">
      <xmlPr mapId="7" xpath="/MAKE/AOP/AOP_Frontal_MPDB/DUMMY_MEASUREMENTS/Chest_Left_Upper/Dz_Min/@OEM_Pass_Value" xmlDataType="decimal"/>
    </xmlCellPr>
  </singleXmlCell>
  <singleXmlCell id="2453" xr6:uid="{65082CDC-F3D7-4A50-BE12-2EBB7B38672F}" r="D199" connectionId="0">
    <xmlCellPr id="1" xr6:uid="{7DC4BC96-E509-48C1-9F88-BCFBC4561E57}" uniqueName="DriverValue">
      <xmlPr mapId="7" xpath="/MAKE/AOP/AOP_Frontal_MPDB/DUMMY_MEASUREMENTS/Chest_Left_Upper/Dchest_Max/@DriverValue" xmlDataType="decimal"/>
    </xmlCellPr>
  </singleXmlCell>
  <singleXmlCell id="2455" xr6:uid="{B895938A-965E-49E5-988D-D676FBD35A69}" r="F199" connectionId="0">
    <xmlCellPr id="1" xr6:uid="{FDE250CB-D908-4CB4-84B3-AE330CDD3556}" uniqueName="OEM_Pass_Value">
      <xmlPr mapId="7" xpath="/MAKE/AOP/AOP_Frontal_MPDB/DUMMY_MEASUREMENTS/Chest_Left_Upper/Dchest_Max/@OEM_Pass_Value" xmlDataType="decimal"/>
    </xmlCellPr>
  </singleXmlCell>
  <singleXmlCell id="2456" xr6:uid="{862C961F-8A4E-4B4F-8600-76B45F3ADF8C}" r="D200" connectionId="0">
    <xmlCellPr id="1" xr6:uid="{12B1A33A-BEAF-4D5B-AE62-7C5A9CDDFCDA}" uniqueName="DriverValue">
      <xmlPr mapId="7" xpath="/MAKE/AOP/AOP_Frontal_MPDB/DUMMY_MEASUREMENTS/Chest_Left_Upper/Dchest_Min/@DriverValue" xmlDataType="decimal"/>
    </xmlCellPr>
  </singleXmlCell>
  <singleXmlCell id="2458" xr6:uid="{E0CA31BD-4A4C-4A78-AE47-06060495E175}" r="F200" connectionId="0">
    <xmlCellPr id="1" xr6:uid="{5244DB05-4CAD-4A42-BA3A-15093A51C98A}" uniqueName="OEM_Pass_Value">
      <xmlPr mapId="7" xpath="/MAKE/AOP/AOP_Frontal_MPDB/DUMMY_MEASUREMENTS/Chest_Left_Upper/Dchest_Min/@OEM_Pass_Value" xmlDataType="decimal"/>
    </xmlCellPr>
  </singleXmlCell>
  <singleXmlCell id="2459" xr6:uid="{31CEF611-7492-41C5-8EE7-AB5C884B3D8C}" r="D201" connectionId="0">
    <xmlCellPr id="1" xr6:uid="{87E40A6B-106E-4B4B-BC2F-8E32527AB9A4}" uniqueName="DriverValue">
      <xmlPr mapId="7" xpath="/MAKE/AOP/AOP_Frontal_MPDB/DUMMY_MEASUREMENTS/Chest_Left_Upper/Alph-y_Max/@DriverValue" xmlDataType="decimal"/>
    </xmlCellPr>
  </singleXmlCell>
  <singleXmlCell id="2461" xr6:uid="{6249178B-D4FB-4344-8D9B-D480C86A5D14}" r="F201" connectionId="0">
    <xmlCellPr id="1" xr6:uid="{A0CD88DF-5D41-401E-A24E-77EDE58F59C8}" uniqueName="OEM_Pass_Value">
      <xmlPr mapId="7" xpath="/MAKE/AOP/AOP_Frontal_MPDB/DUMMY_MEASUREMENTS/Chest_Left_Upper/Alph-y_Max/@OEM_Pass_Value" xmlDataType="decimal"/>
    </xmlCellPr>
  </singleXmlCell>
  <singleXmlCell id="2462" xr6:uid="{1EC07CC9-A319-46DC-BF7B-5254316130F9}" r="D202" connectionId="0">
    <xmlCellPr id="1" xr6:uid="{30ECF1A5-8C94-4B18-808B-A45DF28F5795}" uniqueName="DriverValue">
      <xmlPr mapId="7" xpath="/MAKE/AOP/AOP_Frontal_MPDB/DUMMY_MEASUREMENTS/Chest_Left_Upper/Alph_y_Min/@DriverValue" xmlDataType="decimal"/>
    </xmlCellPr>
  </singleXmlCell>
  <singleXmlCell id="2464" xr6:uid="{E5BEDC15-C421-4E03-8FC7-4675CB860535}" r="F202" connectionId="0">
    <xmlCellPr id="1" xr6:uid="{95361252-00A3-40C2-9298-F49D4B71C2EA}" uniqueName="OEM_Pass_Value">
      <xmlPr mapId="7" xpath="/MAKE/AOP/AOP_Frontal_MPDB/DUMMY_MEASUREMENTS/Chest_Left_Upper/Alph_y_Min/@OEM_Pass_Value" xmlDataType="decimal"/>
    </xmlCellPr>
  </singleXmlCell>
  <singleXmlCell id="2465" xr6:uid="{A104AE1A-22EB-491A-9F69-7DE30F9FC731}" r="D203" connectionId="0">
    <xmlCellPr id="1" xr6:uid="{CC5890D4-0F3D-4AD5-9BC2-A80755A3C293}" uniqueName="DriverValue">
      <xmlPr mapId="7" xpath="/MAKE/AOP/AOP_Frontal_MPDB/DUMMY_MEASUREMENTS/Chest_Left_Upper/Alph_z_Max/@DriverValue" xmlDataType="decimal"/>
    </xmlCellPr>
  </singleXmlCell>
  <singleXmlCell id="2467" xr6:uid="{D93A0F83-4AC1-4548-AB07-F805094E8BD9}" r="F203" connectionId="0">
    <xmlCellPr id="1" xr6:uid="{47471AC5-242D-4894-8956-15D6700A68A5}" uniqueName="OEM_Pass_Value">
      <xmlPr mapId="7" xpath="/MAKE/AOP/AOP_Frontal_MPDB/DUMMY_MEASUREMENTS/Chest_Left_Upper/Alph_z_Max/@OEM_Pass_Value" xmlDataType="decimal"/>
    </xmlCellPr>
  </singleXmlCell>
  <singleXmlCell id="2468" xr6:uid="{9D906B42-77B2-4253-8AEC-9D6C3D3860C8}" r="D204" connectionId="0">
    <xmlCellPr id="1" xr6:uid="{EB6CA65F-DB01-417E-A337-FBF4AD4422A1}" uniqueName="DriverValue">
      <xmlPr mapId="7" xpath="/MAKE/AOP/AOP_Frontal_MPDB/DUMMY_MEASUREMENTS/Chest_Left_Upper/Alph_z_Min/@DriverValue" xmlDataType="decimal"/>
    </xmlCellPr>
  </singleXmlCell>
  <singleXmlCell id="2470" xr6:uid="{F748D96E-B8FA-4E52-B6B3-543ECE21AC72}" r="F204" connectionId="0">
    <xmlCellPr id="1" xr6:uid="{8802FB4E-8923-46AE-81E7-0A99A23EB8F7}" uniqueName="OEM_Pass_Value">
      <xmlPr mapId="7" xpath="/MAKE/AOP/AOP_Frontal_MPDB/DUMMY_MEASUREMENTS/Chest_Left_Upper/Alph_z_Min/@OEM_Pass_Value" xmlDataType="decimal"/>
    </xmlCellPr>
  </singleXmlCell>
  <singleXmlCell id="2471" xr6:uid="{960DBE6F-589D-4C57-A54A-1AE343411AAF}" r="D206" connectionId="0">
    <xmlCellPr id="1" xr6:uid="{293CEB4C-FD8A-473C-8179-F11E6A1FE65B}" uniqueName="DriverValue">
      <xmlPr mapId="7" xpath="/MAKE/AOP/AOP_Frontal_MPDB/DUMMY_MEASUREMENTS/Chest_Right_Upper/Dx_Max/@DriverValue" xmlDataType="decimal"/>
    </xmlCellPr>
  </singleXmlCell>
  <singleXmlCell id="2473" xr6:uid="{2B98E051-74B4-42E7-B65D-C3AD0C31DF3E}" r="F206" connectionId="0">
    <xmlCellPr id="1" xr6:uid="{D1B22934-A295-4A3D-AA13-609699167BDA}" uniqueName="OEM_Pass_Value">
      <xmlPr mapId="7" xpath="/MAKE/AOP/AOP_Frontal_MPDB/DUMMY_MEASUREMENTS/Chest_Right_Upper/Dx_Max/@OEM_Pass_Value" xmlDataType="decimal"/>
    </xmlCellPr>
  </singleXmlCell>
  <singleXmlCell id="2474" xr6:uid="{3D195E51-D916-46A7-A00C-E47A88E58BF7}" r="D207" connectionId="0">
    <xmlCellPr id="1" xr6:uid="{8CD27F2E-2DE7-4E22-9FF7-962ED52625DD}" uniqueName="DriverValue">
      <xmlPr mapId="7" xpath="/MAKE/AOP/AOP_Frontal_MPDB/DUMMY_MEASUREMENTS/Chest_Right_Upper/Dx_Min/@DriverValue" xmlDataType="decimal"/>
    </xmlCellPr>
  </singleXmlCell>
  <singleXmlCell id="2476" xr6:uid="{92CD9D66-4177-4296-B25C-AF47993C2CB3}" r="F207" connectionId="0">
    <xmlCellPr id="1" xr6:uid="{43275D75-F8A9-45F7-84CC-3278F0257C52}" uniqueName="OEM_Pass_Value">
      <xmlPr mapId="7" xpath="/MAKE/AOP/AOP_Frontal_MPDB/DUMMY_MEASUREMENTS/Chest_Right_Upper/Dx_Min/@OEM_Pass_Value" xmlDataType="decimal"/>
    </xmlCellPr>
  </singleXmlCell>
  <singleXmlCell id="2477" xr6:uid="{17F8EB1D-9390-4557-A0E5-F9DB6BED4D2B}" r="D208" connectionId="0">
    <xmlCellPr id="1" xr6:uid="{A4FA895F-B78A-42A2-91C6-3AFCB22C0FC6}" uniqueName="DriverValue">
      <xmlPr mapId="7" xpath="/MAKE/AOP/AOP_Frontal_MPDB/DUMMY_MEASUREMENTS/Chest_Right_Upper/Dy_Max/@DriverValue" xmlDataType="decimal"/>
    </xmlCellPr>
  </singleXmlCell>
  <singleXmlCell id="2479" xr6:uid="{77AA6F29-447A-4723-9DF9-229A8801634B}" r="F208" connectionId="0">
    <xmlCellPr id="1" xr6:uid="{BBC4FB2E-01A8-4BC2-B2C0-C45E6A6E8BD1}" uniqueName="OEM_Pass_Value">
      <xmlPr mapId="7" xpath="/MAKE/AOP/AOP_Frontal_MPDB/DUMMY_MEASUREMENTS/Chest_Right_Upper/Dy_Max/@OEM_Pass_Value" xmlDataType="decimal"/>
    </xmlCellPr>
  </singleXmlCell>
  <singleXmlCell id="2480" xr6:uid="{26A3EBEA-987C-4A96-ADD6-EFC7FC7BC3DA}" r="D209" connectionId="0">
    <xmlCellPr id="1" xr6:uid="{43AC945D-BF6D-4884-BAB3-7D2A335BD29A}" uniqueName="DriverValue">
      <xmlPr mapId="7" xpath="/MAKE/AOP/AOP_Frontal_MPDB/DUMMY_MEASUREMENTS/Chest_Right_Upper/Dy_Min/@DriverValue" xmlDataType="decimal"/>
    </xmlCellPr>
  </singleXmlCell>
  <singleXmlCell id="2482" xr6:uid="{828E8043-47FB-42CE-B7CE-5B7252E236BE}" r="F209" connectionId="0">
    <xmlCellPr id="1" xr6:uid="{0CDA2EB1-816E-4501-AD45-AB2C58323445}" uniqueName="OEM_Pass_Value">
      <xmlPr mapId="7" xpath="/MAKE/AOP/AOP_Frontal_MPDB/DUMMY_MEASUREMENTS/Chest_Right_Upper/Dy_Min/@OEM_Pass_Value" xmlDataType="decimal"/>
    </xmlCellPr>
  </singleXmlCell>
  <singleXmlCell id="2483" xr6:uid="{E6E85F61-47C8-4983-A1BE-DB33972EAA4B}" r="D210" connectionId="0">
    <xmlCellPr id="1" xr6:uid="{5454F80D-DE0B-4924-8B6E-5719B7C99D9E}" uniqueName="DriverValue">
      <xmlPr mapId="7" xpath="/MAKE/AOP/AOP_Frontal_MPDB/DUMMY_MEASUREMENTS/Chest_Right_Upper/Dz_Max/@DriverValue" xmlDataType="decimal"/>
    </xmlCellPr>
  </singleXmlCell>
  <singleXmlCell id="2485" xr6:uid="{FCFB308D-EB86-40B7-B3A3-A2A8B8C3195E}" r="F210" connectionId="0">
    <xmlCellPr id="1" xr6:uid="{6258E70F-AC12-42BE-B31F-4D81E4E4A66B}" uniqueName="OEM_Pass_Value">
      <xmlPr mapId="7" xpath="/MAKE/AOP/AOP_Frontal_MPDB/DUMMY_MEASUREMENTS/Chest_Right_Upper/Dz_Max/@OEM_Pass_Value" xmlDataType="decimal"/>
    </xmlCellPr>
  </singleXmlCell>
  <singleXmlCell id="2486" xr6:uid="{A3A7775E-0425-402F-BDCE-E2775E486970}" r="D211" connectionId="0">
    <xmlCellPr id="1" xr6:uid="{6ADEA352-F89D-4C47-98E7-E938C23A69DE}" uniqueName="DriverValue">
      <xmlPr mapId="7" xpath="/MAKE/AOP/AOP_Frontal_MPDB/DUMMY_MEASUREMENTS/Chest_Right_Upper/Dz_Min/@DriverValue" xmlDataType="decimal"/>
    </xmlCellPr>
  </singleXmlCell>
  <singleXmlCell id="2488" xr6:uid="{C95A38A5-4A13-4CBB-901D-A6C7A13F10A4}" r="F211" connectionId="0">
    <xmlCellPr id="1" xr6:uid="{C4613477-FB98-4E7C-9AC3-CE2C81E03638}" uniqueName="OEM_Pass_Value">
      <xmlPr mapId="7" xpath="/MAKE/AOP/AOP_Frontal_MPDB/DUMMY_MEASUREMENTS/Chest_Right_Upper/Dz_Min/@OEM_Pass_Value" xmlDataType="decimal"/>
    </xmlCellPr>
  </singleXmlCell>
  <singleXmlCell id="2489" xr6:uid="{315AEE0B-7718-4F98-9BD3-9BB46FB34E22}" r="D212" connectionId="0">
    <xmlCellPr id="1" xr6:uid="{23988120-9EB4-4336-9C58-5394CE58C411}" uniqueName="DriverValue">
      <xmlPr mapId="7" xpath="/MAKE/AOP/AOP_Frontal_MPDB/DUMMY_MEASUREMENTS/Chest_Right_Upper/Dchest_Max/@DriverValue" xmlDataType="decimal"/>
    </xmlCellPr>
  </singleXmlCell>
  <singleXmlCell id="2491" xr6:uid="{A5CF6936-C0BC-454D-88CE-7BCD0B3E03F5}" r="F212" connectionId="0">
    <xmlCellPr id="1" xr6:uid="{9639CF39-3845-4BF5-A133-72EB5566D2BD}" uniqueName="OEM_Pass_Value">
      <xmlPr mapId="7" xpath="/MAKE/AOP/AOP_Frontal_MPDB/DUMMY_MEASUREMENTS/Chest_Right_Upper/Dchest_Max/@OEM_Pass_Value" xmlDataType="decimal"/>
    </xmlCellPr>
  </singleXmlCell>
  <singleXmlCell id="2492" xr6:uid="{C9D2055C-4B69-4D99-9BE8-5E0E563F378E}" r="D213" connectionId="0">
    <xmlCellPr id="1" xr6:uid="{8B26CCB8-A80F-4C43-AB3C-0417A99A08D8}" uniqueName="DriverValue">
      <xmlPr mapId="7" xpath="/MAKE/AOP/AOP_Frontal_MPDB/DUMMY_MEASUREMENTS/Chest_Right_Upper/Dchest_Min/@DriverValue" xmlDataType="decimal"/>
    </xmlCellPr>
  </singleXmlCell>
  <singleXmlCell id="2494" xr6:uid="{A083B6BC-28B2-4A39-9CE9-5F429812CAEE}" r="F213" connectionId="0">
    <xmlCellPr id="1" xr6:uid="{9CD02225-4D0C-430C-9F6B-1948A31FBCB9}" uniqueName="OEM_Pass_Value">
      <xmlPr mapId="7" xpath="/MAKE/AOP/AOP_Frontal_MPDB/DUMMY_MEASUREMENTS/Chest_Right_Upper/Dchest_Min/@OEM_Pass_Value" xmlDataType="decimal"/>
    </xmlCellPr>
  </singleXmlCell>
  <singleXmlCell id="2495" xr6:uid="{0E84BBD6-EFC9-4A9A-8FCA-CFDEA1872758}" r="D214" connectionId="0">
    <xmlCellPr id="1" xr6:uid="{D92F6D2C-40C6-4F5C-A861-680914613B8E}" uniqueName="DriverValue">
      <xmlPr mapId="7" xpath="/MAKE/AOP/AOP_Frontal_MPDB/DUMMY_MEASUREMENTS/Chest_Right_Upper/Alph-y_Max/@DriverValue" xmlDataType="decimal"/>
    </xmlCellPr>
  </singleXmlCell>
  <singleXmlCell id="2497" xr6:uid="{81105F23-E868-4565-8B8F-EC233FA57B3E}" r="F214" connectionId="0">
    <xmlCellPr id="1" xr6:uid="{2B60E416-D647-4114-B641-B6585D95EF24}" uniqueName="OEM_Pass_Value">
      <xmlPr mapId="7" xpath="/MAKE/AOP/AOP_Frontal_MPDB/DUMMY_MEASUREMENTS/Chest_Right_Upper/Alph-y_Max/@OEM_Pass_Value" xmlDataType="decimal"/>
    </xmlCellPr>
  </singleXmlCell>
  <singleXmlCell id="2498" xr6:uid="{663C514E-DA9E-47B3-88DB-F936F2ED1438}" r="D215" connectionId="0">
    <xmlCellPr id="1" xr6:uid="{FF4A790B-77B2-4BE3-B73A-0167E50ADB13}" uniqueName="DriverValue">
      <xmlPr mapId="7" xpath="/MAKE/AOP/AOP_Frontal_MPDB/DUMMY_MEASUREMENTS/Chest_Right_Upper/Alph_y_Min/@DriverValue" xmlDataType="decimal"/>
    </xmlCellPr>
  </singleXmlCell>
  <singleXmlCell id="2500" xr6:uid="{8BF5990F-DC86-446F-B49D-B67CB07FDBD8}" r="F215" connectionId="0">
    <xmlCellPr id="1" xr6:uid="{476AE43F-0EC4-4DCA-B8F4-DAB563680640}" uniqueName="OEM_Pass_Value">
      <xmlPr mapId="7" xpath="/MAKE/AOP/AOP_Frontal_MPDB/DUMMY_MEASUREMENTS/Chest_Right_Upper/Alph_y_Min/@OEM_Pass_Value" xmlDataType="decimal"/>
    </xmlCellPr>
  </singleXmlCell>
  <singleXmlCell id="2501" xr6:uid="{544E39BB-84FD-462B-A639-1702AD9D37DA}" r="D216" connectionId="0">
    <xmlCellPr id="1" xr6:uid="{492D55B9-14FA-4065-8002-9978583C93C9}" uniqueName="DriverValue">
      <xmlPr mapId="7" xpath="/MAKE/AOP/AOP_Frontal_MPDB/DUMMY_MEASUREMENTS/Chest_Right_Upper/Alph_z_Max/@DriverValue" xmlDataType="decimal"/>
    </xmlCellPr>
  </singleXmlCell>
  <singleXmlCell id="2503" xr6:uid="{3C228713-10F0-419F-8888-1A098C290C1C}" r="F216" connectionId="0">
    <xmlCellPr id="1" xr6:uid="{74FF1F84-42FF-4AD9-8233-D6AE1DCAC23F}" uniqueName="OEM_Pass_Value">
      <xmlPr mapId="7" xpath="/MAKE/AOP/AOP_Frontal_MPDB/DUMMY_MEASUREMENTS/Chest_Right_Upper/Alph_z_Max/@OEM_Pass_Value" xmlDataType="decimal"/>
    </xmlCellPr>
  </singleXmlCell>
  <singleXmlCell id="2504" xr6:uid="{4A26923E-6FF2-4F4A-BDC7-673996AC3B6D}" r="D217" connectionId="0">
    <xmlCellPr id="1" xr6:uid="{0F5651CF-3C67-40FA-98CE-7C100257B45F}" uniqueName="DriverValue">
      <xmlPr mapId="7" xpath="/MAKE/AOP/AOP_Frontal_MPDB/DUMMY_MEASUREMENTS/Chest_Right_Upper/Alph_z_Min/@DriverValue" xmlDataType="decimal"/>
    </xmlCellPr>
  </singleXmlCell>
  <singleXmlCell id="2506" xr6:uid="{85FDE63F-8B57-43BE-9DFC-57FE01A641F2}" r="F217" connectionId="0">
    <xmlCellPr id="1" xr6:uid="{30D58D86-AE68-4C9A-A6AB-7E8179233604}" uniqueName="OEM_Pass_Value">
      <xmlPr mapId="7" xpath="/MAKE/AOP/AOP_Frontal_MPDB/DUMMY_MEASUREMENTS/Chest_Right_Upper/Alph_z_Min/@OEM_Pass_Value" xmlDataType="decimal"/>
    </xmlCellPr>
  </singleXmlCell>
  <singleXmlCell id="2507" xr6:uid="{B0CDDF7A-1B22-4EBF-B0FC-4AA018B91468}" r="D219" connectionId="0">
    <xmlCellPr id="1" xr6:uid="{D1B74FBE-9723-4854-91F8-703BB1E619F0}" uniqueName="DriverValue">
      <xmlPr mapId="7" xpath="/MAKE/AOP/AOP_Frontal_MPDB/DUMMY_MEASUREMENTS/Chest_Left_Lower/Dx_Max/@DriverValue" xmlDataType="decimal"/>
    </xmlCellPr>
  </singleXmlCell>
  <singleXmlCell id="2509" xr6:uid="{A0058F10-1ECA-452C-8970-8C48D12CB5FD}" r="F219" connectionId="0">
    <xmlCellPr id="1" xr6:uid="{EC7DECCC-A7A7-4D54-A8D0-BC2F3F8E4B7F}" uniqueName="OEM_Pass_Value">
      <xmlPr mapId="7" xpath="/MAKE/AOP/AOP_Frontal_MPDB/DUMMY_MEASUREMENTS/Chest_Left_Lower/Dx_Max/@OEM_Pass_Value" xmlDataType="decimal"/>
    </xmlCellPr>
  </singleXmlCell>
  <singleXmlCell id="2510" xr6:uid="{65412D97-A759-497D-B18B-10E992881634}" r="D220" connectionId="0">
    <xmlCellPr id="1" xr6:uid="{A698CB51-D179-4DDF-89A8-7BAC1AEC74D9}" uniqueName="DriverValue">
      <xmlPr mapId="7" xpath="/MAKE/AOP/AOP_Frontal_MPDB/DUMMY_MEASUREMENTS/Chest_Left_Lower/Dx_Min/@DriverValue" xmlDataType="decimal"/>
    </xmlCellPr>
  </singleXmlCell>
  <singleXmlCell id="2512" xr6:uid="{19702CDF-C671-4A75-A1BD-4582E1E9832F}" r="F220" connectionId="0">
    <xmlCellPr id="1" xr6:uid="{854EA515-122E-44C5-8D45-094D11FE0F97}" uniqueName="OEM_Pass_Value">
      <xmlPr mapId="7" xpath="/MAKE/AOP/AOP_Frontal_MPDB/DUMMY_MEASUREMENTS/Chest_Left_Lower/Dx_Min/@OEM_Pass_Value" xmlDataType="decimal"/>
    </xmlCellPr>
  </singleXmlCell>
  <singleXmlCell id="2513" xr6:uid="{AADA8FF1-D606-4570-8D55-FD3BEA517B93}" r="D221" connectionId="0">
    <xmlCellPr id="1" xr6:uid="{B4A851DF-D8E9-4AE0-8FF6-D29E76AEEA57}" uniqueName="DriverValue">
      <xmlPr mapId="7" xpath="/MAKE/AOP/AOP_Frontal_MPDB/DUMMY_MEASUREMENTS/Chest_Left_Lower/Dy_Max/@DriverValue" xmlDataType="decimal"/>
    </xmlCellPr>
  </singleXmlCell>
  <singleXmlCell id="2515" xr6:uid="{D1EF03AA-1452-46D8-A356-9FC10E350843}" r="F221" connectionId="0">
    <xmlCellPr id="1" xr6:uid="{DDE19FAB-281B-49F9-B98E-7211104EA2A7}" uniqueName="OEM_Pass_Value">
      <xmlPr mapId="7" xpath="/MAKE/AOP/AOP_Frontal_MPDB/DUMMY_MEASUREMENTS/Chest_Left_Lower/Dy_Max/@OEM_Pass_Value" xmlDataType="decimal"/>
    </xmlCellPr>
  </singleXmlCell>
  <singleXmlCell id="2516" xr6:uid="{89B786E8-094E-4670-936B-945B7E60C453}" r="D222" connectionId="0">
    <xmlCellPr id="1" xr6:uid="{BC2D5E77-2498-4F13-9D52-F7602DC70C71}" uniqueName="DriverValue">
      <xmlPr mapId="7" xpath="/MAKE/AOP/AOP_Frontal_MPDB/DUMMY_MEASUREMENTS/Chest_Left_Lower/Dy_Min/@DriverValue" xmlDataType="decimal"/>
    </xmlCellPr>
  </singleXmlCell>
  <singleXmlCell id="2518" xr6:uid="{E0695619-2BBC-468E-94D0-485EF0043A2E}" r="F222" connectionId="0">
    <xmlCellPr id="1" xr6:uid="{2F274C0F-F37C-4CFC-8AA5-99BFFEFFFD46}" uniqueName="OEM_Pass_Value">
      <xmlPr mapId="7" xpath="/MAKE/AOP/AOP_Frontal_MPDB/DUMMY_MEASUREMENTS/Chest_Left_Lower/Dy_Min/@OEM_Pass_Value" xmlDataType="decimal"/>
    </xmlCellPr>
  </singleXmlCell>
  <singleXmlCell id="2519" xr6:uid="{79F976FC-FB6A-4559-803E-EE3EB4E507E2}" r="D223" connectionId="0">
    <xmlCellPr id="1" xr6:uid="{2B6C2BA9-99CB-4D11-B3A2-BF24FC98FF8C}" uniqueName="DriverValue">
      <xmlPr mapId="7" xpath="/MAKE/AOP/AOP_Frontal_MPDB/DUMMY_MEASUREMENTS/Chest_Left_Lower/Dz_Max/@DriverValue" xmlDataType="decimal"/>
    </xmlCellPr>
  </singleXmlCell>
  <singleXmlCell id="2521" xr6:uid="{E760B5B4-34A4-40F9-86BE-42372B27F63A}" r="F223" connectionId="0">
    <xmlCellPr id="1" xr6:uid="{38A6A71F-6208-48C7-A721-E2377980E7C6}" uniqueName="OEM_Pass_Value">
      <xmlPr mapId="7" xpath="/MAKE/AOP/AOP_Frontal_MPDB/DUMMY_MEASUREMENTS/Chest_Left_Lower/Dz_Max/@OEM_Pass_Value" xmlDataType="decimal"/>
    </xmlCellPr>
  </singleXmlCell>
  <singleXmlCell id="2522" xr6:uid="{0E8039B2-86F9-453C-B731-301C2C93094B}" r="D224" connectionId="0">
    <xmlCellPr id="1" xr6:uid="{941E5911-6427-49B1-B8AF-59D290513DB3}" uniqueName="DriverValue">
      <xmlPr mapId="7" xpath="/MAKE/AOP/AOP_Frontal_MPDB/DUMMY_MEASUREMENTS/Chest_Left_Lower/Dz_Min/@DriverValue" xmlDataType="decimal"/>
    </xmlCellPr>
  </singleXmlCell>
  <singleXmlCell id="2524" xr6:uid="{17BAFCC2-636A-4E4E-B754-579E00765712}" r="F224" connectionId="0">
    <xmlCellPr id="1" xr6:uid="{E4A72942-68BA-46C7-8E1F-304330D35A96}" uniqueName="OEM_Pass_Value">
      <xmlPr mapId="7" xpath="/MAKE/AOP/AOP_Frontal_MPDB/DUMMY_MEASUREMENTS/Chest_Left_Lower/Dz_Min/@OEM_Pass_Value" xmlDataType="decimal"/>
    </xmlCellPr>
  </singleXmlCell>
  <singleXmlCell id="2525" xr6:uid="{E98FEF92-D965-406F-AA09-7595EEEDA4BA}" r="D225" connectionId="0">
    <xmlCellPr id="1" xr6:uid="{CE283039-3AD0-4F7B-9AA4-9E3A7DD6F3B5}" uniqueName="DriverValue">
      <xmlPr mapId="7" xpath="/MAKE/AOP/AOP_Frontal_MPDB/DUMMY_MEASUREMENTS/Chest_Left_Lower/Dchest_Max/@DriverValue" xmlDataType="decimal"/>
    </xmlCellPr>
  </singleXmlCell>
  <singleXmlCell id="2527" xr6:uid="{86846614-003D-41BD-8F85-114EAD235B94}" r="F225" connectionId="0">
    <xmlCellPr id="1" xr6:uid="{1D399022-95F2-4C78-9CAC-8B2EB86073BA}" uniqueName="OEM_Pass_Value">
      <xmlPr mapId="7" xpath="/MAKE/AOP/AOP_Frontal_MPDB/DUMMY_MEASUREMENTS/Chest_Left_Lower/Dchest_Max/@OEM_Pass_Value" xmlDataType="decimal"/>
    </xmlCellPr>
  </singleXmlCell>
  <singleXmlCell id="2528" xr6:uid="{EDC43DBF-A2A6-48F8-9094-8CAE00E58841}" r="D226" connectionId="0">
    <xmlCellPr id="1" xr6:uid="{FBDB41DD-7F77-4C95-95B8-190C00EDC372}" uniqueName="DriverValue">
      <xmlPr mapId="7" xpath="/MAKE/AOP/AOP_Frontal_MPDB/DUMMY_MEASUREMENTS/Chest_Left_Lower/Dchest_Min/@DriverValue" xmlDataType="decimal"/>
    </xmlCellPr>
  </singleXmlCell>
  <singleXmlCell id="2530" xr6:uid="{287B3DB0-5D09-4186-B22B-4809CFA256C9}" r="F226" connectionId="0">
    <xmlCellPr id="1" xr6:uid="{259D3466-2BB4-4039-A743-6CE775FC2697}" uniqueName="OEM_Pass_Value">
      <xmlPr mapId="7" xpath="/MAKE/AOP/AOP_Frontal_MPDB/DUMMY_MEASUREMENTS/Chest_Left_Lower/Dchest_Min/@OEM_Pass_Value" xmlDataType="decimal"/>
    </xmlCellPr>
  </singleXmlCell>
  <singleXmlCell id="2531" xr6:uid="{8A5D6B81-299A-4BC0-86D2-C6F673759FEF}" r="D227" connectionId="0">
    <xmlCellPr id="1" xr6:uid="{6453E4B0-1DCE-4102-8F96-5274CE41403B}" uniqueName="DriverValue">
      <xmlPr mapId="7" xpath="/MAKE/AOP/AOP_Frontal_MPDB/DUMMY_MEASUREMENTS/Chest_Left_Lower/Alph-y_Max/@DriverValue" xmlDataType="decimal"/>
    </xmlCellPr>
  </singleXmlCell>
  <singleXmlCell id="2533" xr6:uid="{D16FD3A8-75C6-4FDA-9F47-9E5B678F2B96}" r="F227" connectionId="0">
    <xmlCellPr id="1" xr6:uid="{A43C6D20-51DE-499C-AA2F-AF501B3F9055}" uniqueName="OEM_Pass_Value">
      <xmlPr mapId="7" xpath="/MAKE/AOP/AOP_Frontal_MPDB/DUMMY_MEASUREMENTS/Chest_Left_Lower/Alph-y_Max/@OEM_Pass_Value" xmlDataType="decimal"/>
    </xmlCellPr>
  </singleXmlCell>
  <singleXmlCell id="2534" xr6:uid="{2A0AD9A3-F8B4-4B77-8937-212BE1CA8020}" r="D228" connectionId="0">
    <xmlCellPr id="1" xr6:uid="{AD8E3AEB-563A-4E06-AD09-1DCCA13BCCDA}" uniqueName="DriverValue">
      <xmlPr mapId="7" xpath="/MAKE/AOP/AOP_Frontal_MPDB/DUMMY_MEASUREMENTS/Chest_Left_Lower/Alph_y_Min/@DriverValue" xmlDataType="decimal"/>
    </xmlCellPr>
  </singleXmlCell>
  <singleXmlCell id="2536" xr6:uid="{4CFFE0EE-B3B0-4F07-9B6B-ACA0C3BD367E}" r="F228" connectionId="0">
    <xmlCellPr id="1" xr6:uid="{04EBF1F4-8C6D-4581-A36C-E183F594163D}" uniqueName="OEM_Pass_Value">
      <xmlPr mapId="7" xpath="/MAKE/AOP/AOP_Frontal_MPDB/DUMMY_MEASUREMENTS/Chest_Left_Lower/Alph_y_Min/@OEM_Pass_Value" xmlDataType="decimal"/>
    </xmlCellPr>
  </singleXmlCell>
  <singleXmlCell id="2537" xr6:uid="{6011B7D7-F80E-4192-942C-4D9EF3AA0A17}" r="D229" connectionId="0">
    <xmlCellPr id="1" xr6:uid="{CD6D0206-4CE1-4656-AF17-87CDFEAA669C}" uniqueName="DriverValue">
      <xmlPr mapId="7" xpath="/MAKE/AOP/AOP_Frontal_MPDB/DUMMY_MEASUREMENTS/Chest_Left_Lower/Alph_z_Max/@DriverValue" xmlDataType="decimal"/>
    </xmlCellPr>
  </singleXmlCell>
  <singleXmlCell id="2539" xr6:uid="{E2CED48B-F94C-465A-B342-004DC3367276}" r="F229" connectionId="0">
    <xmlCellPr id="1" xr6:uid="{AD49F668-A022-4BC7-B645-D8C62AE7D2DA}" uniqueName="OEM_Pass_Value">
      <xmlPr mapId="7" xpath="/MAKE/AOP/AOP_Frontal_MPDB/DUMMY_MEASUREMENTS/Chest_Left_Lower/Alph_z_Max/@OEM_Pass_Value" xmlDataType="decimal"/>
    </xmlCellPr>
  </singleXmlCell>
  <singleXmlCell id="2540" xr6:uid="{FAB198B9-6297-43E4-8EBD-23DA54359DF1}" r="D230" connectionId="0">
    <xmlCellPr id="1" xr6:uid="{90CF7C97-D8ED-471E-85BE-94F1D8056CCD}" uniqueName="DriverValue">
      <xmlPr mapId="7" xpath="/MAKE/AOP/AOP_Frontal_MPDB/DUMMY_MEASUREMENTS/Chest_Left_Lower/Alph_z_Min/@DriverValue" xmlDataType="decimal"/>
    </xmlCellPr>
  </singleXmlCell>
  <singleXmlCell id="2542" xr6:uid="{B5AA5F7E-10EB-41A6-91C2-C04C83CB47DC}" r="F230" connectionId="0">
    <xmlCellPr id="1" xr6:uid="{58E25358-34D9-45EB-98E4-BBC7EF530C8B}" uniqueName="OEM_Pass_Value">
      <xmlPr mapId="7" xpath="/MAKE/AOP/AOP_Frontal_MPDB/DUMMY_MEASUREMENTS/Chest_Left_Lower/Alph_z_Min/@OEM_Pass_Value" xmlDataType="decimal"/>
    </xmlCellPr>
  </singleXmlCell>
  <singleXmlCell id="2543" xr6:uid="{28D122E2-5829-40FA-A094-04959E476BC9}" r="D232" connectionId="0">
    <xmlCellPr id="1" xr6:uid="{82BE02AF-B2FE-46D3-A090-015E27D99AB3}" uniqueName="DriverValue">
      <xmlPr mapId="7" xpath="/MAKE/AOP/AOP_Frontal_MPDB/DUMMY_MEASUREMENTS/Chest_Right_Lower/Dx_Max/@DriverValue" xmlDataType="decimal"/>
    </xmlCellPr>
  </singleXmlCell>
  <singleXmlCell id="2545" xr6:uid="{58CE4277-8B55-455F-BFE3-30390AC1779A}" r="F232" connectionId="0">
    <xmlCellPr id="1" xr6:uid="{198196A9-16D5-488A-B4BE-4A86009224D2}" uniqueName="OEM_Pass_Value">
      <xmlPr mapId="7" xpath="/MAKE/AOP/AOP_Frontal_MPDB/DUMMY_MEASUREMENTS/Chest_Right_Lower/Dx_Max/@OEM_Pass_Value" xmlDataType="decimal"/>
    </xmlCellPr>
  </singleXmlCell>
  <singleXmlCell id="2546" xr6:uid="{0372E7B4-78A7-4C80-A48C-708C2CF2E017}" r="D233" connectionId="0">
    <xmlCellPr id="1" xr6:uid="{DD2CFC70-9EC1-43CD-98C0-6274FCA88670}" uniqueName="DriverValue">
      <xmlPr mapId="7" xpath="/MAKE/AOP/AOP_Frontal_MPDB/DUMMY_MEASUREMENTS/Chest_Right_Lower/Dx_Min/@DriverValue" xmlDataType="decimal"/>
    </xmlCellPr>
  </singleXmlCell>
  <singleXmlCell id="2548" xr6:uid="{D21B4C51-668F-45C8-A3D7-4014D2357246}" r="F233" connectionId="0">
    <xmlCellPr id="1" xr6:uid="{57CE18CA-54D8-4BEA-B4A8-2B891367461E}" uniqueName="OEM_Pass_Value">
      <xmlPr mapId="7" xpath="/MAKE/AOP/AOP_Frontal_MPDB/DUMMY_MEASUREMENTS/Chest_Right_Lower/Dx_Min/@OEM_Pass_Value" xmlDataType="decimal"/>
    </xmlCellPr>
  </singleXmlCell>
  <singleXmlCell id="2549" xr6:uid="{A1463AA0-7877-46D3-AA63-A16BC34F7883}" r="D234" connectionId="0">
    <xmlCellPr id="1" xr6:uid="{4618116D-2091-417E-90EC-E411643C043F}" uniqueName="DriverValue">
      <xmlPr mapId="7" xpath="/MAKE/AOP/AOP_Frontal_MPDB/DUMMY_MEASUREMENTS/Chest_Right_Lower/Dy_Max/@DriverValue" xmlDataType="decimal"/>
    </xmlCellPr>
  </singleXmlCell>
  <singleXmlCell id="2551" xr6:uid="{17AA9A3A-0D7E-4057-BDA3-1FE3063B698C}" r="F234" connectionId="0">
    <xmlCellPr id="1" xr6:uid="{D7D62B5C-FD82-4F69-B0DC-25A54B8634DE}" uniqueName="OEM_Pass_Value">
      <xmlPr mapId="7" xpath="/MAKE/AOP/AOP_Frontal_MPDB/DUMMY_MEASUREMENTS/Chest_Right_Lower/Dy_Max/@OEM_Pass_Value" xmlDataType="decimal"/>
    </xmlCellPr>
  </singleXmlCell>
  <singleXmlCell id="2552" xr6:uid="{A86F8469-A782-4A8B-AB24-77E5EF6A786A}" r="D235" connectionId="0">
    <xmlCellPr id="1" xr6:uid="{7A7F4141-02AC-42C4-93F6-3992809D3F51}" uniqueName="DriverValue">
      <xmlPr mapId="7" xpath="/MAKE/AOP/AOP_Frontal_MPDB/DUMMY_MEASUREMENTS/Chest_Right_Lower/Dy_Min/@DriverValue" xmlDataType="decimal"/>
    </xmlCellPr>
  </singleXmlCell>
  <singleXmlCell id="2554" xr6:uid="{62948E2C-EFE0-4450-B9D9-E88DDCCCB317}" r="F235" connectionId="0">
    <xmlCellPr id="1" xr6:uid="{70EB8F89-A59D-46CE-B00F-EBFCF2252932}" uniqueName="OEM_Pass_Value">
      <xmlPr mapId="7" xpath="/MAKE/AOP/AOP_Frontal_MPDB/DUMMY_MEASUREMENTS/Chest_Right_Lower/Dy_Min/@OEM_Pass_Value" xmlDataType="decimal"/>
    </xmlCellPr>
  </singleXmlCell>
  <singleXmlCell id="2555" xr6:uid="{DA450D96-2763-4E52-ADF2-94F1257391D9}" r="D236" connectionId="0">
    <xmlCellPr id="1" xr6:uid="{D7FA48D4-94F3-44AC-9914-F07E30FB7DA2}" uniqueName="DriverValue">
      <xmlPr mapId="7" xpath="/MAKE/AOP/AOP_Frontal_MPDB/DUMMY_MEASUREMENTS/Chest_Right_Lower/Dz_Max/@DriverValue" xmlDataType="decimal"/>
    </xmlCellPr>
  </singleXmlCell>
  <singleXmlCell id="2557" xr6:uid="{BE59E963-655B-4F9E-A8B8-19998DC9A377}" r="F236" connectionId="0">
    <xmlCellPr id="1" xr6:uid="{8AC5BBEC-D8EA-4382-A434-FA0945DEB442}" uniqueName="OEM_Pass_Value">
      <xmlPr mapId="7" xpath="/MAKE/AOP/AOP_Frontal_MPDB/DUMMY_MEASUREMENTS/Chest_Right_Lower/Dz_Max/@OEM_Pass_Value" xmlDataType="decimal"/>
    </xmlCellPr>
  </singleXmlCell>
  <singleXmlCell id="2558" xr6:uid="{7574ADDA-21C7-4AAB-BE46-337F48AEDEB7}" r="D237" connectionId="0">
    <xmlCellPr id="1" xr6:uid="{AAE64D8B-66FD-47E2-A562-09359B87A606}" uniqueName="DriverValue">
      <xmlPr mapId="7" xpath="/MAKE/AOP/AOP_Frontal_MPDB/DUMMY_MEASUREMENTS/Chest_Right_Lower/Dz_Min/@DriverValue" xmlDataType="decimal"/>
    </xmlCellPr>
  </singleXmlCell>
  <singleXmlCell id="2560" xr6:uid="{62D2F351-F498-4ED9-A979-3D44FC08A486}" r="F237" connectionId="0">
    <xmlCellPr id="1" xr6:uid="{D8C4FB5A-6E8C-41C1-9A8C-31ADF9346EAB}" uniqueName="OEM_Pass_Value">
      <xmlPr mapId="7" xpath="/MAKE/AOP/AOP_Frontal_MPDB/DUMMY_MEASUREMENTS/Chest_Right_Lower/Dz_Min/@OEM_Pass_Value" xmlDataType="decimal"/>
    </xmlCellPr>
  </singleXmlCell>
  <singleXmlCell id="2561" xr6:uid="{1AEF4D25-DD5A-471D-8228-6CCDA712ADCF}" r="D238" connectionId="0">
    <xmlCellPr id="1" xr6:uid="{EDA28CBD-8C92-4BB2-96C5-D8811027944F}" uniqueName="DriverValue">
      <xmlPr mapId="7" xpath="/MAKE/AOP/AOP_Frontal_MPDB/DUMMY_MEASUREMENTS/Chest_Right_Lower/Dchest_Max/@DriverValue" xmlDataType="decimal"/>
    </xmlCellPr>
  </singleXmlCell>
  <singleXmlCell id="2563" xr6:uid="{4F23D007-504F-4DE9-8766-EF851B743AAC}" r="F238" connectionId="0">
    <xmlCellPr id="1" xr6:uid="{15D11C94-CBD6-4112-88CA-6F823C9BC7F1}" uniqueName="OEM_Pass_Value">
      <xmlPr mapId="7" xpath="/MAKE/AOP/AOP_Frontal_MPDB/DUMMY_MEASUREMENTS/Chest_Right_Lower/Dchest_Max/@OEM_Pass_Value" xmlDataType="decimal"/>
    </xmlCellPr>
  </singleXmlCell>
  <singleXmlCell id="2564" xr6:uid="{C7BF6868-2CBE-4D6C-A5FD-51B3EAEEB7E6}" r="D239" connectionId="0">
    <xmlCellPr id="1" xr6:uid="{A907B614-DAB0-4F2B-B0B3-CE7DEB9A24D7}" uniqueName="DriverValue">
      <xmlPr mapId="7" xpath="/MAKE/AOP/AOP_Frontal_MPDB/DUMMY_MEASUREMENTS/Chest_Right_Lower/Dchest_Min/@DriverValue" xmlDataType="decimal"/>
    </xmlCellPr>
  </singleXmlCell>
  <singleXmlCell id="2566" xr6:uid="{DB434E4F-C607-45AF-A325-F2781499EAFC}" r="F239" connectionId="0">
    <xmlCellPr id="1" xr6:uid="{EAA8F709-4A1E-437A-AF53-00EB932A7EF9}" uniqueName="OEM_Pass_Value">
      <xmlPr mapId="7" xpath="/MAKE/AOP/AOP_Frontal_MPDB/DUMMY_MEASUREMENTS/Chest_Right_Lower/Dchest_Min/@OEM_Pass_Value" xmlDataType="decimal"/>
    </xmlCellPr>
  </singleXmlCell>
  <singleXmlCell id="2567" xr6:uid="{224164DC-600D-45A3-B12F-C076A3EFAD52}" r="D240" connectionId="0">
    <xmlCellPr id="1" xr6:uid="{8A0D59DA-AC55-4524-B677-8CD2B2E47AF4}" uniqueName="DriverValue">
      <xmlPr mapId="7" xpath="/MAKE/AOP/AOP_Frontal_MPDB/DUMMY_MEASUREMENTS/Chest_Right_Lower/Alph-y_Max/@DriverValue" xmlDataType="decimal"/>
    </xmlCellPr>
  </singleXmlCell>
  <singleXmlCell id="2569" xr6:uid="{00CB87C2-09A5-452C-9F8D-7FCD3E6CD25D}" r="F240" connectionId="0">
    <xmlCellPr id="1" xr6:uid="{A171795A-C5A6-4A7A-8849-3D716B2A6B8E}" uniqueName="OEM_Pass_Value">
      <xmlPr mapId="7" xpath="/MAKE/AOP/AOP_Frontal_MPDB/DUMMY_MEASUREMENTS/Chest_Right_Lower/Alph-y_Max/@OEM_Pass_Value" xmlDataType="decimal"/>
    </xmlCellPr>
  </singleXmlCell>
  <singleXmlCell id="2570" xr6:uid="{C065148B-A5FD-4D71-8CB2-05B368A2D0A2}" r="D241" connectionId="0">
    <xmlCellPr id="1" xr6:uid="{D8A4011A-3A3D-4467-A85F-8DA908EE78BF}" uniqueName="DriverValue">
      <xmlPr mapId="7" xpath="/MAKE/AOP/AOP_Frontal_MPDB/DUMMY_MEASUREMENTS/Chest_Right_Lower/Alph_y_Min/@DriverValue" xmlDataType="decimal"/>
    </xmlCellPr>
  </singleXmlCell>
  <singleXmlCell id="2572" xr6:uid="{CA7BAFEA-D1B4-4710-B989-794A4364D7AF}" r="F241" connectionId="0">
    <xmlCellPr id="1" xr6:uid="{B3AEDD1C-F660-4001-8B50-2428730FACF4}" uniqueName="OEM_Pass_Value">
      <xmlPr mapId="7" xpath="/MAKE/AOP/AOP_Frontal_MPDB/DUMMY_MEASUREMENTS/Chest_Right_Lower/Alph_y_Min/@OEM_Pass_Value" xmlDataType="decimal"/>
    </xmlCellPr>
  </singleXmlCell>
  <singleXmlCell id="2573" xr6:uid="{5FC457AA-29A9-4E09-83E9-F0E212691414}" r="D242" connectionId="0">
    <xmlCellPr id="1" xr6:uid="{FAB45851-F02E-40A1-B47B-B564549EE9D8}" uniqueName="DriverValue">
      <xmlPr mapId="7" xpath="/MAKE/AOP/AOP_Frontal_MPDB/DUMMY_MEASUREMENTS/Chest_Right_Lower/Alph_z_Max/@DriverValue" xmlDataType="decimal"/>
    </xmlCellPr>
  </singleXmlCell>
  <singleXmlCell id="2575" xr6:uid="{2E903773-2DA4-4F9D-89E8-74A9F0E9F3E4}" r="F242" connectionId="0">
    <xmlCellPr id="1" xr6:uid="{EDA30781-73C7-4F40-9D78-91DA1E2BFE8D}" uniqueName="OEM_Pass_Value">
      <xmlPr mapId="7" xpath="/MAKE/AOP/AOP_Frontal_MPDB/DUMMY_MEASUREMENTS/Chest_Right_Lower/Alph_z_Max/@OEM_Pass_Value" xmlDataType="decimal"/>
    </xmlCellPr>
  </singleXmlCell>
  <singleXmlCell id="2576" xr6:uid="{A00CEA63-A262-4C90-9B85-687F2A84B19C}" r="D243" connectionId="0">
    <xmlCellPr id="1" xr6:uid="{7DF3351A-A311-4B9F-92C2-5B0F4C8748C2}" uniqueName="DriverValue">
      <xmlPr mapId="7" xpath="/MAKE/AOP/AOP_Frontal_MPDB/DUMMY_MEASUREMENTS/Chest_Right_Lower/Alph_z_Min/@DriverValue" xmlDataType="decimal"/>
    </xmlCellPr>
  </singleXmlCell>
  <singleXmlCell id="2578" xr6:uid="{66A24E9F-B604-4984-8781-A2340F4CA77D}" r="F243" connectionId="0">
    <xmlCellPr id="1" xr6:uid="{E6275456-7434-4765-8FF0-96B8B3311724}" uniqueName="OEM_Pass_Value">
      <xmlPr mapId="7" xpath="/MAKE/AOP/AOP_Frontal_MPDB/DUMMY_MEASUREMENTS/Chest_Right_Lower/Alph_z_Min/@OEM_Pass_Value" xmlDataType="decimal"/>
    </xmlCellPr>
  </singleXmlCell>
  <singleXmlCell id="2582" xr6:uid="{62535C78-7953-496B-9185-A589E7437887}" r="D245" connectionId="0">
    <xmlCellPr id="1" xr6:uid="{3111D4EE-C677-4FF9-945E-55C69967145A}" uniqueName="DriverValue">
      <xmlPr mapId="7" xpath="/MAKE/AOP/AOP_Frontal_MPDB/DUMMY_MEASUREMENTS/Sternum/Ax_Max/@DriverValue" xmlDataType="decimal"/>
    </xmlCellPr>
  </singleXmlCell>
  <singleXmlCell id="2584" xr6:uid="{AB991B51-7E79-4AAF-8597-F114B1A53CB9}" r="F245" connectionId="0">
    <xmlCellPr id="1" xr6:uid="{D6FAF138-5373-40FA-BDDB-9E7B11423CBB}" uniqueName="OEM_Pass_Value">
      <xmlPr mapId="7" xpath="/MAKE/AOP/AOP_Frontal_MPDB/DUMMY_MEASUREMENTS/Sternum/Ax_Max/@OEM_Pass_Value" xmlDataType="decimal"/>
    </xmlCellPr>
  </singleXmlCell>
  <singleXmlCell id="2585" xr6:uid="{C0114400-213D-45B6-99C4-6F6025826900}" r="D246" connectionId="0">
    <xmlCellPr id="1" xr6:uid="{CDB6F55E-1C8E-4995-B40F-8602E43ED12C}" uniqueName="DriverValue">
      <xmlPr mapId="7" xpath="/MAKE/AOP/AOP_Frontal_MPDB/DUMMY_MEASUREMENTS/Sternum/Ax_Min/@DriverValue" xmlDataType="decimal"/>
    </xmlCellPr>
  </singleXmlCell>
  <singleXmlCell id="2587" xr6:uid="{17CD1952-4138-4FCC-A3CF-FA23E911492E}" r="F246" connectionId="0">
    <xmlCellPr id="1" xr6:uid="{F818EC32-985F-4DAE-845F-6BDBD4D364D8}" uniqueName="OEM_Pass_Value">
      <xmlPr mapId="7" xpath="/MAKE/AOP/AOP_Frontal_MPDB/DUMMY_MEASUREMENTS/Sternum/Ax_Min/@OEM_Pass_Value" xmlDataType="decimal"/>
    </xmlCellPr>
  </singleXmlCell>
  <singleXmlCell id="2588" xr6:uid="{AF0F6613-10EB-4377-8CD5-76BE840398FD}" r="D248" connectionId="0">
    <xmlCellPr id="1" xr6:uid="{AFDAFEF2-1F17-4018-9140-34AA7E718BBF}" uniqueName="DriverValue">
      <xmlPr mapId="7" xpath="/MAKE/AOP/AOP_Frontal_MPDB/DUMMY_MEASUREMENTS/T1/Ax_Max/@DriverValue" xmlDataType="decimal"/>
    </xmlCellPr>
  </singleXmlCell>
  <singleXmlCell id="2590" xr6:uid="{88D8A727-9727-4E6B-B059-7A8FF0164D1C}" r="F248" connectionId="0">
    <xmlCellPr id="1" xr6:uid="{A600CF94-31AC-4C0A-BBD3-3A62703D5592}" uniqueName="OEM_Pass_Value">
      <xmlPr mapId="7" xpath="/MAKE/AOP/AOP_Frontal_MPDB/DUMMY_MEASUREMENTS/T1/Ax_Max/@OEM_Pass_Value" xmlDataType="decimal"/>
    </xmlCellPr>
  </singleXmlCell>
  <singleXmlCell id="2591" xr6:uid="{67239ED5-6216-4AA1-80DD-F4B6FCE08566}" r="D249" connectionId="0">
    <xmlCellPr id="1" xr6:uid="{91307C92-D619-4D87-A392-BD083B02B978}" uniqueName="DriverValue">
      <xmlPr mapId="7" xpath="/MAKE/AOP/AOP_Frontal_MPDB/DUMMY_MEASUREMENTS/T1/Ax_Min/@DriverValue" xmlDataType="decimal"/>
    </xmlCellPr>
  </singleXmlCell>
  <singleXmlCell id="2593" xr6:uid="{BDAF5639-9FD0-40DA-A265-15F57A94DC0E}" r="F249" connectionId="0">
    <xmlCellPr id="1" xr6:uid="{8F3F1F70-6BA5-4365-88B2-D9B1A19BD575}" uniqueName="OEM_Pass_Value">
      <xmlPr mapId="7" xpath="/MAKE/AOP/AOP_Frontal_MPDB/DUMMY_MEASUREMENTS/T1/Ax_Min/@OEM_Pass_Value" xmlDataType="decimal"/>
    </xmlCellPr>
  </singleXmlCell>
  <singleXmlCell id="2594" xr6:uid="{954BD355-4F8C-4869-9C29-D643B9BB13CD}" r="D250" connectionId="0">
    <xmlCellPr id="1" xr6:uid="{27DE421E-F09F-4EF6-9A97-75220B1E8B68}" uniqueName="DriverValue">
      <xmlPr mapId="7" xpath="/MAKE/AOP/AOP_Frontal_MPDB/DUMMY_MEASUREMENTS/T1/Ay_Max/@DriverValue" xmlDataType="decimal"/>
    </xmlCellPr>
  </singleXmlCell>
  <singleXmlCell id="2596" xr6:uid="{87B8C193-CA96-47E0-998C-3851C435BCEE}" r="F250" connectionId="0">
    <xmlCellPr id="1" xr6:uid="{9B857628-8350-4BB9-9C7A-37C1949D7C7B}" uniqueName="OEM_Pass_Value">
      <xmlPr mapId="7" xpath="/MAKE/AOP/AOP_Frontal_MPDB/DUMMY_MEASUREMENTS/T1/Ay_Max/@OEM_Pass_Value" xmlDataType="decimal"/>
    </xmlCellPr>
  </singleXmlCell>
  <singleXmlCell id="2597" xr6:uid="{C7E6A7E9-2A79-4FA4-B093-86C0952D408F}" r="D251" connectionId="0">
    <xmlCellPr id="1" xr6:uid="{E6A8390F-56B0-462C-B6AA-D73872F80075}" uniqueName="DriverValue">
      <xmlPr mapId="7" xpath="/MAKE/AOP/AOP_Frontal_MPDB/DUMMY_MEASUREMENTS/T1/Ay_Min/@DriverValue" xmlDataType="decimal"/>
    </xmlCellPr>
  </singleXmlCell>
  <singleXmlCell id="2599" xr6:uid="{646C901F-B745-4AD5-9521-B1DF594F73B4}" r="F251" connectionId="0">
    <xmlCellPr id="1" xr6:uid="{63D00D38-49F6-4B3B-90D1-0ED1244900F6}" uniqueName="OEM_Pass_Value">
      <xmlPr mapId="7" xpath="/MAKE/AOP/AOP_Frontal_MPDB/DUMMY_MEASUREMENTS/T1/Ay_Min/@OEM_Pass_Value" xmlDataType="decimal"/>
    </xmlCellPr>
  </singleXmlCell>
  <singleXmlCell id="2600" xr6:uid="{F5DA77AE-9342-4AE5-A85B-B7CE417A6886}" r="D252" connectionId="0">
    <xmlCellPr id="1" xr6:uid="{8408EC7B-883B-4CF5-B378-A77B9F1D98EB}" uniqueName="DriverValue">
      <xmlPr mapId="7" xpath="/MAKE/AOP/AOP_Frontal_MPDB/DUMMY_MEASUREMENTS/T1/Az_Max/@DriverValue" xmlDataType="decimal"/>
    </xmlCellPr>
  </singleXmlCell>
  <singleXmlCell id="2602" xr6:uid="{13F8F467-B2B2-41F5-84C3-EEAC6EF58E10}" r="F252" connectionId="0">
    <xmlCellPr id="1" xr6:uid="{B104101C-F4DD-4DF7-8EE3-356BB0F6DD2F}" uniqueName="OEM_Pass_Value">
      <xmlPr mapId="7" xpath="/MAKE/AOP/AOP_Frontal_MPDB/DUMMY_MEASUREMENTS/T1/Az_Max/@OEM_Pass_Value" xmlDataType="decimal"/>
    </xmlCellPr>
  </singleXmlCell>
  <singleXmlCell id="2603" xr6:uid="{E24E65D8-1C3F-48B8-8EA8-C5429BE1DF75}" r="D253" connectionId="0">
    <xmlCellPr id="1" xr6:uid="{E410B0D7-55AE-4EFD-89AF-ABAA94BA66EB}" uniqueName="DriverValue">
      <xmlPr mapId="7" xpath="/MAKE/AOP/AOP_Frontal_MPDB/DUMMY_MEASUREMENTS/T1/Az_Min/@DriverValue" xmlDataType="decimal"/>
    </xmlCellPr>
  </singleXmlCell>
  <singleXmlCell id="2605" xr6:uid="{39EB51EC-6D65-47F9-BF38-136EED088FE4}" r="F253" connectionId="0">
    <xmlCellPr id="1" xr6:uid="{D72F967C-81C2-4A63-A632-2C4F644DC37D}" uniqueName="OEM_Pass_Value">
      <xmlPr mapId="7" xpath="/MAKE/AOP/AOP_Frontal_MPDB/DUMMY_MEASUREMENTS/T1/Az_Min/@OEM_Pass_Value" xmlDataType="decimal"/>
    </xmlCellPr>
  </singleXmlCell>
  <singleXmlCell id="2606" xr6:uid="{E6948DCE-1342-4E8D-AE2E-58F816F5CD7B}" r="D254" connectionId="0">
    <xmlCellPr id="1" xr6:uid="{6C21AD00-2494-4A86-922D-248BB03D99DB}" uniqueName="DriverValue">
      <xmlPr mapId="7" xpath="/MAKE/AOP/AOP_Frontal_MPDB/DUMMY_MEASUREMENTS/T1/Resultant_Max/@DriverValue" xmlDataType="decimal"/>
    </xmlCellPr>
  </singleXmlCell>
  <singleXmlCell id="2608" xr6:uid="{187EE796-C3E8-4289-BE08-4B8AF08210F9}" r="F254" connectionId="0">
    <xmlCellPr id="1" xr6:uid="{8C522216-C17D-41E3-8ADD-E7D412D3E1C1}" uniqueName="OEM_Pass_Value">
      <xmlPr mapId="7" xpath="/MAKE/AOP/AOP_Frontal_MPDB/DUMMY_MEASUREMENTS/T1/Resultant_Max/@OEM_Pass_Value" xmlDataType="decimal"/>
    </xmlCellPr>
  </singleXmlCell>
  <singleXmlCell id="2609" xr6:uid="{D22C3F65-8D9D-4A98-85AD-80932AA81A97}" r="D255" connectionId="0">
    <xmlCellPr id="1" xr6:uid="{000D2C17-E446-44FB-8447-780FAF763888}" uniqueName="DriverValue">
      <xmlPr mapId="7" xpath="/MAKE/AOP/AOP_Frontal_MPDB/DUMMY_MEASUREMENTS/T1/Resultant_Min/@DriverValue" xmlDataType="decimal"/>
    </xmlCellPr>
  </singleXmlCell>
  <singleXmlCell id="2611" xr6:uid="{8F930682-FF93-4A9A-93A5-FE37326AAB23}" r="F255" connectionId="0">
    <xmlCellPr id="1" xr6:uid="{5046C1F1-C1CF-48CD-9497-89D85FB96ABE}" uniqueName="OEM_Pass_Value">
      <xmlPr mapId="7" xpath="/MAKE/AOP/AOP_Frontal_MPDB/DUMMY_MEASUREMENTS/T1/Resultant_Min/@OEM_Pass_Value" xmlDataType="decimal"/>
    </xmlCellPr>
  </singleXmlCell>
  <singleXmlCell id="2612" xr6:uid="{3E8429FF-FFF4-4C97-B013-3CB3853B2CCD}" r="D257" connectionId="0">
    <xmlCellPr id="1" xr6:uid="{8CBADE40-9393-4033-A824-907F7EE75FC1}" uniqueName="DriverValue">
      <xmlPr mapId="7" xpath="/MAKE/AOP/AOP_Frontal_MPDB/DUMMY_MEASUREMENTS/T4/Ax_Max/@DriverValue" xmlDataType="decimal"/>
    </xmlCellPr>
  </singleXmlCell>
  <singleXmlCell id="2614" xr6:uid="{C299EB5F-EE8F-4550-ACA6-0335BCBBFA37}" r="F257" connectionId="0">
    <xmlCellPr id="1" xr6:uid="{43B900D0-7466-40E5-949F-CB1A6AF2FE20}" uniqueName="OEM_Pass_Value">
      <xmlPr mapId="7" xpath="/MAKE/AOP/AOP_Frontal_MPDB/DUMMY_MEASUREMENTS/T4/Ax_Max/@OEM_Pass_Value" xmlDataType="decimal"/>
    </xmlCellPr>
  </singleXmlCell>
  <singleXmlCell id="2615" xr6:uid="{2DCDD559-63B5-4BF6-9A68-EAC40C63BE6C}" r="D258" connectionId="0">
    <xmlCellPr id="1" xr6:uid="{2623067D-8EC4-4EEF-BB8F-E625530E27B7}" uniqueName="DriverValue">
      <xmlPr mapId="7" xpath="/MAKE/AOP/AOP_Frontal_MPDB/DUMMY_MEASUREMENTS/T4/Ax_Min/@DriverValue" xmlDataType="decimal"/>
    </xmlCellPr>
  </singleXmlCell>
  <singleXmlCell id="2617" xr6:uid="{2077AF6E-C91C-4EB6-9B69-60EA60753EFF}" r="F258" connectionId="0">
    <xmlCellPr id="1" xr6:uid="{66E1AADC-1B86-4E52-BB5B-DBAB587FA623}" uniqueName="OEM_Pass_Value">
      <xmlPr mapId="7" xpath="/MAKE/AOP/AOP_Frontal_MPDB/DUMMY_MEASUREMENTS/T4/Ax_Min/@OEM_Pass_Value" xmlDataType="decimal"/>
    </xmlCellPr>
  </singleXmlCell>
  <singleXmlCell id="2618" xr6:uid="{9BDFB596-3C5C-48BE-895C-BA63A791E741}" r="D259" connectionId="0">
    <xmlCellPr id="1" xr6:uid="{9A251C0C-2496-4409-8E8D-07B73E4435CE}" uniqueName="DriverValue">
      <xmlPr mapId="7" xpath="/MAKE/AOP/AOP_Frontal_MPDB/DUMMY_MEASUREMENTS/T4/Ay_Max/@DriverValue" xmlDataType="decimal"/>
    </xmlCellPr>
  </singleXmlCell>
  <singleXmlCell id="2620" xr6:uid="{F680D37F-12F8-4BED-ADC2-D40B220D6F0B}" r="F259" connectionId="0">
    <xmlCellPr id="1" xr6:uid="{0311F2D3-51DC-4D4F-B2DB-AAC8C1ED48BC}" uniqueName="OEM_Pass_Value">
      <xmlPr mapId="7" xpath="/MAKE/AOP/AOP_Frontal_MPDB/DUMMY_MEASUREMENTS/T4/Ay_Max/@OEM_Pass_Value" xmlDataType="decimal"/>
    </xmlCellPr>
  </singleXmlCell>
  <singleXmlCell id="2621" xr6:uid="{573EA4C5-1FE4-4DD3-85A9-273C996B8FDD}" r="D260" connectionId="0">
    <xmlCellPr id="1" xr6:uid="{4D59478A-60B4-4794-B843-F2EA35AC1BE9}" uniqueName="DriverValue">
      <xmlPr mapId="7" xpath="/MAKE/AOP/AOP_Frontal_MPDB/DUMMY_MEASUREMENTS/T4/Ay_Min/@DriverValue" xmlDataType="decimal"/>
    </xmlCellPr>
  </singleXmlCell>
  <singleXmlCell id="2623" xr6:uid="{42DD8B37-1EF9-4A93-9234-D8801CAEF239}" r="F260" connectionId="0">
    <xmlCellPr id="1" xr6:uid="{9DF3166C-6805-470E-BDB2-642D89DD1443}" uniqueName="OEM_Pass_Value">
      <xmlPr mapId="7" xpath="/MAKE/AOP/AOP_Frontal_MPDB/DUMMY_MEASUREMENTS/T4/Ay_Min/@OEM_Pass_Value" xmlDataType="decimal"/>
    </xmlCellPr>
  </singleXmlCell>
  <singleXmlCell id="2624" xr6:uid="{F4A9AF24-4076-46A4-AE32-6C7D9F6EFE28}" r="D261" connectionId="0">
    <xmlCellPr id="1" xr6:uid="{060285C9-8491-4795-B3F8-C809F999C693}" uniqueName="DriverValue">
      <xmlPr mapId="7" xpath="/MAKE/AOP/AOP_Frontal_MPDB/DUMMY_MEASUREMENTS/T4/Az_Max/@DriverValue" xmlDataType="decimal"/>
    </xmlCellPr>
  </singleXmlCell>
  <singleXmlCell id="2626" xr6:uid="{8387179C-5B31-4B71-964B-9408D83396B5}" r="F261" connectionId="0">
    <xmlCellPr id="1" xr6:uid="{D63E6FA0-79A8-4465-A946-973888E3D3FF}" uniqueName="OEM_Pass_Value">
      <xmlPr mapId="7" xpath="/MAKE/AOP/AOP_Frontal_MPDB/DUMMY_MEASUREMENTS/T4/Az_Max/@OEM_Pass_Value" xmlDataType="decimal"/>
    </xmlCellPr>
  </singleXmlCell>
  <singleXmlCell id="2627" xr6:uid="{51F5E600-530D-4A69-BE69-DEE9D7615C8D}" r="D262" connectionId="0">
    <xmlCellPr id="1" xr6:uid="{6A015F66-1F0F-456B-AA37-F2622360170A}" uniqueName="DriverValue">
      <xmlPr mapId="7" xpath="/MAKE/AOP/AOP_Frontal_MPDB/DUMMY_MEASUREMENTS/T4/Az_Min/@DriverValue" xmlDataType="decimal"/>
    </xmlCellPr>
  </singleXmlCell>
  <singleXmlCell id="2629" xr6:uid="{1C9E3DA0-7DA9-4282-AA0E-EF6F8BBBBB28}" r="F262" connectionId="0">
    <xmlCellPr id="1" xr6:uid="{0BDC5D63-22B9-4DBC-A6B4-0B73CE83EEAC}" uniqueName="OEM_Pass_Value">
      <xmlPr mapId="7" xpath="/MAKE/AOP/AOP_Frontal_MPDB/DUMMY_MEASUREMENTS/T4/Az_Min/@OEM_Pass_Value" xmlDataType="decimal"/>
    </xmlCellPr>
  </singleXmlCell>
  <singleXmlCell id="2630" xr6:uid="{22E3B521-0938-4287-B80D-0EFF7AE48157}" r="D263" connectionId="0">
    <xmlCellPr id="1" xr6:uid="{49AA36C6-13E8-47A4-848E-34A06C4FE0FD}" uniqueName="DriverValue">
      <xmlPr mapId="7" xpath="/MAKE/AOP/AOP_Frontal_MPDB/DUMMY_MEASUREMENTS/T4/Resultant_Max/@DriverValue" xmlDataType="decimal"/>
    </xmlCellPr>
  </singleXmlCell>
  <singleXmlCell id="2632" xr6:uid="{2CF6AA8F-2A36-4C66-86FD-AFA312A151F4}" r="F263" connectionId="0">
    <xmlCellPr id="1" xr6:uid="{BC66BC3C-F7A9-499C-A5AB-A1B05195574B}" uniqueName="OEM_Pass_Value">
      <xmlPr mapId="7" xpath="/MAKE/AOP/AOP_Frontal_MPDB/DUMMY_MEASUREMENTS/T4/Resultant_Max/@OEM_Pass_Value" xmlDataType="decimal"/>
    </xmlCellPr>
  </singleXmlCell>
  <singleXmlCell id="2633" xr6:uid="{14CDD725-AD14-43B4-BE3F-8949DC920E3C}" r="D264" connectionId="0">
    <xmlCellPr id="1" xr6:uid="{9B4C8BE0-BCB5-4043-B8E5-730FD9D5A5E6}" uniqueName="DriverValue">
      <xmlPr mapId="7" xpath="/MAKE/AOP/AOP_Frontal_MPDB/DUMMY_MEASUREMENTS/T4/Resultant_Min/@DriverValue" xmlDataType="decimal"/>
    </xmlCellPr>
  </singleXmlCell>
  <singleXmlCell id="2635" xr6:uid="{8354E986-BF14-492B-9008-7952798D08D8}" r="F264" connectionId="0">
    <xmlCellPr id="1" xr6:uid="{8FDF4703-B20F-4F00-8126-4B123F09907A}" uniqueName="OEM_Pass_Value">
      <xmlPr mapId="7" xpath="/MAKE/AOP/AOP_Frontal_MPDB/DUMMY_MEASUREMENTS/T4/Resultant_Min/@OEM_Pass_Value" xmlDataType="decimal"/>
    </xmlCellPr>
  </singleXmlCell>
  <singleXmlCell id="2636" xr6:uid="{C4658DB1-5353-47A8-BA7F-401F62AA58DE}" r="D266" connectionId="0">
    <xmlCellPr id="1" xr6:uid="{C7359FB7-4D15-4666-9EE7-F6A61D364B54}" uniqueName="DriverValue">
      <xmlPr mapId="7" xpath="/MAKE/AOP/AOP_Frontal_MPDB/DUMMY_MEASUREMENTS/T12/Ax_Max/@DriverValue" xmlDataType="decimal"/>
    </xmlCellPr>
  </singleXmlCell>
  <singleXmlCell id="2638" xr6:uid="{9C90A9D3-D8B0-404D-93DE-DD125C288295}" r="F266" connectionId="0">
    <xmlCellPr id="1" xr6:uid="{313B298D-50F2-4521-A105-217BF27AD085}" uniqueName="OEM_Pass_Value">
      <xmlPr mapId="7" xpath="/MAKE/AOP/AOP_Frontal_MPDB/DUMMY_MEASUREMENTS/T12/Ax_Max/@OEM_Pass_Value" xmlDataType="decimal"/>
    </xmlCellPr>
  </singleXmlCell>
  <singleXmlCell id="2639" xr6:uid="{3F9FE932-4AFF-455F-B8BE-F73D9C60DD0D}" r="D267" connectionId="0">
    <xmlCellPr id="1" xr6:uid="{90B24547-581E-48D4-BDC5-C867FD9B69C4}" uniqueName="DriverValue">
      <xmlPr mapId="7" xpath="/MAKE/AOP/AOP_Frontal_MPDB/DUMMY_MEASUREMENTS/T12/Ax_Min/@DriverValue" xmlDataType="decimal"/>
    </xmlCellPr>
  </singleXmlCell>
  <singleXmlCell id="2641" xr6:uid="{36FDACED-D024-4A89-8511-71241D6D9FAC}" r="F267" connectionId="0">
    <xmlCellPr id="1" xr6:uid="{A28B5E11-06B1-4A9C-A45F-0D1353B807D9}" uniqueName="OEM_Pass_Value">
      <xmlPr mapId="7" xpath="/MAKE/AOP/AOP_Frontal_MPDB/DUMMY_MEASUREMENTS/T12/Ax_Min/@OEM_Pass_Value" xmlDataType="decimal"/>
    </xmlCellPr>
  </singleXmlCell>
  <singleXmlCell id="2642" xr6:uid="{DBB39699-CE60-4C97-959F-7B01636E0170}" r="D268" connectionId="0">
    <xmlCellPr id="1" xr6:uid="{089E20D5-C243-4827-B6DE-3D34800BED6F}" uniqueName="DriverValue">
      <xmlPr mapId="7" xpath="/MAKE/AOP/AOP_Frontal_MPDB/DUMMY_MEASUREMENTS/T12/Ay_Max/@DriverValue" xmlDataType="decimal"/>
    </xmlCellPr>
  </singleXmlCell>
  <singleXmlCell id="2644" xr6:uid="{CDF6678B-E3B5-4DCA-A682-1FFD4B5FBD30}" r="F268" connectionId="0">
    <xmlCellPr id="1" xr6:uid="{2838F1B5-4F1C-4F0D-AFC8-1DB81E696AAA}" uniqueName="OEM_Pass_Value">
      <xmlPr mapId="7" xpath="/MAKE/AOP/AOP_Frontal_MPDB/DUMMY_MEASUREMENTS/T12/Ay_Max/@OEM_Pass_Value" xmlDataType="decimal"/>
    </xmlCellPr>
  </singleXmlCell>
  <singleXmlCell id="2645" xr6:uid="{6C2A8505-5F70-4E0D-A07A-A84652F87F2D}" r="D269" connectionId="0">
    <xmlCellPr id="1" xr6:uid="{D98938BF-4CC0-46AF-8FC1-A73BF2F0C668}" uniqueName="DriverValue">
      <xmlPr mapId="7" xpath="/MAKE/AOP/AOP_Frontal_MPDB/DUMMY_MEASUREMENTS/T12/Ay_Min/@DriverValue" xmlDataType="decimal"/>
    </xmlCellPr>
  </singleXmlCell>
  <singleXmlCell id="2647" xr6:uid="{0EB73BF6-631C-4F60-A630-16BF980D1AD3}" r="F269" connectionId="0">
    <xmlCellPr id="1" xr6:uid="{46C738E6-8F96-43AA-A050-18F797AED830}" uniqueName="OEM_Pass_Value">
      <xmlPr mapId="7" xpath="/MAKE/AOP/AOP_Frontal_MPDB/DUMMY_MEASUREMENTS/T12/Ay_Min/@OEM_Pass_Value" xmlDataType="decimal"/>
    </xmlCellPr>
  </singleXmlCell>
  <singleXmlCell id="2648" xr6:uid="{2E5C4272-6C48-40F1-8CC9-6C4BA228F2F0}" r="D270" connectionId="0">
    <xmlCellPr id="1" xr6:uid="{EFFD2E1A-2ACE-47DE-A674-8993449352E6}" uniqueName="DriverValue">
      <xmlPr mapId="7" xpath="/MAKE/AOP/AOP_Frontal_MPDB/DUMMY_MEASUREMENTS/T12/Az_Max/@DriverValue" xmlDataType="decimal"/>
    </xmlCellPr>
  </singleXmlCell>
  <singleXmlCell id="2650" xr6:uid="{072342EE-EBC2-405D-91EF-AD3E02BCFEA1}" r="F270" connectionId="0">
    <xmlCellPr id="1" xr6:uid="{1E859540-DA30-49E3-83D4-E2D19AD51400}" uniqueName="OEM_Pass_Value">
      <xmlPr mapId="7" xpath="/MAKE/AOP/AOP_Frontal_MPDB/DUMMY_MEASUREMENTS/T12/Az_Max/@OEM_Pass_Value" xmlDataType="decimal"/>
    </xmlCellPr>
  </singleXmlCell>
  <singleXmlCell id="2651" xr6:uid="{E93191EC-147F-46BB-8EA5-882011024F8C}" r="D271" connectionId="0">
    <xmlCellPr id="1" xr6:uid="{A0E53E19-5849-4892-8CD2-1C9A0E26D941}" uniqueName="DriverValue">
      <xmlPr mapId="7" xpath="/MAKE/AOP/AOP_Frontal_MPDB/DUMMY_MEASUREMENTS/T12/Az_Min/@DriverValue" xmlDataType="decimal"/>
    </xmlCellPr>
  </singleXmlCell>
  <singleXmlCell id="2653" xr6:uid="{8258CD4B-722D-4D84-8FDF-0220A0EE9281}" r="F271" connectionId="0">
    <xmlCellPr id="1" xr6:uid="{0EFAD07A-EB14-4E85-8D1F-6F6101CCAAFF}" uniqueName="OEM_Pass_Value">
      <xmlPr mapId="7" xpath="/MAKE/AOP/AOP_Frontal_MPDB/DUMMY_MEASUREMENTS/T12/Az_Min/@OEM_Pass_Value" xmlDataType="decimal"/>
    </xmlCellPr>
  </singleXmlCell>
  <singleXmlCell id="2654" xr6:uid="{2B178F2A-2EF2-410D-AE1D-0A128FD3D219}" r="D272" connectionId="0">
    <xmlCellPr id="1" xr6:uid="{9A93641E-0C88-4227-9B4C-BB191AD486F9}" uniqueName="DriverValue">
      <xmlPr mapId="7" xpath="/MAKE/AOP/AOP_Frontal_MPDB/DUMMY_MEASUREMENTS/T12/Resultant_Max/@DriverValue" xmlDataType="decimal"/>
    </xmlCellPr>
  </singleXmlCell>
  <singleXmlCell id="2656" xr6:uid="{5A911A62-2B48-4485-9D64-F5AA80406F24}" r="F272" connectionId="0">
    <xmlCellPr id="1" xr6:uid="{F00D922E-1AB8-4F68-A1E9-01E54D1A8847}" uniqueName="OEM_Pass_Value">
      <xmlPr mapId="7" xpath="/MAKE/AOP/AOP_Frontal_MPDB/DUMMY_MEASUREMENTS/T12/Resultant_Max/@OEM_Pass_Value" xmlDataType="decimal"/>
    </xmlCellPr>
  </singleXmlCell>
  <singleXmlCell id="2657" xr6:uid="{414AEEED-6698-4B1B-BDB2-17116E67A003}" r="D273" connectionId="0">
    <xmlCellPr id="1" xr6:uid="{69E9EA73-6109-491F-80CD-6C5A05F75C71}" uniqueName="DriverValue">
      <xmlPr mapId="7" xpath="/MAKE/AOP/AOP_Frontal_MPDB/DUMMY_MEASUREMENTS/T12/Resultant_Min/@DriverValue" xmlDataType="decimal"/>
    </xmlCellPr>
  </singleXmlCell>
  <singleXmlCell id="2659" xr6:uid="{38CBA084-9F4F-4074-9DC8-4043402CF7E0}" r="F273" connectionId="0">
    <xmlCellPr id="1" xr6:uid="{6556A0B8-A98D-49F9-BBDC-3BDA1823F337}" uniqueName="OEM_Pass_Value">
      <xmlPr mapId="7" xpath="/MAKE/AOP/AOP_Frontal_MPDB/DUMMY_MEASUREMENTS/T12/Resultant_Min/@OEM_Pass_Value" xmlDataType="decimal"/>
    </xmlCellPr>
  </singleXmlCell>
  <singleXmlCell id="2660" xr6:uid="{9D5E9F18-0B80-4E7B-A673-DA2B328509D4}" r="D274" connectionId="0">
    <xmlCellPr id="1" xr6:uid="{43DBAD28-49DF-441B-91FA-9F2E886A0966}" uniqueName="DriverValue">
      <xmlPr mapId="7" xpath="/MAKE/AOP/AOP_Frontal_MPDB/DUMMY_MEASUREMENTS/T12/Fx_Max/@DriverValue" xmlDataType="decimal"/>
    </xmlCellPr>
  </singleXmlCell>
  <singleXmlCell id="2662" xr6:uid="{39463238-BBDD-4E19-A9D1-8DA59B61F7B9}" r="F274" connectionId="0">
    <xmlCellPr id="1" xr6:uid="{BD0781BF-61DD-4C1C-9163-EB07541B35BF}" uniqueName="OEM_Pass_Value">
      <xmlPr mapId="7" xpath="/MAKE/AOP/AOP_Frontal_MPDB/DUMMY_MEASUREMENTS/T12/Fx_Max/@OEM_Pass_Value" xmlDataType="decimal"/>
    </xmlCellPr>
  </singleXmlCell>
  <singleXmlCell id="2663" xr6:uid="{36A03727-40D5-4EA0-AF82-FAF1637103A5}" r="D275" connectionId="0">
    <xmlCellPr id="1" xr6:uid="{4359B076-4FF0-44AD-A9EF-35F0DA94A7CA}" uniqueName="DriverValue">
      <xmlPr mapId="7" xpath="/MAKE/AOP/AOP_Frontal_MPDB/DUMMY_MEASUREMENTS/T12/Fx_Min/@DriverValue" xmlDataType="decimal"/>
    </xmlCellPr>
  </singleXmlCell>
  <singleXmlCell id="2665" xr6:uid="{0768820E-9FC2-4001-A7E8-B9F383E67325}" r="F275" connectionId="0">
    <xmlCellPr id="1" xr6:uid="{D436108B-88FB-4641-A76D-73797EF9C2CC}" uniqueName="OEM_Pass_Value">
      <xmlPr mapId="7" xpath="/MAKE/AOP/AOP_Frontal_MPDB/DUMMY_MEASUREMENTS/T12/Fx_Min/@OEM_Pass_Value" xmlDataType="decimal"/>
    </xmlCellPr>
  </singleXmlCell>
  <singleXmlCell id="2666" xr6:uid="{3DACECB7-DF01-43E0-AACF-54A1A545D324}" r="D276" connectionId="0">
    <xmlCellPr id="1" xr6:uid="{146AC393-02F6-4B69-8702-E3691F943065}" uniqueName="DriverValue">
      <xmlPr mapId="7" xpath="/MAKE/AOP/AOP_Frontal_MPDB/DUMMY_MEASUREMENTS/T12/Fy_Max/@DriverValue" xmlDataType="decimal"/>
    </xmlCellPr>
  </singleXmlCell>
  <singleXmlCell id="2668" xr6:uid="{0BBD029E-6067-4CD8-90F8-9041774EA2CB}" r="F276" connectionId="0">
    <xmlCellPr id="1" xr6:uid="{2E0B2F27-F618-4757-8468-FA769B59282D}" uniqueName="OEM_Pass_Value">
      <xmlPr mapId="7" xpath="/MAKE/AOP/AOP_Frontal_MPDB/DUMMY_MEASUREMENTS/T12/Fy_Max/@OEM_Pass_Value" xmlDataType="decimal"/>
    </xmlCellPr>
  </singleXmlCell>
  <singleXmlCell id="2669" xr6:uid="{F93A2615-08C0-425A-897A-44DAB9492016}" r="D277" connectionId="0">
    <xmlCellPr id="1" xr6:uid="{8B5A4382-0B20-4613-96FD-632B2E8D8C02}" uniqueName="DriverValue">
      <xmlPr mapId="7" xpath="/MAKE/AOP/AOP_Frontal_MPDB/DUMMY_MEASUREMENTS/T12/Fy_Min/@DriverValue" xmlDataType="decimal"/>
    </xmlCellPr>
  </singleXmlCell>
  <singleXmlCell id="2671" xr6:uid="{31E34E34-2FED-469D-8F83-5B076D46C397}" r="F277" connectionId="0">
    <xmlCellPr id="1" xr6:uid="{C84C2338-D523-4664-86B8-AA11D82208B7}" uniqueName="OEM_Pass_Value">
      <xmlPr mapId="7" xpath="/MAKE/AOP/AOP_Frontal_MPDB/DUMMY_MEASUREMENTS/T12/Fy_Min/@OEM_Pass_Value" xmlDataType="decimal"/>
    </xmlCellPr>
  </singleXmlCell>
  <singleXmlCell id="2672" xr6:uid="{3BEE4082-3565-4846-9E31-CD7242F3F64F}" r="D278" connectionId="0">
    <xmlCellPr id="1" xr6:uid="{6985A096-8BA2-4FDF-BD9D-94AFADDC7126}" uniqueName="DriverValue">
      <xmlPr mapId="7" xpath="/MAKE/AOP/AOP_Frontal_MPDB/DUMMY_MEASUREMENTS/T12/Fz_Max/@DriverValue" xmlDataType="decimal"/>
    </xmlCellPr>
  </singleXmlCell>
  <singleXmlCell id="2674" xr6:uid="{D7C23C38-49F6-4B4D-BDA9-1D378EF69342}" r="F278" connectionId="0">
    <xmlCellPr id="1" xr6:uid="{DDCDB0E4-F67E-472B-BBC4-C9E485E853D8}" uniqueName="OEM_Pass_Value">
      <xmlPr mapId="7" xpath="/MAKE/AOP/AOP_Frontal_MPDB/DUMMY_MEASUREMENTS/T12/Fz_Max/@OEM_Pass_Value" xmlDataType="decimal"/>
    </xmlCellPr>
  </singleXmlCell>
  <singleXmlCell id="2675" xr6:uid="{668C8D9B-2DE5-4DDD-A581-EC616BF1B291}" r="D279" connectionId="0">
    <xmlCellPr id="1" xr6:uid="{E2EE7F67-CE2B-4D33-A3B2-442C835B2E38}" uniqueName="DriverValue">
      <xmlPr mapId="7" xpath="/MAKE/AOP/AOP_Frontal_MPDB/DUMMY_MEASUREMENTS/T12/Fz_Min/@DriverValue" xmlDataType="decimal"/>
    </xmlCellPr>
  </singleXmlCell>
  <singleXmlCell id="2677" xr6:uid="{39A26876-966F-40FF-9469-4C70D9B7E91E}" r="F279" connectionId="0">
    <xmlCellPr id="1" xr6:uid="{CCFDE03E-7851-4BF1-B166-F0D92FAC7F1F}" uniqueName="OEM_Pass_Value">
      <xmlPr mapId="7" xpath="/MAKE/AOP/AOP_Frontal_MPDB/DUMMY_MEASUREMENTS/T12/Fz_Min/@OEM_Pass_Value" xmlDataType="decimal"/>
    </xmlCellPr>
  </singleXmlCell>
  <singleXmlCell id="2678" xr6:uid="{2236DF77-39E2-4AF5-9911-0F3EC4E0A2AE}" r="D280" connectionId="0">
    <xmlCellPr id="1" xr6:uid="{744B63D7-0A02-4715-8E20-406920EE61E2}" uniqueName="DriverValue">
      <xmlPr mapId="7" xpath="/MAKE/AOP/AOP_Frontal_MPDB/DUMMY_MEASUREMENTS/T12/Mx_Max/@DriverValue" xmlDataType="decimal"/>
    </xmlCellPr>
  </singleXmlCell>
  <singleXmlCell id="2680" xr6:uid="{59C23477-1050-4977-8D90-BE2666059EBA}" r="F280" connectionId="0">
    <xmlCellPr id="1" xr6:uid="{196E0F44-23B6-4969-94E8-8BEF299425A2}" uniqueName="OEM_Pass_Value">
      <xmlPr mapId="7" xpath="/MAKE/AOP/AOP_Frontal_MPDB/DUMMY_MEASUREMENTS/T12/Mx_Max/@OEM_Pass_Value" xmlDataType="decimal"/>
    </xmlCellPr>
  </singleXmlCell>
  <singleXmlCell id="2681" xr6:uid="{38158E9C-920F-4F5F-BA04-E3B22915AB21}" r="D281" connectionId="0">
    <xmlCellPr id="1" xr6:uid="{0CD2EF59-8557-46AE-B086-B65B325D4DBF}" uniqueName="DriverValue">
      <xmlPr mapId="7" xpath="/MAKE/AOP/AOP_Frontal_MPDB/DUMMY_MEASUREMENTS/T12/Mx_Min/@DriverValue" xmlDataType="decimal"/>
    </xmlCellPr>
  </singleXmlCell>
  <singleXmlCell id="2683" xr6:uid="{8BAC189B-2F51-45FD-8621-74F380211040}" r="F281" connectionId="0">
    <xmlCellPr id="1" xr6:uid="{40C18A9F-0B01-428D-ACBA-810CB8EB6449}" uniqueName="OEM_Pass_Value">
      <xmlPr mapId="7" xpath="/MAKE/AOP/AOP_Frontal_MPDB/DUMMY_MEASUREMENTS/T12/Mx_Min/@OEM_Pass_Value" xmlDataType="decimal"/>
    </xmlCellPr>
  </singleXmlCell>
  <singleXmlCell id="2684" xr6:uid="{D2A20DC1-7E8E-471D-AD7B-CCF2DF96CA72}" r="D282" connectionId="0">
    <xmlCellPr id="1" xr6:uid="{5F5E52B6-B98E-449B-B966-A2B4A0F73C8B}" uniqueName="DriverValue">
      <xmlPr mapId="7" xpath="/MAKE/AOP/AOP_Frontal_MPDB/DUMMY_MEASUREMENTS/T12/My_Max/@DriverValue" xmlDataType="decimal"/>
    </xmlCellPr>
  </singleXmlCell>
  <singleXmlCell id="2686" xr6:uid="{54C6285E-54BB-453D-98D2-D3472DED1B69}" r="F282" connectionId="0">
    <xmlCellPr id="1" xr6:uid="{012E3CC3-2D08-4F10-AAE4-2F56B96FE79C}" uniqueName="OEM_Pass_Value">
      <xmlPr mapId="7" xpath="/MAKE/AOP/AOP_Frontal_MPDB/DUMMY_MEASUREMENTS/T12/My_Max/@OEM_Pass_Value" xmlDataType="decimal"/>
    </xmlCellPr>
  </singleXmlCell>
  <singleXmlCell id="2687" xr6:uid="{8088A9EC-29A8-4445-A1A4-9A3E4A5E71FF}" r="D283" connectionId="0">
    <xmlCellPr id="1" xr6:uid="{96085790-8E4C-4C31-83DE-983F32FC6159}" uniqueName="DriverValue">
      <xmlPr mapId="7" xpath="/MAKE/AOP/AOP_Frontal_MPDB/DUMMY_MEASUREMENTS/T12/My_Min/@DriverValue" xmlDataType="decimal"/>
    </xmlCellPr>
  </singleXmlCell>
  <singleXmlCell id="2689" xr6:uid="{BA15F740-66BC-4BA5-AED0-B8541866958F}" r="F283" connectionId="0">
    <xmlCellPr id="1" xr6:uid="{267529B3-6A36-40EF-89C7-CB818C9822D1}" uniqueName="OEM_Pass_Value">
      <xmlPr mapId="7" xpath="/MAKE/AOP/AOP_Frontal_MPDB/DUMMY_MEASUREMENTS/T12/My_Min/@OEM_Pass_Value" xmlDataType="decimal"/>
    </xmlCellPr>
  </singleXmlCell>
  <singleXmlCell id="2690" xr6:uid="{CE530758-C726-4309-8EAD-DA325820C2A2}" r="D285" connectionId="0">
    <xmlCellPr id="1" xr6:uid="{BEFA7C9B-E66D-42DA-87DF-AD7597511174}" uniqueName="DriverValue">
      <xmlPr mapId="7" xpath="/MAKE/AOP/AOP_Frontal_MPDB/DUMMY_MEASUREMENTS/Abdomen/Ax_Max/@DriverValue" xmlDataType="decimal"/>
    </xmlCellPr>
  </singleXmlCell>
  <singleXmlCell id="2692" xr6:uid="{7EAAD47F-A22F-4B3C-BC8C-6E4E118BAC91}" r="F285" connectionId="0">
    <xmlCellPr id="1" xr6:uid="{39BA1D51-E655-496B-9217-913FADC207CA}" uniqueName="OEM_Pass_Value">
      <xmlPr mapId="7" xpath="/MAKE/AOP/AOP_Frontal_MPDB/DUMMY_MEASUREMENTS/Abdomen/Ax_Max/@OEM_Pass_Value" xmlDataType="decimal"/>
    </xmlCellPr>
  </singleXmlCell>
  <singleXmlCell id="2693" xr6:uid="{81A416E1-7E2B-46B8-9D70-612623BE4D11}" r="D286" connectionId="0">
    <xmlCellPr id="1" xr6:uid="{ADEAAE31-57BD-4046-8DCB-85930D49739C}" uniqueName="DriverValue">
      <xmlPr mapId="7" xpath="/MAKE/AOP/AOP_Frontal_MPDB/DUMMY_MEASUREMENTS/Abdomen/Ax_Min/@DriverValue" xmlDataType="decimal"/>
    </xmlCellPr>
  </singleXmlCell>
  <singleXmlCell id="2695" xr6:uid="{D748B2F9-F567-41B3-B152-EE8D47E5B81D}" r="F286" connectionId="0">
    <xmlCellPr id="1" xr6:uid="{673B2F93-0448-421B-ABED-69D34680E6C0}" uniqueName="OEM_Pass_Value">
      <xmlPr mapId="7" xpath="/MAKE/AOP/AOP_Frontal_MPDB/DUMMY_MEASUREMENTS/Abdomen/Ax_Min/@OEM_Pass_Value" xmlDataType="decimal"/>
    </xmlCellPr>
  </singleXmlCell>
  <singleXmlCell id="2696" xr6:uid="{5A719F7E-B770-4A64-A49D-3F19664CF347}" r="D288" connectionId="0">
    <xmlCellPr id="1" xr6:uid="{42BE61FB-A8DA-4E72-A61E-083881A7EDEB}" uniqueName="DriverValue">
      <xmlPr mapId="7" xpath="/MAKE/AOP/AOP_Frontal_MPDB/DUMMY_MEASUREMENTS/Abdomen_Left/Dx_Max/@DriverValue" xmlDataType="decimal"/>
    </xmlCellPr>
  </singleXmlCell>
  <singleXmlCell id="2698" xr6:uid="{C9899D7C-3EF8-4E21-BDBB-D3DE62B158C6}" r="F288" connectionId="0">
    <xmlCellPr id="1" xr6:uid="{8F49E2AA-DD92-453F-9FC0-626D9B8232ED}" uniqueName="OEM_Pass_Value">
      <xmlPr mapId="7" xpath="/MAKE/AOP/AOP_Frontal_MPDB/DUMMY_MEASUREMENTS/Abdomen_Left/Dx_Max/@OEM_Pass_Value" xmlDataType="decimal"/>
    </xmlCellPr>
  </singleXmlCell>
  <singleXmlCell id="2699" xr6:uid="{CDA5D20C-4E0B-49D1-A0C7-F9CBB52A98C0}" r="D289" connectionId="0">
    <xmlCellPr id="1" xr6:uid="{79F4DECA-D0C2-4B0B-918C-BD033386EFE0}" uniqueName="DriverValue">
      <xmlPr mapId="7" xpath="/MAKE/AOP/AOP_Frontal_MPDB/DUMMY_MEASUREMENTS/Abdomen_Left/Dx_Min/@DriverValue" xmlDataType="decimal"/>
    </xmlCellPr>
  </singleXmlCell>
  <singleXmlCell id="2701" xr6:uid="{518A42D6-5703-4B39-B103-FA336EBE272D}" r="F289" connectionId="0">
    <xmlCellPr id="1" xr6:uid="{F25CBA1C-5BD9-47FD-89D4-50C5B05DFDEF}" uniqueName="OEM_Pass_Value">
      <xmlPr mapId="7" xpath="/MAKE/AOP/AOP_Frontal_MPDB/DUMMY_MEASUREMENTS/Abdomen_Left/Dx_Min/@OEM_Pass_Value" xmlDataType="decimal"/>
    </xmlCellPr>
  </singleXmlCell>
  <singleXmlCell id="2702" xr6:uid="{6BABE6A5-E18E-4EB7-9C33-ED66D9AC0DCE}" r="D290" connectionId="0">
    <xmlCellPr id="1" xr6:uid="{5B6E2DC4-7E3A-4AF2-A92C-C423B23AEFCF}" uniqueName="DriverValue">
      <xmlPr mapId="7" xpath="/MAKE/AOP/AOP_Frontal_MPDB/DUMMY_MEASUREMENTS/Abdomen_Left/Dy_Max/@DriverValue" xmlDataType="decimal"/>
    </xmlCellPr>
  </singleXmlCell>
  <singleXmlCell id="2704" xr6:uid="{57624BF0-A44E-4602-A1F8-FD02074D4AF4}" r="F290" connectionId="0">
    <xmlCellPr id="1" xr6:uid="{98A27284-69E1-40BF-BC77-44FF51DB228E}" uniqueName="OEM_Pass_Value">
      <xmlPr mapId="7" xpath="/MAKE/AOP/AOP_Frontal_MPDB/DUMMY_MEASUREMENTS/Abdomen_Left/Dy_Max/@OEM_Pass_Value" xmlDataType="decimal"/>
    </xmlCellPr>
  </singleXmlCell>
  <singleXmlCell id="2705" xr6:uid="{8C893EB6-F6BD-4CD1-B4C3-11B7846C39E7}" r="D291" connectionId="0">
    <xmlCellPr id="1" xr6:uid="{A44B9882-EA2B-412A-BF7D-D7A6061FED93}" uniqueName="DriverValue">
      <xmlPr mapId="7" xpath="/MAKE/AOP/AOP_Frontal_MPDB/DUMMY_MEASUREMENTS/Abdomen_Left/Dy_Min/@DriverValue" xmlDataType="decimal"/>
    </xmlCellPr>
  </singleXmlCell>
  <singleXmlCell id="2707" xr6:uid="{F0351B7E-6FCF-4EEB-9DF3-D0647AF3D49B}" r="F291" connectionId="0">
    <xmlCellPr id="1" xr6:uid="{6BC3DB20-0571-4D67-B61B-877B139B3C44}" uniqueName="OEM_Pass_Value">
      <xmlPr mapId="7" xpath="/MAKE/AOP/AOP_Frontal_MPDB/DUMMY_MEASUREMENTS/Abdomen_Left/Dy_Min/@OEM_Pass_Value" xmlDataType="decimal"/>
    </xmlCellPr>
  </singleXmlCell>
  <singleXmlCell id="2708" xr6:uid="{53B6004E-2F18-4049-9E4B-10C9E15D7F89}" r="D292" connectionId="0">
    <xmlCellPr id="1" xr6:uid="{DF3D856F-A9E3-4A51-8E38-8BF95F39C2B3}" uniqueName="DriverValue">
      <xmlPr mapId="7" xpath="/MAKE/AOP/AOP_Frontal_MPDB/DUMMY_MEASUREMENTS/Abdomen_Left/Dz_Max/@DriverValue" xmlDataType="decimal"/>
    </xmlCellPr>
  </singleXmlCell>
  <singleXmlCell id="2710" xr6:uid="{0A3CEFAA-DB9E-4447-9021-E49BD2578F87}" r="F292" connectionId="0">
    <xmlCellPr id="1" xr6:uid="{ABEBDD62-0E30-47BC-83EC-F75EDB121F03}" uniqueName="OEM_Pass_Value">
      <xmlPr mapId="7" xpath="/MAKE/AOP/AOP_Frontal_MPDB/DUMMY_MEASUREMENTS/Abdomen_Left/Dz_Max/@OEM_Pass_Value" xmlDataType="decimal"/>
    </xmlCellPr>
  </singleXmlCell>
  <singleXmlCell id="2711" xr6:uid="{594527E1-E9AB-42CB-A90C-9B343DFC3856}" r="D293" connectionId="0">
    <xmlCellPr id="1" xr6:uid="{47D2EBB6-519A-4572-A84E-A8763100A8B3}" uniqueName="DriverValue">
      <xmlPr mapId="7" xpath="/MAKE/AOP/AOP_Frontal_MPDB/DUMMY_MEASUREMENTS/Abdomen_Left/Dz_Min/@DriverValue" xmlDataType="decimal"/>
    </xmlCellPr>
  </singleXmlCell>
  <singleXmlCell id="2713" xr6:uid="{5A019CAC-0452-4D22-9D6B-2FF1AE04286F}" r="F293" connectionId="0">
    <xmlCellPr id="1" xr6:uid="{0FE87EEE-9206-440B-A0CD-C3793105537B}" uniqueName="OEM_Pass_Value">
      <xmlPr mapId="7" xpath="/MAKE/AOP/AOP_Frontal_MPDB/DUMMY_MEASUREMENTS/Abdomen_Left/Dz_Min/@OEM_Pass_Value" xmlDataType="decimal"/>
    </xmlCellPr>
  </singleXmlCell>
  <singleXmlCell id="2714" xr6:uid="{5B5AE3CB-DB81-4E35-9308-950359F55376}" r="D294" connectionId="0">
    <xmlCellPr id="1" xr6:uid="{74DEEE95-109D-4851-AEB8-635F67B8CD19}" uniqueName="DriverValue">
      <xmlPr mapId="7" xpath="/MAKE/AOP/AOP_Frontal_MPDB/DUMMY_MEASUREMENTS/Abdomen_Left/Dabdomen_Max/@DriverValue" xmlDataType="decimal"/>
    </xmlCellPr>
  </singleXmlCell>
  <singleXmlCell id="2716" xr6:uid="{C14C1FD1-7AAD-435B-A51F-F1960EB75A77}" r="F294" connectionId="0">
    <xmlCellPr id="1" xr6:uid="{8E58BAE3-54B6-412A-B819-B888E6446ABB}" uniqueName="OEM_Pass_Value">
      <xmlPr mapId="7" xpath="/MAKE/AOP/AOP_Frontal_MPDB/DUMMY_MEASUREMENTS/Abdomen_Left/Dabdomen_Max/@OEM_Pass_Value" xmlDataType="decimal"/>
    </xmlCellPr>
  </singleXmlCell>
  <singleXmlCell id="2717" xr6:uid="{D12FBAC6-E739-4629-AF7C-0BF9A62C8F69}" r="D295" connectionId="0">
    <xmlCellPr id="1" xr6:uid="{BD2043E0-2E02-4369-9405-32CBCC0B1C33}" uniqueName="DriverValue">
      <xmlPr mapId="7" xpath="/MAKE/AOP/AOP_Frontal_MPDB/DUMMY_MEASUREMENTS/Abdomen_Left/Dabdomen_Min/@DriverValue" xmlDataType="decimal"/>
    </xmlCellPr>
  </singleXmlCell>
  <singleXmlCell id="2719" xr6:uid="{08D33369-D970-4E39-9554-7680A5846C55}" r="F295" connectionId="0">
    <xmlCellPr id="1" xr6:uid="{B7ECF7B4-B765-4EE0-9676-0F6EA14E0CA9}" uniqueName="OEM_Pass_Value">
      <xmlPr mapId="7" xpath="/MAKE/AOP/AOP_Frontal_MPDB/DUMMY_MEASUREMENTS/Abdomen_Left/Dabdomen_Min/@OEM_Pass_Value" xmlDataType="decimal"/>
    </xmlCellPr>
  </singleXmlCell>
  <singleXmlCell id="2720" xr6:uid="{53FA4D83-E10E-4650-B19B-766E62DE9CE0}" r="D296" connectionId="0">
    <xmlCellPr id="1" xr6:uid="{CDBE3905-4647-4D40-9447-0714D3A96A24}" uniqueName="DriverValue">
      <xmlPr mapId="7" xpath="/MAKE/AOP/AOP_Frontal_MPDB/DUMMY_MEASUREMENTS/Abdomen_Left/Alph-y_Max/@DriverValue" xmlDataType="decimal"/>
    </xmlCellPr>
  </singleXmlCell>
  <singleXmlCell id="2722" xr6:uid="{4278E326-1D50-4650-9BDA-A51BC0CE8BD0}" r="F296" connectionId="0">
    <xmlCellPr id="1" xr6:uid="{CE70BAEB-C616-4CEC-BEF4-A586CB5436D2}" uniqueName="OEM_Pass_Value">
      <xmlPr mapId="7" xpath="/MAKE/AOP/AOP_Frontal_MPDB/DUMMY_MEASUREMENTS/Abdomen_Left/Alph-y_Max/@OEM_Pass_Value" xmlDataType="decimal"/>
    </xmlCellPr>
  </singleXmlCell>
  <singleXmlCell id="2723" xr6:uid="{016DC0D6-01BA-4BFA-90BF-061B4B184AEE}" r="D297" connectionId="0">
    <xmlCellPr id="1" xr6:uid="{7B3C9D3F-0803-43E2-8D20-3DF5A9582FAB}" uniqueName="DriverValue">
      <xmlPr mapId="7" xpath="/MAKE/AOP/AOP_Frontal_MPDB/DUMMY_MEASUREMENTS/Abdomen_Left/Alph_y_Min/@DriverValue" xmlDataType="decimal"/>
    </xmlCellPr>
  </singleXmlCell>
  <singleXmlCell id="2725" xr6:uid="{589236E6-A99E-4C96-B000-F0E6A76CB577}" r="F297" connectionId="0">
    <xmlCellPr id="1" xr6:uid="{373C1FAF-0AFB-4D2E-81DC-7EE552B3B962}" uniqueName="OEM_Pass_Value">
      <xmlPr mapId="7" xpath="/MAKE/AOP/AOP_Frontal_MPDB/DUMMY_MEASUREMENTS/Abdomen_Left/Alph_y_Min/@OEM_Pass_Value" xmlDataType="decimal"/>
    </xmlCellPr>
  </singleXmlCell>
  <singleXmlCell id="2726" xr6:uid="{8C2DCB3F-99E9-43F5-B66D-EE735C9E854E}" r="D298" connectionId="0">
    <xmlCellPr id="1" xr6:uid="{970D832D-FF2F-42E0-ABCA-5D54DA78D0CB}" uniqueName="DriverValue">
      <xmlPr mapId="7" xpath="/MAKE/AOP/AOP_Frontal_MPDB/DUMMY_MEASUREMENTS/Abdomen_Left/Alph_z_Max/@DriverValue" xmlDataType="decimal"/>
    </xmlCellPr>
  </singleXmlCell>
  <singleXmlCell id="2728" xr6:uid="{0B8E9800-93F5-415C-808A-B28B1AF88F1A}" r="F298" connectionId="0">
    <xmlCellPr id="1" xr6:uid="{D637AD48-D68C-45CC-9E1D-A94E57977693}" uniqueName="OEM_Pass_Value">
      <xmlPr mapId="7" xpath="/MAKE/AOP/AOP_Frontal_MPDB/DUMMY_MEASUREMENTS/Abdomen_Left/Alph_z_Max/@OEM_Pass_Value" xmlDataType="decimal"/>
    </xmlCellPr>
  </singleXmlCell>
  <singleXmlCell id="2729" xr6:uid="{8C285ECE-D19F-451B-82B1-29962545EDE0}" r="D299" connectionId="0">
    <xmlCellPr id="1" xr6:uid="{13EBC219-22EF-4AC7-8846-D1592C18ECB6}" uniqueName="DriverValue">
      <xmlPr mapId="7" xpath="/MAKE/AOP/AOP_Frontal_MPDB/DUMMY_MEASUREMENTS/Abdomen_Left/Alph_z_Min/@DriverValue" xmlDataType="decimal"/>
    </xmlCellPr>
  </singleXmlCell>
  <singleXmlCell id="2731" xr6:uid="{25F1B739-7808-4B76-81A3-2B9135351001}" r="F299" connectionId="0">
    <xmlCellPr id="1" xr6:uid="{CC70CBBE-90A6-4286-BA1D-B5CA84238BDA}" uniqueName="OEM_Pass_Value">
      <xmlPr mapId="7" xpath="/MAKE/AOP/AOP_Frontal_MPDB/DUMMY_MEASUREMENTS/Abdomen_Left/Alph_z_Min/@OEM_Pass_Value" xmlDataType="decimal"/>
    </xmlCellPr>
  </singleXmlCell>
  <singleXmlCell id="2732" xr6:uid="{C01EFABF-F7AA-4CA9-A9F9-748A4220C4F8}" r="D301" connectionId="0">
    <xmlCellPr id="1" xr6:uid="{A6D9E49E-757A-4C4E-AB22-C1F36F6A546E}" uniqueName="DriverValue">
      <xmlPr mapId="7" xpath="/MAKE/AOP/AOP_Frontal_MPDB/DUMMY_MEASUREMENTS/Abdomen_Right/Dx_Max/@DriverValue" xmlDataType="decimal"/>
    </xmlCellPr>
  </singleXmlCell>
  <singleXmlCell id="2734" xr6:uid="{5E5402FD-25C4-4B50-B006-D934FBDC68D0}" r="F301" connectionId="0">
    <xmlCellPr id="1" xr6:uid="{5ED2FC8E-05B1-4BF9-B974-945162241AD6}" uniqueName="OEM_Pass_Value">
      <xmlPr mapId="7" xpath="/MAKE/AOP/AOP_Frontal_MPDB/DUMMY_MEASUREMENTS/Abdomen_Right/Dx_Max/@OEM_Pass_Value" xmlDataType="decimal"/>
    </xmlCellPr>
  </singleXmlCell>
  <singleXmlCell id="2735" xr6:uid="{49E5BDB8-2153-4173-A07C-CA5A140F05BD}" r="D302" connectionId="0">
    <xmlCellPr id="1" xr6:uid="{6EC4CE11-9664-4729-B556-427880704770}" uniqueName="DriverValue">
      <xmlPr mapId="7" xpath="/MAKE/AOP/AOP_Frontal_MPDB/DUMMY_MEASUREMENTS/Abdomen_Right/Dx_Min/@DriverValue" xmlDataType="decimal"/>
    </xmlCellPr>
  </singleXmlCell>
  <singleXmlCell id="2737" xr6:uid="{F19EFE87-299B-4B75-9BD0-AE55859004B9}" r="F302" connectionId="0">
    <xmlCellPr id="1" xr6:uid="{6099B2DB-01CE-4C89-8CAE-D76EE98E58BC}" uniqueName="OEM_Pass_Value">
      <xmlPr mapId="7" xpath="/MAKE/AOP/AOP_Frontal_MPDB/DUMMY_MEASUREMENTS/Abdomen_Right/Dx_Min/@OEM_Pass_Value" xmlDataType="decimal"/>
    </xmlCellPr>
  </singleXmlCell>
  <singleXmlCell id="2738" xr6:uid="{03553864-A574-41D1-914C-2979BB5E21FA}" r="D303" connectionId="0">
    <xmlCellPr id="1" xr6:uid="{F87996EB-2E1D-456D-8F39-7F7954262F29}" uniqueName="DriverValue">
      <xmlPr mapId="7" xpath="/MAKE/AOP/AOP_Frontal_MPDB/DUMMY_MEASUREMENTS/Abdomen_Right/Dy_Max/@DriverValue" xmlDataType="decimal"/>
    </xmlCellPr>
  </singleXmlCell>
  <singleXmlCell id="2740" xr6:uid="{E491DC22-CAF5-4E51-AD71-5D767B3E6096}" r="F303" connectionId="0">
    <xmlCellPr id="1" xr6:uid="{E75DF92C-426C-41BD-91E6-72CE9C89B7FA}" uniqueName="OEM_Pass_Value">
      <xmlPr mapId="7" xpath="/MAKE/AOP/AOP_Frontal_MPDB/DUMMY_MEASUREMENTS/Abdomen_Right/Dy_Max/@OEM_Pass_Value" xmlDataType="decimal"/>
    </xmlCellPr>
  </singleXmlCell>
  <singleXmlCell id="2741" xr6:uid="{AE071016-1746-4427-BF55-20A453EC00A7}" r="D304" connectionId="0">
    <xmlCellPr id="1" xr6:uid="{8F0346EB-50FB-4505-9C3F-BBFD734D6B7A}" uniqueName="DriverValue">
      <xmlPr mapId="7" xpath="/MAKE/AOP/AOP_Frontal_MPDB/DUMMY_MEASUREMENTS/Abdomen_Right/Dy_Min/@DriverValue" xmlDataType="decimal"/>
    </xmlCellPr>
  </singleXmlCell>
  <singleXmlCell id="2743" xr6:uid="{221B161A-2CD6-4C7A-9B6F-1594C213AAA9}" r="F304" connectionId="0">
    <xmlCellPr id="1" xr6:uid="{84CB382D-1248-47F0-B8B1-E6432E270DFD}" uniqueName="OEM_Pass_Value">
      <xmlPr mapId="7" xpath="/MAKE/AOP/AOP_Frontal_MPDB/DUMMY_MEASUREMENTS/Abdomen_Right/Dy_Min/@OEM_Pass_Value" xmlDataType="decimal"/>
    </xmlCellPr>
  </singleXmlCell>
  <singleXmlCell id="2744" xr6:uid="{96059A05-5C1F-49D3-9C1D-662CD3852635}" r="D305" connectionId="0">
    <xmlCellPr id="1" xr6:uid="{0EFE4E2F-879E-4FC2-90C7-55BC474D4435}" uniqueName="DriverValue">
      <xmlPr mapId="7" xpath="/MAKE/AOP/AOP_Frontal_MPDB/DUMMY_MEASUREMENTS/Abdomen_Right/Dz_Max/@DriverValue" xmlDataType="decimal"/>
    </xmlCellPr>
  </singleXmlCell>
  <singleXmlCell id="2746" xr6:uid="{8F417C6F-44F6-4EA8-A619-B15F13B34803}" r="F305" connectionId="0">
    <xmlCellPr id="1" xr6:uid="{350002D2-6CEB-407E-9174-438B35182202}" uniqueName="OEM_Pass_Value">
      <xmlPr mapId="7" xpath="/MAKE/AOP/AOP_Frontal_MPDB/DUMMY_MEASUREMENTS/Abdomen_Right/Dz_Max/@OEM_Pass_Value" xmlDataType="decimal"/>
    </xmlCellPr>
  </singleXmlCell>
  <singleXmlCell id="2747" xr6:uid="{7182B677-508B-4AAC-83EB-73507BA3317D}" r="D306" connectionId="0">
    <xmlCellPr id="1" xr6:uid="{105BB6C6-FBE9-4F28-A176-4F085DE6CABE}" uniqueName="DriverValue">
      <xmlPr mapId="7" xpath="/MAKE/AOP/AOP_Frontal_MPDB/DUMMY_MEASUREMENTS/Abdomen_Right/Dz_Min/@DriverValue" xmlDataType="decimal"/>
    </xmlCellPr>
  </singleXmlCell>
  <singleXmlCell id="2749" xr6:uid="{8E4661E4-44BC-492D-8088-0ECDAC149BD8}" r="F306" connectionId="0">
    <xmlCellPr id="1" xr6:uid="{E7E1C802-37DB-4308-A781-AB13B2E11EFD}" uniqueName="OEM_Pass_Value">
      <xmlPr mapId="7" xpath="/MAKE/AOP/AOP_Frontal_MPDB/DUMMY_MEASUREMENTS/Abdomen_Right/Dz_Min/@OEM_Pass_Value" xmlDataType="decimal"/>
    </xmlCellPr>
  </singleXmlCell>
  <singleXmlCell id="2750" xr6:uid="{0081A6E5-D17C-4815-A57A-0ED8A8C6DA2D}" r="D307" connectionId="0">
    <xmlCellPr id="1" xr6:uid="{823A5661-D27E-42C0-8A70-F39336BD2835}" uniqueName="DriverValue">
      <xmlPr mapId="7" xpath="/MAKE/AOP/AOP_Frontal_MPDB/DUMMY_MEASUREMENTS/Abdomen_Right/Dabdomen_Max/@DriverValue" xmlDataType="decimal"/>
    </xmlCellPr>
  </singleXmlCell>
  <singleXmlCell id="2752" xr6:uid="{C05CD466-FEC5-48EA-BF13-9C9C766EF545}" r="F307" connectionId="0">
    <xmlCellPr id="1" xr6:uid="{B5ED8B8C-74D9-42B2-9BC8-A4931011EC46}" uniqueName="OEM_Pass_Value">
      <xmlPr mapId="7" xpath="/MAKE/AOP/AOP_Frontal_MPDB/DUMMY_MEASUREMENTS/Abdomen_Right/Dabdomen_Max/@OEM_Pass_Value" xmlDataType="decimal"/>
    </xmlCellPr>
  </singleXmlCell>
  <singleXmlCell id="2753" xr6:uid="{8431A04E-2C8B-4DD5-AD9E-B8180A9258E2}" r="D308" connectionId="0">
    <xmlCellPr id="1" xr6:uid="{ECA9E729-2E69-49F6-AF74-753A6DD0AE25}" uniqueName="DriverValue">
      <xmlPr mapId="7" xpath="/MAKE/AOP/AOP_Frontal_MPDB/DUMMY_MEASUREMENTS/Abdomen_Right/Dabdomen_Min/@DriverValue" xmlDataType="decimal"/>
    </xmlCellPr>
  </singleXmlCell>
  <singleXmlCell id="2755" xr6:uid="{509AD1FB-AEB5-4C7A-9A2D-BC01F65B6E6D}" r="F308" connectionId="0">
    <xmlCellPr id="1" xr6:uid="{8F5F3139-0CF9-40EF-AE9F-26CE26A916BC}" uniqueName="OEM_Pass_Value">
      <xmlPr mapId="7" xpath="/MAKE/AOP/AOP_Frontal_MPDB/DUMMY_MEASUREMENTS/Abdomen_Right/Dabdomen_Min/@OEM_Pass_Value" xmlDataType="decimal"/>
    </xmlCellPr>
  </singleXmlCell>
  <singleXmlCell id="2756" xr6:uid="{8C0010BB-E86D-493D-B440-1601BCD795A9}" r="D309" connectionId="0">
    <xmlCellPr id="1" xr6:uid="{FA6757F5-DB5A-45EB-A541-4A63B9571A5E}" uniqueName="DriverValue">
      <xmlPr mapId="7" xpath="/MAKE/AOP/AOP_Frontal_MPDB/DUMMY_MEASUREMENTS/Abdomen_Right/Alph-y_Max/@DriverValue" xmlDataType="decimal"/>
    </xmlCellPr>
  </singleXmlCell>
  <singleXmlCell id="2758" xr6:uid="{810210B1-679D-4FB5-B115-31BD8E29392E}" r="F309" connectionId="0">
    <xmlCellPr id="1" xr6:uid="{9D191512-F393-4318-8B2B-6F1EE78821CD}" uniqueName="OEM_Pass_Value">
      <xmlPr mapId="7" xpath="/MAKE/AOP/AOP_Frontal_MPDB/DUMMY_MEASUREMENTS/Abdomen_Right/Alph-y_Max/@OEM_Pass_Value" xmlDataType="decimal"/>
    </xmlCellPr>
  </singleXmlCell>
  <singleXmlCell id="2759" xr6:uid="{70215FDB-F290-4E13-AB4B-FE517C034155}" r="D310" connectionId="0">
    <xmlCellPr id="1" xr6:uid="{F6BA6E1C-3845-4A27-BA6D-43F104BB2D98}" uniqueName="DriverValue">
      <xmlPr mapId="7" xpath="/MAKE/AOP/AOP_Frontal_MPDB/DUMMY_MEASUREMENTS/Abdomen_Right/Alph_y_Min/@DriverValue" xmlDataType="decimal"/>
    </xmlCellPr>
  </singleXmlCell>
  <singleXmlCell id="2761" xr6:uid="{0152F611-3890-4B14-B452-BF6C6F6AE0AF}" r="F310" connectionId="0">
    <xmlCellPr id="1" xr6:uid="{C30F23BF-0E91-4A3F-94F9-BDB5E7C93B58}" uniqueName="OEM_Pass_Value">
      <xmlPr mapId="7" xpath="/MAKE/AOP/AOP_Frontal_MPDB/DUMMY_MEASUREMENTS/Abdomen_Right/Alph_y_Min/@OEM_Pass_Value" xmlDataType="decimal"/>
    </xmlCellPr>
  </singleXmlCell>
  <singleXmlCell id="2762" xr6:uid="{F58B583D-9AA7-466D-9E7E-B0DB09B25E42}" r="D311" connectionId="0">
    <xmlCellPr id="1" xr6:uid="{0BF25B9B-D9B6-483E-8755-FB2FE71DF792}" uniqueName="DriverValue">
      <xmlPr mapId="7" xpath="/MAKE/AOP/AOP_Frontal_MPDB/DUMMY_MEASUREMENTS/Abdomen_Right/Alph_z_Max/@DriverValue" xmlDataType="decimal"/>
    </xmlCellPr>
  </singleXmlCell>
  <singleXmlCell id="2764" xr6:uid="{97441188-05D2-475A-87F8-D337DD385AD1}" r="F311" connectionId="0">
    <xmlCellPr id="1" xr6:uid="{0EC0E1DC-1AED-4997-B184-D8BAA36C518A}" uniqueName="OEM_Pass_Value">
      <xmlPr mapId="7" xpath="/MAKE/AOP/AOP_Frontal_MPDB/DUMMY_MEASUREMENTS/Abdomen_Right/Alph_z_Max/@OEM_Pass_Value" xmlDataType="decimal"/>
    </xmlCellPr>
  </singleXmlCell>
  <singleXmlCell id="2765" xr6:uid="{66ED24BF-C3A6-45CB-99A5-B85C7F104AB5}" r="D312" connectionId="0">
    <xmlCellPr id="1" xr6:uid="{66871BE3-E1A5-415B-8F21-DC1ADCB010AE}" uniqueName="DriverValue">
      <xmlPr mapId="7" xpath="/MAKE/AOP/AOP_Frontal_MPDB/DUMMY_MEASUREMENTS/Abdomen_Right/Alph_z_Min/@DriverValue" xmlDataType="decimal"/>
    </xmlCellPr>
  </singleXmlCell>
  <singleXmlCell id="2767" xr6:uid="{F15BE803-0537-4F50-8BFE-C6EDE021E39B}" r="F312" connectionId="0">
    <xmlCellPr id="1" xr6:uid="{6F28810E-CC7B-43E1-8595-4E4E8538064B}" uniqueName="OEM_Pass_Value">
      <xmlPr mapId="7" xpath="/MAKE/AOP/AOP_Frontal_MPDB/DUMMY_MEASUREMENTS/Abdomen_Right/Alph_z_Min/@OEM_Pass_Value" xmlDataType="decimal"/>
    </xmlCellPr>
  </singleXmlCell>
  <singleXmlCell id="2768" xr6:uid="{9E9CAFE8-8FAE-4CAF-AE1D-689C624FFAD1}" r="D314" connectionId="0">
    <xmlCellPr id="1" xr6:uid="{2BC7242B-0E4C-4660-A969-08AF53ECC83F}" uniqueName="DriverValue">
      <xmlPr mapId="7" xpath="/MAKE/AOP/AOP_Frontal_MPDB/DUMMY_MEASUREMENTS/Pelvis/Ax_Max/@DriverValue" xmlDataType="decimal"/>
    </xmlCellPr>
  </singleXmlCell>
  <singleXmlCell id="2770" xr6:uid="{54049597-D8A5-4AEC-A9B5-ACFF2C66AF14}" r="F314" connectionId="0">
    <xmlCellPr id="1" xr6:uid="{9B7502F6-9953-43EE-AA00-F0FC0475C9F4}" uniqueName="OEM_Pass_Value">
      <xmlPr mapId="7" xpath="/MAKE/AOP/AOP_Frontal_MPDB/DUMMY_MEASUREMENTS/Pelvis/Ax_Max/@OEM_Pass_Value" xmlDataType="decimal"/>
    </xmlCellPr>
  </singleXmlCell>
  <singleXmlCell id="2771" xr6:uid="{79CCDC9B-9197-4052-A1C9-2505B2766E7D}" r="D315" connectionId="0">
    <xmlCellPr id="1" xr6:uid="{7C733B58-4C8B-43C5-9B5F-4707D7041EF8}" uniqueName="DriverValue">
      <xmlPr mapId="7" xpath="/MAKE/AOP/AOP_Frontal_MPDB/DUMMY_MEASUREMENTS/Pelvis/Ax_Min/@DriverValue" xmlDataType="decimal"/>
    </xmlCellPr>
  </singleXmlCell>
  <singleXmlCell id="2773" xr6:uid="{59CD2671-3EA0-42A3-A209-C531CAF0E30F}" r="F315" connectionId="0">
    <xmlCellPr id="1" xr6:uid="{F93EF811-4628-40F1-83E5-0C6F3670C39D}" uniqueName="OEM_Pass_Value">
      <xmlPr mapId="7" xpath="/MAKE/AOP/AOP_Frontal_MPDB/DUMMY_MEASUREMENTS/Pelvis/Ax_Min/@OEM_Pass_Value" xmlDataType="decimal"/>
    </xmlCellPr>
  </singleXmlCell>
  <singleXmlCell id="2774" xr6:uid="{CF550EC1-3602-4888-8817-AAB52FA2146A}" r="D316" connectionId="0">
    <xmlCellPr id="1" xr6:uid="{11B94510-12AD-490D-96D7-FC5D3AE6B4C9}" uniqueName="DriverValue">
      <xmlPr mapId="7" xpath="/MAKE/AOP/AOP_Frontal_MPDB/DUMMY_MEASUREMENTS/Pelvis/Ay_Max/@DriverValue" xmlDataType="decimal"/>
    </xmlCellPr>
  </singleXmlCell>
  <singleXmlCell id="2776" xr6:uid="{87FDA622-814D-4D57-BE4C-500A8AE5441C}" r="F316" connectionId="0">
    <xmlCellPr id="1" xr6:uid="{9E8FA5BA-CCDE-43FE-AECE-4A6EC9C0B0C9}" uniqueName="OEM_Pass_Value">
      <xmlPr mapId="7" xpath="/MAKE/AOP/AOP_Frontal_MPDB/DUMMY_MEASUREMENTS/Pelvis/Ay_Max/@OEM_Pass_Value" xmlDataType="decimal"/>
    </xmlCellPr>
  </singleXmlCell>
  <singleXmlCell id="2777" xr6:uid="{9AE3B8AC-66A1-444E-B8B4-507954685B83}" r="D317" connectionId="0">
    <xmlCellPr id="1" xr6:uid="{104201FB-8577-485B-B398-C0CEBE210A50}" uniqueName="DriverValue">
      <xmlPr mapId="7" xpath="/MAKE/AOP/AOP_Frontal_MPDB/DUMMY_MEASUREMENTS/Pelvis/Ay_Min/@DriverValue" xmlDataType="decimal"/>
    </xmlCellPr>
  </singleXmlCell>
  <singleXmlCell id="2779" xr6:uid="{F12E81E4-F632-42EE-A9A3-D255C47E95E8}" r="F317" connectionId="0">
    <xmlCellPr id="1" xr6:uid="{B701D605-D322-4B1F-B1BA-A4EF825050CF}" uniqueName="OEM_Pass_Value">
      <xmlPr mapId="7" xpath="/MAKE/AOP/AOP_Frontal_MPDB/DUMMY_MEASUREMENTS/Pelvis/Ay_Min/@OEM_Pass_Value" xmlDataType="decimal"/>
    </xmlCellPr>
  </singleXmlCell>
  <singleXmlCell id="2780" xr6:uid="{E2C6EFC3-B074-4FF8-819A-653F1FF21E3F}" r="D318" connectionId="0">
    <xmlCellPr id="1" xr6:uid="{72CB9C06-8851-4969-8952-FBA6BDB25751}" uniqueName="DriverValue">
      <xmlPr mapId="7" xpath="/MAKE/AOP/AOP_Frontal_MPDB/DUMMY_MEASUREMENTS/Pelvis/Az_Max/@DriverValue" xmlDataType="decimal"/>
    </xmlCellPr>
  </singleXmlCell>
  <singleXmlCell id="2782" xr6:uid="{38A98B43-9A2B-4BD0-B647-B7A22AC7EE58}" r="F318" connectionId="0">
    <xmlCellPr id="1" xr6:uid="{8632B1FF-F65B-4849-AB4A-ADED3DEBE665}" uniqueName="OEM_Pass_Value">
      <xmlPr mapId="7" xpath="/MAKE/AOP/AOP_Frontal_MPDB/DUMMY_MEASUREMENTS/Pelvis/Az_Max/@OEM_Pass_Value" xmlDataType="decimal"/>
    </xmlCellPr>
  </singleXmlCell>
  <singleXmlCell id="2783" xr6:uid="{15597BCB-3655-48F6-AC15-7A5388F791C3}" r="D319" connectionId="0">
    <xmlCellPr id="1" xr6:uid="{3F3634E2-BDD2-43D4-8DDD-1259262D082D}" uniqueName="DriverValue">
      <xmlPr mapId="7" xpath="/MAKE/AOP/AOP_Frontal_MPDB/DUMMY_MEASUREMENTS/Pelvis/Az_Min/@DriverValue" xmlDataType="decimal"/>
    </xmlCellPr>
  </singleXmlCell>
  <singleXmlCell id="2785" xr6:uid="{198A868F-8A59-4E31-904F-5762278D17A7}" r="F319" connectionId="0">
    <xmlCellPr id="1" xr6:uid="{17AF5C26-A116-43A4-9880-87880D77349D}" uniqueName="OEM_Pass_Value">
      <xmlPr mapId="7" xpath="/MAKE/AOP/AOP_Frontal_MPDB/DUMMY_MEASUREMENTS/Pelvis/Az_Min/@OEM_Pass_Value" xmlDataType="decimal"/>
    </xmlCellPr>
  </singleXmlCell>
  <singleXmlCell id="2786" xr6:uid="{B4108EC8-B8FC-4016-8328-44CD72C53C4E}" r="D321" connectionId="0">
    <xmlCellPr id="1" xr6:uid="{0E0D7A81-9D4E-438A-88E2-1C2ED2214393}" uniqueName="DriverValue">
      <xmlPr mapId="7" xpath="/MAKE/AOP/AOP_Frontal_MPDB/DUMMY_MEASUREMENTS/Iliac_Left/Fx_Max/@DriverValue" xmlDataType="decimal"/>
    </xmlCellPr>
  </singleXmlCell>
  <singleXmlCell id="2788" xr6:uid="{D143AA68-0A82-4494-83C3-1BC19C147794}" r="F321" connectionId="0">
    <xmlCellPr id="1" xr6:uid="{2A86C1E9-609E-4620-8E5B-F5FE5007610F}" uniqueName="OEM_Pass_Value">
      <xmlPr mapId="7" xpath="/MAKE/AOP/AOP_Frontal_MPDB/DUMMY_MEASUREMENTS/Iliac_Left/Fx_Max/@OEM_Pass_Value" xmlDataType="decimal"/>
    </xmlCellPr>
  </singleXmlCell>
  <singleXmlCell id="2789" xr6:uid="{AF461BCD-7E49-4B75-ADCA-46BE1E04A1BA}" r="D322" connectionId="0">
    <xmlCellPr id="1" xr6:uid="{0D2BE658-22D5-422A-A356-3B740D27E0B6}" uniqueName="DriverValue">
      <xmlPr mapId="7" xpath="/MAKE/AOP/AOP_Frontal_MPDB/DUMMY_MEASUREMENTS/Iliac_Left/Fx_Min/@DriverValue" xmlDataType="decimal"/>
    </xmlCellPr>
  </singleXmlCell>
  <singleXmlCell id="2791" xr6:uid="{C3A9BDA0-10CF-472F-8B54-4DFEE4B856AE}" r="F322" connectionId="0">
    <xmlCellPr id="1" xr6:uid="{F45565EC-1DFC-414D-8D3D-33E319CD3ED0}" uniqueName="OEM_Pass_Value">
      <xmlPr mapId="7" xpath="/MAKE/AOP/AOP_Frontal_MPDB/DUMMY_MEASUREMENTS/Iliac_Left/Fx_Min/@OEM_Pass_Value" xmlDataType="decimal"/>
    </xmlCellPr>
  </singleXmlCell>
  <singleXmlCell id="2792" xr6:uid="{40750C77-3E65-4D64-88A9-ADAFD41B01F4}" r="D323" connectionId="0">
    <xmlCellPr id="1" xr6:uid="{4EA682C6-A793-49A0-B3A8-898E9B939049}" uniqueName="DriverValue">
      <xmlPr mapId="7" xpath="/MAKE/AOP/AOP_Frontal_MPDB/DUMMY_MEASUREMENTS/Iliac_Left/My_Max/@DriverValue" xmlDataType="decimal"/>
    </xmlCellPr>
  </singleXmlCell>
  <singleXmlCell id="2794" xr6:uid="{95B325B6-1984-448B-966E-9EBEBED91196}" r="F323" connectionId="0">
    <xmlCellPr id="1" xr6:uid="{7E451E50-C4C1-4F1D-A628-5C0177CAB71C}" uniqueName="OEM_Pass_Value">
      <xmlPr mapId="7" xpath="/MAKE/AOP/AOP_Frontal_MPDB/DUMMY_MEASUREMENTS/Iliac_Left/My_Max/@OEM_Pass_Value" xmlDataType="decimal"/>
    </xmlCellPr>
  </singleXmlCell>
  <singleXmlCell id="2795" xr6:uid="{0D137E59-E341-48BC-A420-FFB6F3919EB9}" r="D324" connectionId="0">
    <xmlCellPr id="1" xr6:uid="{0D79AE72-B758-41FA-BD5D-924169243A8F}" uniqueName="DriverValue">
      <xmlPr mapId="7" xpath="/MAKE/AOP/AOP_Frontal_MPDB/DUMMY_MEASUREMENTS/Iliac_Left/My_Min/@DriverValue" xmlDataType="decimal"/>
    </xmlCellPr>
  </singleXmlCell>
  <singleXmlCell id="2797" xr6:uid="{36FDF2F7-C5F9-464A-A563-DB3E6585D221}" r="F324" connectionId="0">
    <xmlCellPr id="1" xr6:uid="{9C59355B-5AB8-4ECF-A85A-3EA648BCF51A}" uniqueName="OEM_Pass_Value">
      <xmlPr mapId="7" xpath="/MAKE/AOP/AOP_Frontal_MPDB/DUMMY_MEASUREMENTS/Iliac_Left/My_Min/@OEM_Pass_Value" xmlDataType="decimal"/>
    </xmlCellPr>
  </singleXmlCell>
  <singleXmlCell id="2798" xr6:uid="{8C9C5FCF-1586-4728-A9CE-DD0B55984E71}" r="D326" connectionId="0">
    <xmlCellPr id="1" xr6:uid="{EC0620B5-ADD3-4742-A96C-CC4ED5A487FC}" uniqueName="DriverValue">
      <xmlPr mapId="7" xpath="/MAKE/AOP/AOP_Frontal_MPDB/DUMMY_MEASUREMENTS/Iliac_Right/Fx_Max/@DriverValue" xmlDataType="decimal"/>
    </xmlCellPr>
  </singleXmlCell>
  <singleXmlCell id="2800" xr6:uid="{FA02B89F-9B06-4709-B667-123328A8E051}" r="F326" connectionId="0">
    <xmlCellPr id="1" xr6:uid="{4689EE85-DBDE-4B3D-9E62-6F28781484EF}" uniqueName="OEM_Pass_Value">
      <xmlPr mapId="7" xpath="/MAKE/AOP/AOP_Frontal_MPDB/DUMMY_MEASUREMENTS/Iliac_Right/Fx_Max/@OEM_Pass_Value" xmlDataType="decimal"/>
    </xmlCellPr>
  </singleXmlCell>
  <singleXmlCell id="2801" xr6:uid="{EB5D6280-6D32-4044-8567-A31607801CA8}" r="D327" connectionId="0">
    <xmlCellPr id="1" xr6:uid="{AEF818CC-2770-40E6-951E-18F6CED81D3D}" uniqueName="DriverValue">
      <xmlPr mapId="7" xpath="/MAKE/AOP/AOP_Frontal_MPDB/DUMMY_MEASUREMENTS/Iliac_Right/Fx_Min/@DriverValue" xmlDataType="decimal"/>
    </xmlCellPr>
  </singleXmlCell>
  <singleXmlCell id="2803" xr6:uid="{EEE93088-6DF5-47D5-BD51-4ECC8048EEA2}" r="F327" connectionId="0">
    <xmlCellPr id="1" xr6:uid="{6889DABF-2090-4AFF-A751-118C640CD5B4}" uniqueName="OEM_Pass_Value">
      <xmlPr mapId="7" xpath="/MAKE/AOP/AOP_Frontal_MPDB/DUMMY_MEASUREMENTS/Iliac_Right/Fx_Min/@OEM_Pass_Value" xmlDataType="decimal"/>
    </xmlCellPr>
  </singleXmlCell>
  <singleXmlCell id="2804" xr6:uid="{3BB7A1F7-10F1-453D-8F00-42AD7CDA4659}" r="D328" connectionId="0">
    <xmlCellPr id="1" xr6:uid="{1AEB8077-EF62-4089-8274-0E55EED4190F}" uniqueName="DriverValue">
      <xmlPr mapId="7" xpath="/MAKE/AOP/AOP_Frontal_MPDB/DUMMY_MEASUREMENTS/Iliac_Right/My_Max/@DriverValue" xmlDataType="decimal"/>
    </xmlCellPr>
  </singleXmlCell>
  <singleXmlCell id="2806" xr6:uid="{06244F57-796F-487D-811F-5286157A7D9A}" r="F328" connectionId="0">
    <xmlCellPr id="1" xr6:uid="{00675250-5F18-48B6-A56C-D8E8151F05F3}" uniqueName="OEM_Pass_Value">
      <xmlPr mapId="7" xpath="/MAKE/AOP/AOP_Frontal_MPDB/DUMMY_MEASUREMENTS/Iliac_Right/My_Max/@OEM_Pass_Value" xmlDataType="decimal"/>
    </xmlCellPr>
  </singleXmlCell>
  <singleXmlCell id="2807" xr6:uid="{3DDE8AA6-0B19-4CDD-9979-D076591E25BA}" r="D329" connectionId="0">
    <xmlCellPr id="1" xr6:uid="{BC80847E-44E3-47C1-BB38-D50ACA0D4DC7}" uniqueName="DriverValue">
      <xmlPr mapId="7" xpath="/MAKE/AOP/AOP_Frontal_MPDB/DUMMY_MEASUREMENTS/Iliac_Right/My_Min/@DriverValue" xmlDataType="decimal"/>
    </xmlCellPr>
  </singleXmlCell>
  <singleXmlCell id="2809" xr6:uid="{F6DD829C-8FD6-401F-95FF-2057ADD095C7}" r="F329" connectionId="0">
    <xmlCellPr id="1" xr6:uid="{67539088-20ED-41E2-B4DA-E76F55ECB5B1}" uniqueName="OEM_Pass_Value">
      <xmlPr mapId="7" xpath="/MAKE/AOP/AOP_Frontal_MPDB/DUMMY_MEASUREMENTS/Iliac_Right/My_Min/@OEM_Pass_Value" xmlDataType="decimal"/>
    </xmlCellPr>
  </singleXmlCell>
  <singleXmlCell id="2810" xr6:uid="{FA8028F2-127B-4D24-9B0B-F2954264F3ED}" r="D331" connectionId="0">
    <xmlCellPr id="1" xr6:uid="{DC35D297-A9A7-4A67-9752-74CF6A4D213C}" uniqueName="DriverValue">
      <xmlPr mapId="7" xpath="/MAKE/AOP/AOP_Frontal_MPDB/DUMMY_MEASUREMENTS/Acetabulum_Left/Fx_Max/@DriverValue" xmlDataType="decimal"/>
    </xmlCellPr>
  </singleXmlCell>
  <singleXmlCell id="2812" xr6:uid="{A771F955-17D0-46E1-85AB-8676C2F01186}" r="F331" connectionId="0">
    <xmlCellPr id="1" xr6:uid="{DB59B739-7B1B-4506-AFB2-D77E2FFCA260}" uniqueName="OEM_Pass_Value">
      <xmlPr mapId="7" xpath="/MAKE/AOP/AOP_Frontal_MPDB/DUMMY_MEASUREMENTS/Acetabulum_Left/Fx_Max/@OEM_Pass_Value" xmlDataType="decimal"/>
    </xmlCellPr>
  </singleXmlCell>
  <singleXmlCell id="2813" xr6:uid="{2C2BBED7-79CC-4401-8A5F-BE04B4D096F8}" r="D332" connectionId="0">
    <xmlCellPr id="1" xr6:uid="{A8054982-4F11-4709-A930-931119B17FB2}" uniqueName="DriverValue">
      <xmlPr mapId="7" xpath="/MAKE/AOP/AOP_Frontal_MPDB/DUMMY_MEASUREMENTS/Acetabulum_Left/Fx_Min/@DriverValue" xmlDataType="decimal"/>
    </xmlCellPr>
  </singleXmlCell>
  <singleXmlCell id="2815" xr6:uid="{4AB17791-41A8-4EE3-84FF-F193A88151C0}" r="F332" connectionId="0">
    <xmlCellPr id="1" xr6:uid="{8D361801-E4EB-4BE8-8083-F2D52F47242A}" uniqueName="OEM_Pass_Value">
      <xmlPr mapId="7" xpath="/MAKE/AOP/AOP_Frontal_MPDB/DUMMY_MEASUREMENTS/Acetabulum_Left/Fx_Min/@OEM_Pass_Value" xmlDataType="decimal"/>
    </xmlCellPr>
  </singleXmlCell>
  <singleXmlCell id="2816" xr6:uid="{C6C3876C-93BB-4CCB-9EF5-E13FBE51972A}" r="D333" connectionId="0">
    <xmlCellPr id="1" xr6:uid="{3DAC94DE-D887-4A6D-A6EC-0EF26B8C05C6}" uniqueName="DriverValue">
      <xmlPr mapId="7" xpath="/MAKE/AOP/AOP_Frontal_MPDB/DUMMY_MEASUREMENTS/Acetabulum_Left/Fy_Max/@DriverValue" xmlDataType="decimal"/>
    </xmlCellPr>
  </singleXmlCell>
  <singleXmlCell id="2818" xr6:uid="{F7F224BB-A6CC-4E1A-88F8-5C3C574F6137}" r="F333" connectionId="0">
    <xmlCellPr id="1" xr6:uid="{E18FA3C5-1DE0-4033-87D2-52FF1CB0CA48}" uniqueName="OEM_Pass_Value">
      <xmlPr mapId="7" xpath="/MAKE/AOP/AOP_Frontal_MPDB/DUMMY_MEASUREMENTS/Acetabulum_Left/Fy_Max/@OEM_Pass_Value" xmlDataType="decimal"/>
    </xmlCellPr>
  </singleXmlCell>
  <singleXmlCell id="2819" xr6:uid="{6F57D874-8FD5-43FE-BCF0-DAB39BFD742B}" r="D334" connectionId="0">
    <xmlCellPr id="1" xr6:uid="{20DCD708-8C54-4E9B-8126-A4260E8AA0B9}" uniqueName="DriverValue">
      <xmlPr mapId="7" xpath="/MAKE/AOP/AOP_Frontal_MPDB/DUMMY_MEASUREMENTS/Acetabulum_Left/Fy_Min/@DriverValue" xmlDataType="decimal"/>
    </xmlCellPr>
  </singleXmlCell>
  <singleXmlCell id="2821" xr6:uid="{C338907F-EE3B-4B30-9D24-45F916489037}" r="F334" connectionId="0">
    <xmlCellPr id="1" xr6:uid="{E7280DAD-3775-453A-A329-B51CD9B5BC29}" uniqueName="OEM_Pass_Value">
      <xmlPr mapId="7" xpath="/MAKE/AOP/AOP_Frontal_MPDB/DUMMY_MEASUREMENTS/Acetabulum_Left/Fy_Min/@OEM_Pass_Value" xmlDataType="decimal"/>
    </xmlCellPr>
  </singleXmlCell>
  <singleXmlCell id="2822" xr6:uid="{08440AB1-D99E-4A30-B6CF-15594B855D6C}" r="D335" connectionId="0">
    <xmlCellPr id="1" xr6:uid="{00A5150F-7460-4CF4-B4FF-F663E5D757A4}" uniqueName="DriverValue">
      <xmlPr mapId="7" xpath="/MAKE/AOP/AOP_Frontal_MPDB/DUMMY_MEASUREMENTS/Acetabulum_Left/Fz_Max/@DriverValue" xmlDataType="decimal"/>
    </xmlCellPr>
  </singleXmlCell>
  <singleXmlCell id="2824" xr6:uid="{003DDCB0-8314-487D-A85D-658993D3AC46}" r="F335" connectionId="0">
    <xmlCellPr id="1" xr6:uid="{1EFCE4AD-A90B-43D6-8343-23B04FAAAA04}" uniqueName="OEM_Pass_Value">
      <xmlPr mapId="7" xpath="/MAKE/AOP/AOP_Frontal_MPDB/DUMMY_MEASUREMENTS/Acetabulum_Left/Fz_Max/@OEM_Pass_Value" xmlDataType="decimal"/>
    </xmlCellPr>
  </singleXmlCell>
  <singleXmlCell id="2825" xr6:uid="{2BE481A2-7227-4A17-977F-D0021B222286}" r="D336" connectionId="0">
    <xmlCellPr id="1" xr6:uid="{3E1E3685-08A8-4258-A4A9-F4CC7D44925E}" uniqueName="DriverValue">
      <xmlPr mapId="7" xpath="/MAKE/AOP/AOP_Frontal_MPDB/DUMMY_MEASUREMENTS/Acetabulum_Left/Fz_Min/@DriverValue" xmlDataType="decimal"/>
    </xmlCellPr>
  </singleXmlCell>
  <singleXmlCell id="2827" xr6:uid="{DEF5AB28-B0AA-4D7A-8A90-FE18AAB7EA4D}" r="F336" connectionId="0">
    <xmlCellPr id="1" xr6:uid="{E1F2D21D-968F-48FF-93F4-AF82F88BAE27}" uniqueName="OEM_Pass_Value">
      <xmlPr mapId="7" xpath="/MAKE/AOP/AOP_Frontal_MPDB/DUMMY_MEASUREMENTS/Acetabulum_Left/Fz_Min/@OEM_Pass_Value" xmlDataType="decimal"/>
    </xmlCellPr>
  </singleXmlCell>
  <singleXmlCell id="2828" xr6:uid="{6339EF04-7EDF-40D0-9027-A738198422AF}" r="D338" connectionId="0">
    <xmlCellPr id="1" xr6:uid="{0DC5323D-5DB2-400C-B60E-DFAD6AB59B87}" uniqueName="DriverValue">
      <xmlPr mapId="7" xpath="/MAKE/AOP/AOP_Frontal_MPDB/DUMMY_MEASUREMENTS/Acetabulum_Right/Fx_Max/@DriverValue" xmlDataType="decimal"/>
    </xmlCellPr>
  </singleXmlCell>
  <singleXmlCell id="2830" xr6:uid="{1BB64329-6E8C-4ADE-A55C-6AF6ABDD7E2D}" r="F338" connectionId="0">
    <xmlCellPr id="1" xr6:uid="{12D31131-80A5-424A-AB67-4DC0336B1D9C}" uniqueName="OEM_Pass_Value">
      <xmlPr mapId="7" xpath="/MAKE/AOP/AOP_Frontal_MPDB/DUMMY_MEASUREMENTS/Acetabulum_Right/Fx_Max/@OEM_Pass_Value" xmlDataType="decimal"/>
    </xmlCellPr>
  </singleXmlCell>
  <singleXmlCell id="2831" xr6:uid="{FA69D921-77D6-4650-892E-C720FA3A960F}" r="D339" connectionId="0">
    <xmlCellPr id="1" xr6:uid="{936E18F3-4982-4D47-A3DA-2BA3E8352C7A}" uniqueName="DriverValue">
      <xmlPr mapId="7" xpath="/MAKE/AOP/AOP_Frontal_MPDB/DUMMY_MEASUREMENTS/Acetabulum_Right/Fx_Min/@DriverValue" xmlDataType="decimal"/>
    </xmlCellPr>
  </singleXmlCell>
  <singleXmlCell id="2833" xr6:uid="{6E1360CE-0DDB-46E1-BC96-07E3EB5E4B0E}" r="F339" connectionId="0">
    <xmlCellPr id="1" xr6:uid="{26496D02-B2D2-46AA-AAE0-6266CC73622C}" uniqueName="OEM_Pass_Value">
      <xmlPr mapId="7" xpath="/MAKE/AOP/AOP_Frontal_MPDB/DUMMY_MEASUREMENTS/Acetabulum_Right/Fx_Min/@OEM_Pass_Value" xmlDataType="decimal"/>
    </xmlCellPr>
  </singleXmlCell>
  <singleXmlCell id="2834" xr6:uid="{138F4C83-A739-46D4-B137-11B76C8D1293}" r="D340" connectionId="0">
    <xmlCellPr id="1" xr6:uid="{79E61E99-1392-47BD-9A78-43E440188D96}" uniqueName="DriverValue">
      <xmlPr mapId="7" xpath="/MAKE/AOP/AOP_Frontal_MPDB/DUMMY_MEASUREMENTS/Acetabulum_Right/Fy_Max/@DriverValue" xmlDataType="decimal"/>
    </xmlCellPr>
  </singleXmlCell>
  <singleXmlCell id="2836" xr6:uid="{E52E69EF-46A6-4A55-85AE-9667E963F076}" r="F340" connectionId="0">
    <xmlCellPr id="1" xr6:uid="{1569E230-EC57-4522-BB08-AF77E251BDB5}" uniqueName="OEM_Pass_Value">
      <xmlPr mapId="7" xpath="/MAKE/AOP/AOP_Frontal_MPDB/DUMMY_MEASUREMENTS/Acetabulum_Right/Fy_Max/@OEM_Pass_Value" xmlDataType="decimal"/>
    </xmlCellPr>
  </singleXmlCell>
  <singleXmlCell id="2837" xr6:uid="{CF69FF21-1FD1-480B-9AF6-89FB754CBB83}" r="D341" connectionId="0">
    <xmlCellPr id="1" xr6:uid="{7BC5EDCF-CE63-4C1A-BD0D-7CFE1FD3BC7F}" uniqueName="DriverValue">
      <xmlPr mapId="7" xpath="/MAKE/AOP/AOP_Frontal_MPDB/DUMMY_MEASUREMENTS/Acetabulum_Right/Fy_Min/@DriverValue" xmlDataType="decimal"/>
    </xmlCellPr>
  </singleXmlCell>
  <singleXmlCell id="2839" xr6:uid="{E7DB6CA0-1DE1-4FCC-8729-4DEDC3FDC6C0}" r="F341" connectionId="0">
    <xmlCellPr id="1" xr6:uid="{06D9595B-C704-4CF4-9969-98D4DB462AF0}" uniqueName="OEM_Pass_Value">
      <xmlPr mapId="7" xpath="/MAKE/AOP/AOP_Frontal_MPDB/DUMMY_MEASUREMENTS/Acetabulum_Right/Fy_Min/@OEM_Pass_Value" xmlDataType="decimal"/>
    </xmlCellPr>
  </singleXmlCell>
  <singleXmlCell id="2843" xr6:uid="{52F56E24-528D-4EBD-95F6-DB8BA20B3BAA}" r="D342" connectionId="0">
    <xmlCellPr id="1" xr6:uid="{A8ABAEFE-5BBB-4003-87A5-3AD21AA28AAD}" uniqueName="DriverValue">
      <xmlPr mapId="7" xpath="/MAKE/AOP/AOP_Frontal_MPDB/DUMMY_MEASUREMENTS/Acetabulum_Right/Fz_Max/@DriverValue" xmlDataType="decimal"/>
    </xmlCellPr>
  </singleXmlCell>
  <singleXmlCell id="2845" xr6:uid="{87E2AAFE-4855-4FC1-A53B-DFC2D7B57768}" r="F342" connectionId="0">
    <xmlCellPr id="1" xr6:uid="{6701098A-B1F2-4E5B-91E4-AB5E83EC7A6D}" uniqueName="OEM_Pass_Value">
      <xmlPr mapId="7" xpath="/MAKE/AOP/AOP_Frontal_MPDB/DUMMY_MEASUREMENTS/Acetabulum_Right/Fz_Max/@OEM_Pass_Value" xmlDataType="decimal"/>
    </xmlCellPr>
  </singleXmlCell>
  <singleXmlCell id="2846" xr6:uid="{C33427C4-DE71-4B60-B9D5-1BCA88A780E2}" r="D343" connectionId="0">
    <xmlCellPr id="1" xr6:uid="{5171AA02-C588-433B-AE10-75F51C852DDF}" uniqueName="DriverValue">
      <xmlPr mapId="7" xpath="/MAKE/AOP/AOP_Frontal_MPDB/DUMMY_MEASUREMENTS/Acetabulum_Right/Fz_Min/@DriverValue" xmlDataType="decimal"/>
    </xmlCellPr>
  </singleXmlCell>
  <singleXmlCell id="2848" xr6:uid="{BCF30368-3B99-45E8-84E5-07797B086A69}" r="F343" connectionId="0">
    <xmlCellPr id="1" xr6:uid="{0E4FB7B6-F7AE-4CCC-87A1-0D4678E3B095}" uniqueName="OEM_Pass_Value">
      <xmlPr mapId="7" xpath="/MAKE/AOP/AOP_Frontal_MPDB/DUMMY_MEASUREMENTS/Acetabulum_Right/Fz_Min/@OEM_Pass_Value" xmlDataType="decimal"/>
    </xmlCellPr>
  </singleXmlCell>
  <singleXmlCell id="2849" xr6:uid="{ED63BA52-C5FB-40F8-A2AA-E3BD23E35F6D}" r="D345" connectionId="0">
    <xmlCellPr id="1" xr6:uid="{8B7E63BE-FFA0-476B-950E-BC9A69407F55}" uniqueName="DriverValue">
      <xmlPr mapId="7" xpath="/MAKE/AOP/AOP_Frontal_MPDB/DUMMY_MEASUREMENTS/Femur_left/Fz_Max/@DriverValue" xmlDataType="decimal"/>
    </xmlCellPr>
  </singleXmlCell>
  <singleXmlCell id="2851" xr6:uid="{00A40923-2D9C-4F0D-9CD7-64616585B538}" r="F345" connectionId="0">
    <xmlCellPr id="1" xr6:uid="{DAFD76AC-53CD-4506-91A8-20DC15A12D6A}" uniqueName="OEM_Pass_Value">
      <xmlPr mapId="7" xpath="/MAKE/AOP/AOP_Frontal_MPDB/DUMMY_MEASUREMENTS/Femur_left/Fz_Max/@OEM_Pass_Value" xmlDataType="decimal"/>
    </xmlCellPr>
  </singleXmlCell>
  <singleXmlCell id="2852" xr6:uid="{94488399-E935-48DD-B258-C52B46B9F96B}" r="D346" connectionId="0">
    <xmlCellPr id="1" xr6:uid="{5DD344B6-8DBA-481B-9ED9-10C398D2141E}" uniqueName="DriverValue">
      <xmlPr mapId="7" xpath="/MAKE/AOP/AOP_Frontal_MPDB/DUMMY_MEASUREMENTS/Femur_left/Fz_Min/@DriverValue" xmlDataType="decimal"/>
    </xmlCellPr>
  </singleXmlCell>
  <singleXmlCell id="2854" xr6:uid="{DCFF4BF5-F010-4A36-A060-D640EAE2AF30}" r="F346" connectionId="0">
    <xmlCellPr id="1" xr6:uid="{33D25B56-0B29-4EEC-B2D8-FB15267685EB}" uniqueName="OEM_Pass_Value">
      <xmlPr mapId="7" xpath="/MAKE/AOP/AOP_Frontal_MPDB/DUMMY_MEASUREMENTS/Femur_left/Fz_Min/@OEM_Pass_Value" xmlDataType="decimal"/>
    </xmlCellPr>
  </singleXmlCell>
  <singleXmlCell id="2855" xr6:uid="{3A41B78C-6C2D-44CE-B727-AED147575847}" r="D348" connectionId="0">
    <xmlCellPr id="1" xr6:uid="{1DEF4842-BC43-4C69-939C-D19A058FE144}" uniqueName="DriverValue">
      <xmlPr mapId="7" xpath="/MAKE/AOP/AOP_Frontal_MPDB/DUMMY_MEASUREMENTS/Femur_right/Fz_Max/@DriverValue" xmlDataType="decimal"/>
    </xmlCellPr>
  </singleXmlCell>
  <singleXmlCell id="2857" xr6:uid="{B2385CFC-BD95-4A77-ACFC-21D1FA7C1C73}" r="F348" connectionId="0">
    <xmlCellPr id="1" xr6:uid="{6267CD9E-E730-4310-BA07-F6043A2C128E}" uniqueName="OEM_Pass_Value">
      <xmlPr mapId="7" xpath="/MAKE/AOP/AOP_Frontal_MPDB/DUMMY_MEASUREMENTS/Femur_right/Fz_Max/@OEM_Pass_Value" xmlDataType="decimal"/>
    </xmlCellPr>
  </singleXmlCell>
  <singleXmlCell id="2858" xr6:uid="{A403529C-3DC2-46DF-AD77-5CAFE46476D3}" r="D349" connectionId="0">
    <xmlCellPr id="1" xr6:uid="{23DB5B32-7B9F-4B92-BD9A-07F1146CA7AB}" uniqueName="DriverValue">
      <xmlPr mapId="7" xpath="/MAKE/AOP/AOP_Frontal_MPDB/DUMMY_MEASUREMENTS/Femur_right/Fz_Min/@DriverValue" xmlDataType="decimal"/>
    </xmlCellPr>
  </singleXmlCell>
  <singleXmlCell id="2860" xr6:uid="{504B1F02-B7A4-4E15-AE1A-F0D01C65BE86}" r="F349" connectionId="0">
    <xmlCellPr id="1" xr6:uid="{2BA4B922-5A6E-4411-8E44-99A4B3C65EB2}" uniqueName="OEM_Pass_Value">
      <xmlPr mapId="7" xpath="/MAKE/AOP/AOP_Frontal_MPDB/DUMMY_MEASUREMENTS/Femur_right/Fz_Min/@OEM_Pass_Value" xmlDataType="decimal"/>
    </xmlCellPr>
  </singleXmlCell>
  <singleXmlCell id="2861" xr6:uid="{6771105F-0C90-467A-A054-64A9241D4EA2}" r="D351" connectionId="0">
    <xmlCellPr id="1" xr6:uid="{805DEAF8-2C02-46F6-ACE9-4657A9426FCA}" uniqueName="DriverValue">
      <xmlPr mapId="7" xpath="/MAKE/AOP/AOP_Frontal_MPDB/DUMMY_MEASUREMENTS/Knee_left/Dknee_Max/@DriverValue" xmlDataType="decimal"/>
    </xmlCellPr>
  </singleXmlCell>
  <singleXmlCell id="2863" xr6:uid="{B4DFC782-2B00-4377-9C31-3C3C003E1A60}" r="F351" connectionId="0">
    <xmlCellPr id="1" xr6:uid="{8BC6D630-7F51-4BDB-9C63-6C8337D514F3}" uniqueName="OEM_Pass_Value">
      <xmlPr mapId="7" xpath="/MAKE/AOP/AOP_Frontal_MPDB/DUMMY_MEASUREMENTS/Knee_left/Dknee_Max/@OEM_Pass_Value" xmlDataType="decimal"/>
    </xmlCellPr>
  </singleXmlCell>
  <singleXmlCell id="2864" xr6:uid="{50FF5B77-4A4E-43F3-AC0C-F381338AD036}" r="D352" connectionId="0">
    <xmlCellPr id="1" xr6:uid="{347A853B-199C-4721-AD1B-2734C97F7E75}" uniqueName="DriverValue">
      <xmlPr mapId="7" xpath="/MAKE/AOP/AOP_Frontal_MPDB/DUMMY_MEASUREMENTS/Knee_left/Dknee_Min/@DriverValue" xmlDataType="decimal"/>
    </xmlCellPr>
  </singleXmlCell>
  <singleXmlCell id="2866" xr6:uid="{4109E368-525B-49AF-9D63-288187104BB9}" r="F352" connectionId="0">
    <xmlCellPr id="1" xr6:uid="{7C72683D-3818-44C8-8606-90F5BB71EEC5}" uniqueName="OEM_Pass_Value">
      <xmlPr mapId="7" xpath="/MAKE/AOP/AOP_Frontal_MPDB/DUMMY_MEASUREMENTS/Knee_left/Dknee_Min/@OEM_Pass_Value" xmlDataType="decimal"/>
    </xmlCellPr>
  </singleXmlCell>
  <singleXmlCell id="2867" xr6:uid="{D50567B6-6C74-4198-B21D-341EFAE23AC1}" r="D354" connectionId="0">
    <xmlCellPr id="1" xr6:uid="{4AEF09C9-2385-4BD3-81D7-4FDFFE95E5F1}" uniqueName="DriverValue">
      <xmlPr mapId="7" xpath="/MAKE/AOP/AOP_Frontal_MPDB/DUMMY_MEASUREMENTS/Knee_right/Dknee_Max/@DriverValue" xmlDataType="decimal"/>
    </xmlCellPr>
  </singleXmlCell>
  <singleXmlCell id="2869" xr6:uid="{ED572663-18C6-4A3B-BB8C-11A4D24E79C6}" r="F354" connectionId="0">
    <xmlCellPr id="1" xr6:uid="{85A1A059-2732-4E99-928E-9470243BA553}" uniqueName="OEM_Pass_Value">
      <xmlPr mapId="7" xpath="/MAKE/AOP/AOP_Frontal_MPDB/DUMMY_MEASUREMENTS/Knee_right/Dknee_Max/@OEM_Pass_Value" xmlDataType="decimal"/>
    </xmlCellPr>
  </singleXmlCell>
  <singleXmlCell id="2870" xr6:uid="{EB447EC9-181E-488B-AC24-B8046C2CDF2E}" r="D355" connectionId="0">
    <xmlCellPr id="1" xr6:uid="{A8395DB8-64D0-40C3-B576-C94DBA6E0291}" uniqueName="DriverValue">
      <xmlPr mapId="7" xpath="/MAKE/AOP/AOP_Frontal_MPDB/DUMMY_MEASUREMENTS/Knee_right/Dknee_Min/@DriverValue" xmlDataType="decimal"/>
    </xmlCellPr>
  </singleXmlCell>
  <singleXmlCell id="2872" xr6:uid="{F5767A5B-0E9B-46D0-B90B-918F00F1A6A5}" r="F355" connectionId="0">
    <xmlCellPr id="1" xr6:uid="{1718793E-F70C-4C0F-822E-8856BCA02061}" uniqueName="OEM_Pass_Value">
      <xmlPr mapId="7" xpath="/MAKE/AOP/AOP_Frontal_MPDB/DUMMY_MEASUREMENTS/Knee_right/Dknee_Min/@OEM_Pass_Value" xmlDataType="decimal"/>
    </xmlCellPr>
  </singleXmlCell>
  <singleXmlCell id="2873" xr6:uid="{67541870-23D7-4A92-90F6-B663EB317222}" r="D357" connectionId="0">
    <xmlCellPr id="1" xr6:uid="{9D583024-2CAD-4EFD-A4CD-14D6225D501D}" uniqueName="DriverValue">
      <xmlPr mapId="7" xpath="/MAKE/AOP/AOP_Frontal_MPDB/DUMMY_MEASUREMENTS/Upper_Tibia_left/Fx_Max/@DriverValue" xmlDataType="decimal"/>
    </xmlCellPr>
  </singleXmlCell>
  <singleXmlCell id="2875" xr6:uid="{F1F9DA6F-F41F-42EF-8835-4F10CAAF742A}" r="F357" connectionId="0">
    <xmlCellPr id="1" xr6:uid="{E6CDDCA7-71CE-4EAD-ADB6-560A33F4AB40}" uniqueName="OEM_Pass_Value">
      <xmlPr mapId="7" xpath="/MAKE/AOP/AOP_Frontal_MPDB/DUMMY_MEASUREMENTS/Upper_Tibia_left/Fx_Max/@OEM_Pass_Value" xmlDataType="decimal"/>
    </xmlCellPr>
  </singleXmlCell>
  <singleXmlCell id="2876" xr6:uid="{39629D92-B728-4670-9361-94FD3A1A7DDF}" r="D358" connectionId="0">
    <xmlCellPr id="1" xr6:uid="{135B23C8-62E8-45A2-98EF-2894600C1D67}" uniqueName="DriverValue">
      <xmlPr mapId="7" xpath="/MAKE/AOP/AOP_Frontal_MPDB/DUMMY_MEASUREMENTS/Upper_Tibia_left/Fx_Min/@DriverValue" xmlDataType="decimal"/>
    </xmlCellPr>
  </singleXmlCell>
  <singleXmlCell id="2878" xr6:uid="{417FC145-A5F4-4ECA-B0E3-EF7EC52DDCFC}" r="F358" connectionId="0">
    <xmlCellPr id="1" xr6:uid="{AF413770-110B-4DA1-99F0-E3A22DEF9224}" uniqueName="OEM_Pass_Value">
      <xmlPr mapId="7" xpath="/MAKE/AOP/AOP_Frontal_MPDB/DUMMY_MEASUREMENTS/Upper_Tibia_left/Fx_Min/@OEM_Pass_Value" xmlDataType="decimal"/>
    </xmlCellPr>
  </singleXmlCell>
  <singleXmlCell id="2879" xr6:uid="{2EE6A4AA-973B-4234-A4AD-AF0D1588BFB5}" r="D359" connectionId="0">
    <xmlCellPr id="1" xr6:uid="{8F30B77D-CE07-4AB4-8703-B9A4F355105F}" uniqueName="DriverValue">
      <xmlPr mapId="7" xpath="/MAKE/AOP/AOP_Frontal_MPDB/DUMMY_MEASUREMENTS/Upper_Tibia_left/Fz_Max/@DriverValue" xmlDataType="decimal"/>
    </xmlCellPr>
  </singleXmlCell>
  <singleXmlCell id="2881" xr6:uid="{6867CDA5-E136-4EDE-8F84-FF3211277B8B}" r="F359" connectionId="0">
    <xmlCellPr id="1" xr6:uid="{44F77B90-94C8-4DB6-BBDA-D521D8972469}" uniqueName="OEM_Pass_Value">
      <xmlPr mapId="7" xpath="/MAKE/AOP/AOP_Frontal_MPDB/DUMMY_MEASUREMENTS/Upper_Tibia_left/Fz_Max/@OEM_Pass_Value" xmlDataType="decimal"/>
    </xmlCellPr>
  </singleXmlCell>
  <singleXmlCell id="2882" xr6:uid="{ADB260A0-6008-48FB-A654-2C0C6AFB1E1D}" r="D360" connectionId="0">
    <xmlCellPr id="1" xr6:uid="{D9403513-4A21-48D0-969F-8C615427A632}" uniqueName="DriverValue">
      <xmlPr mapId="7" xpath="/MAKE/AOP/AOP_Frontal_MPDB/DUMMY_MEASUREMENTS/Upper_Tibia_left/Fz_Min/@DriverValue" xmlDataType="decimal"/>
    </xmlCellPr>
  </singleXmlCell>
  <singleXmlCell id="2884" xr6:uid="{DC236559-E941-4277-9E2E-435EFEDDEBEE}" r="F360" connectionId="0">
    <xmlCellPr id="1" xr6:uid="{16DD251A-1D67-414C-A506-05657E13466E}" uniqueName="OEM_Pass_Value">
      <xmlPr mapId="7" xpath="/MAKE/AOP/AOP_Frontal_MPDB/DUMMY_MEASUREMENTS/Upper_Tibia_left/Fz_Min/@OEM_Pass_Value" xmlDataType="decimal"/>
    </xmlCellPr>
  </singleXmlCell>
  <singleXmlCell id="2885" xr6:uid="{D932D6DC-9096-4F18-AE01-3C7988CC6172}" r="D361" connectionId="0">
    <xmlCellPr id="1" xr6:uid="{87100070-59F4-4F45-A482-446E35BB9257}" uniqueName="DriverValue">
      <xmlPr mapId="7" xpath="/MAKE/AOP/AOP_Frontal_MPDB/DUMMY_MEASUREMENTS/Upper_Tibia_left/Mx_Max/@DriverValue" xmlDataType="decimal"/>
    </xmlCellPr>
  </singleXmlCell>
  <singleXmlCell id="2887" xr6:uid="{D48B56F4-CD94-4BC7-B47C-8578001F85B4}" r="F361" connectionId="0">
    <xmlCellPr id="1" xr6:uid="{A8AE238E-9861-4790-BC0B-F34B0096A568}" uniqueName="OEM_Pass_Value">
      <xmlPr mapId="7" xpath="/MAKE/AOP/AOP_Frontal_MPDB/DUMMY_MEASUREMENTS/Upper_Tibia_left/Mx_Max/@OEM_Pass_Value" xmlDataType="decimal"/>
    </xmlCellPr>
  </singleXmlCell>
  <singleXmlCell id="2888" xr6:uid="{A1AD8C7F-A9A6-447D-9A31-DB3BDC4591EA}" r="D362" connectionId="0">
    <xmlCellPr id="1" xr6:uid="{C8FAF85F-5805-4D06-8C54-8A46142650CE}" uniqueName="DriverValue">
      <xmlPr mapId="7" xpath="/MAKE/AOP/AOP_Frontal_MPDB/DUMMY_MEASUREMENTS/Upper_Tibia_left/Mx_Min/@DriverValue" xmlDataType="decimal"/>
    </xmlCellPr>
  </singleXmlCell>
  <singleXmlCell id="2890" xr6:uid="{EEFA3048-017D-4CFB-B569-42D14B8B0301}" r="F362" connectionId="0">
    <xmlCellPr id="1" xr6:uid="{AEDB12F6-1650-438A-B04B-8EF8198EA07B}" uniqueName="OEM_Pass_Value">
      <xmlPr mapId="7" xpath="/MAKE/AOP/AOP_Frontal_MPDB/DUMMY_MEASUREMENTS/Upper_Tibia_left/Mx_Min/@OEM_Pass_Value" xmlDataType="decimal"/>
    </xmlCellPr>
  </singleXmlCell>
  <singleXmlCell id="2891" xr6:uid="{50DDA6E7-BE57-4189-8986-4389BA12A597}" r="D363" connectionId="0">
    <xmlCellPr id="1" xr6:uid="{2CDE4462-AF56-460E-AB7D-0FCD75DB1A28}" uniqueName="DriverValue">
      <xmlPr mapId="7" xpath="/MAKE/AOP/AOP_Frontal_MPDB/DUMMY_MEASUREMENTS/Upper_Tibia_left/My_Max/@DriverValue" xmlDataType="decimal"/>
    </xmlCellPr>
  </singleXmlCell>
  <singleXmlCell id="2893" xr6:uid="{E41B4E1F-A017-4C42-9AF4-86D13B64EDC2}" r="F363" connectionId="0">
    <xmlCellPr id="1" xr6:uid="{DB4A6BAB-FFEC-42D8-AC27-90728F8A2CC7}" uniqueName="OEM_Pass_Value">
      <xmlPr mapId="7" xpath="/MAKE/AOP/AOP_Frontal_MPDB/DUMMY_MEASUREMENTS/Upper_Tibia_left/My_Max/@OEM_Pass_Value" xmlDataType="decimal"/>
    </xmlCellPr>
  </singleXmlCell>
  <singleXmlCell id="2894" xr6:uid="{FDE006CB-0545-4698-9E83-D5F68AC17F06}" r="D364" connectionId="0">
    <xmlCellPr id="1" xr6:uid="{C128786C-72C9-43D0-817F-F383334B157B}" uniqueName="DriverValue">
      <xmlPr mapId="7" xpath="/MAKE/AOP/AOP_Frontal_MPDB/DUMMY_MEASUREMENTS/Upper_Tibia_left/My_Min/@DriverValue" xmlDataType="decimal"/>
    </xmlCellPr>
  </singleXmlCell>
  <singleXmlCell id="2896" xr6:uid="{7325A79E-E434-4CB7-9082-64D1D1182AB2}" r="F364" connectionId="0">
    <xmlCellPr id="1" xr6:uid="{C2393395-0633-496E-BB1D-230FFA330000}" uniqueName="OEM_Pass_Value">
      <xmlPr mapId="7" xpath="/MAKE/AOP/AOP_Frontal_MPDB/DUMMY_MEASUREMENTS/Upper_Tibia_left/My_Min/@OEM_Pass_Value" xmlDataType="decimal"/>
    </xmlCellPr>
  </singleXmlCell>
  <singleXmlCell id="2897" xr6:uid="{D999248E-BD96-4A82-A5F5-C8748BADF6D0}" r="D366" connectionId="0">
    <xmlCellPr id="1" xr6:uid="{23CC3EBF-597F-4542-A3E5-F24F0C2A27AF}" uniqueName="DriverValue">
      <xmlPr mapId="7" xpath="/MAKE/AOP/AOP_Frontal_MPDB/DUMMY_MEASUREMENTS/Upper_Tibia_right/Fx_Max/@DriverValue" xmlDataType="decimal"/>
    </xmlCellPr>
  </singleXmlCell>
  <singleXmlCell id="2899" xr6:uid="{78021353-C910-427A-9823-5441FA4D78AC}" r="F366" connectionId="0">
    <xmlCellPr id="1" xr6:uid="{28AE0B35-5DE9-47D1-AA8E-B045CBC8A010}" uniqueName="OEM_Pass_Value">
      <xmlPr mapId="7" xpath="/MAKE/AOP/AOP_Frontal_MPDB/DUMMY_MEASUREMENTS/Upper_Tibia_right/Fx_Max/@OEM_Pass_Value" xmlDataType="decimal"/>
    </xmlCellPr>
  </singleXmlCell>
  <singleXmlCell id="2900" xr6:uid="{C9FDCFA4-55C1-49FA-9EA5-D2EF8D4099D2}" r="D367" connectionId="0">
    <xmlCellPr id="1" xr6:uid="{D8B13934-9A41-4D71-911C-55F7A225CD30}" uniqueName="DriverValue">
      <xmlPr mapId="7" xpath="/MAKE/AOP/AOP_Frontal_MPDB/DUMMY_MEASUREMENTS/Upper_Tibia_right/Fx_Min/@DriverValue" xmlDataType="decimal"/>
    </xmlCellPr>
  </singleXmlCell>
  <singleXmlCell id="2902" xr6:uid="{2F52127E-23F8-4F5B-93C5-F6335B82BC03}" r="F367" connectionId="0">
    <xmlCellPr id="1" xr6:uid="{554DF8A9-7848-4305-88E8-83DE4E5A2E05}" uniqueName="OEM_Pass_Value">
      <xmlPr mapId="7" xpath="/MAKE/AOP/AOP_Frontal_MPDB/DUMMY_MEASUREMENTS/Upper_Tibia_right/Fx_Min/@OEM_Pass_Value" xmlDataType="decimal"/>
    </xmlCellPr>
  </singleXmlCell>
  <singleXmlCell id="2903" xr6:uid="{740D3982-5CBF-4BD0-A47D-E69F737CB964}" r="D368" connectionId="0">
    <xmlCellPr id="1" xr6:uid="{201B73EA-5086-432E-AD9B-E7FA88B08D09}" uniqueName="DriverValue">
      <xmlPr mapId="7" xpath="/MAKE/AOP/AOP_Frontal_MPDB/DUMMY_MEASUREMENTS/Upper_Tibia_right/Fz_Max/@DriverValue" xmlDataType="decimal"/>
    </xmlCellPr>
  </singleXmlCell>
  <singleXmlCell id="2905" xr6:uid="{9110B36A-50C7-481E-938F-633DAF7CB035}" r="F368" connectionId="0">
    <xmlCellPr id="1" xr6:uid="{81B5897A-D499-46D0-86A4-24FD2A1BE4F8}" uniqueName="OEM_Pass_Value">
      <xmlPr mapId="7" xpath="/MAKE/AOP/AOP_Frontal_MPDB/DUMMY_MEASUREMENTS/Upper_Tibia_right/Fz_Max/@OEM_Pass_Value" xmlDataType="decimal"/>
    </xmlCellPr>
  </singleXmlCell>
  <singleXmlCell id="2906" xr6:uid="{FE0C808F-D5AE-4615-99E0-D60B9B179B98}" r="D369" connectionId="0">
    <xmlCellPr id="1" xr6:uid="{22F699A5-43AF-486F-A48F-E4AAAE30DE57}" uniqueName="DriverValue">
      <xmlPr mapId="7" xpath="/MAKE/AOP/AOP_Frontal_MPDB/DUMMY_MEASUREMENTS/Upper_Tibia_right/Fz_Min/@DriverValue" xmlDataType="decimal"/>
    </xmlCellPr>
  </singleXmlCell>
  <singleXmlCell id="2908" xr6:uid="{BF0CA5F1-A5B8-4374-AEA6-7188F4A7AE96}" r="F369" connectionId="0">
    <xmlCellPr id="1" xr6:uid="{64953D80-D47D-419C-8584-89DD9CF31576}" uniqueName="OEM_Pass_Value">
      <xmlPr mapId="7" xpath="/MAKE/AOP/AOP_Frontal_MPDB/DUMMY_MEASUREMENTS/Upper_Tibia_right/Fz_Min/@OEM_Pass_Value" xmlDataType="decimal"/>
    </xmlCellPr>
  </singleXmlCell>
  <singleXmlCell id="2909" xr6:uid="{E52DC447-B7A5-4D28-9EDF-3C611C4180C6}" r="D370" connectionId="0">
    <xmlCellPr id="1" xr6:uid="{5CC153B7-F044-4042-BDCF-D7761D856C3F}" uniqueName="DriverValue">
      <xmlPr mapId="7" xpath="/MAKE/AOP/AOP_Frontal_MPDB/DUMMY_MEASUREMENTS/Upper_Tibia_right/Mx_Max/@DriverValue" xmlDataType="decimal"/>
    </xmlCellPr>
  </singleXmlCell>
  <singleXmlCell id="2911" xr6:uid="{817C5329-F9E2-49A5-A571-84750B51E180}" r="F370" connectionId="0">
    <xmlCellPr id="1" xr6:uid="{15E9D1B5-155A-4687-8B9B-7D267B51B463}" uniqueName="OEM_Pass_Value">
      <xmlPr mapId="7" xpath="/MAKE/AOP/AOP_Frontal_MPDB/DUMMY_MEASUREMENTS/Upper_Tibia_right/Mx_Max/@OEM_Pass_Value" xmlDataType="decimal"/>
    </xmlCellPr>
  </singleXmlCell>
  <singleXmlCell id="2912" xr6:uid="{FDD85439-6CDB-4380-84CC-169C1104D4EB}" r="D371" connectionId="0">
    <xmlCellPr id="1" xr6:uid="{F2412CDF-22CC-468C-95AF-A79E3D170446}" uniqueName="DriverValue">
      <xmlPr mapId="7" xpath="/MAKE/AOP/AOP_Frontal_MPDB/DUMMY_MEASUREMENTS/Upper_Tibia_right/Mx_Min/@DriverValue" xmlDataType="decimal"/>
    </xmlCellPr>
  </singleXmlCell>
  <singleXmlCell id="2914" xr6:uid="{2955C41D-29E7-4581-B640-76422D1810C6}" r="F371" connectionId="0">
    <xmlCellPr id="1" xr6:uid="{CFAEFB33-58CA-4C74-91BD-805C117CFC3D}" uniqueName="OEM_Pass_Value">
      <xmlPr mapId="7" xpath="/MAKE/AOP/AOP_Frontal_MPDB/DUMMY_MEASUREMENTS/Upper_Tibia_right/Mx_Min/@OEM_Pass_Value" xmlDataType="decimal"/>
    </xmlCellPr>
  </singleXmlCell>
  <singleXmlCell id="2915" xr6:uid="{691D78DE-12AC-4C2B-8EFC-4EF28788BFEF}" r="D372" connectionId="0">
    <xmlCellPr id="1" xr6:uid="{5CD943DE-E8C9-4907-ABE4-DAA50E1B9AE9}" uniqueName="DriverValue">
      <xmlPr mapId="7" xpath="/MAKE/AOP/AOP_Frontal_MPDB/DUMMY_MEASUREMENTS/Upper_Tibia_right/My_Max/@DriverValue" xmlDataType="decimal"/>
    </xmlCellPr>
  </singleXmlCell>
  <singleXmlCell id="2917" xr6:uid="{9AE22DB3-580A-47A6-9C3E-170CB5BB9249}" r="F372" connectionId="0">
    <xmlCellPr id="1" xr6:uid="{568D42AB-51C0-4A36-9BE7-A1B2A5DFEF35}" uniqueName="OEM_Pass_Value">
      <xmlPr mapId="7" xpath="/MAKE/AOP/AOP_Frontal_MPDB/DUMMY_MEASUREMENTS/Upper_Tibia_right/My_Max/@OEM_Pass_Value" xmlDataType="decimal"/>
    </xmlCellPr>
  </singleXmlCell>
  <singleXmlCell id="2918" xr6:uid="{80CE0514-AE0B-4394-B7E8-740BD48313DB}" r="D373" connectionId="0">
    <xmlCellPr id="1" xr6:uid="{3616BE3D-1A42-48FF-A980-CD56598823A9}" uniqueName="DriverValue">
      <xmlPr mapId="7" xpath="/MAKE/AOP/AOP_Frontal_MPDB/DUMMY_MEASUREMENTS/Upper_Tibia_right/My_Min/@DriverValue" xmlDataType="decimal"/>
    </xmlCellPr>
  </singleXmlCell>
  <singleXmlCell id="2920" xr6:uid="{41E994BA-2479-4CE0-83D0-A5DF2CF565AA}" r="F373" connectionId="0">
    <xmlCellPr id="1" xr6:uid="{39C73EAA-BFF3-4F47-96EF-D0C162351430}" uniqueName="OEM_Pass_Value">
      <xmlPr mapId="7" xpath="/MAKE/AOP/AOP_Frontal_MPDB/DUMMY_MEASUREMENTS/Upper_Tibia_right/My_Min/@OEM_Pass_Value" xmlDataType="decimal"/>
    </xmlCellPr>
  </singleXmlCell>
  <singleXmlCell id="2921" xr6:uid="{81A65351-268A-4CD5-A458-7555B620B195}" r="D375" connectionId="0">
    <xmlCellPr id="1" xr6:uid="{48A9BBF9-90FC-4C16-82EF-61875A9A4947}" uniqueName="DriverValue">
      <xmlPr mapId="7" xpath="/MAKE/AOP/AOP_Frontal_MPDB/DUMMY_MEASUREMENTS/Lower_Tibia_left/Fx_Max/@DriverValue" xmlDataType="decimal"/>
    </xmlCellPr>
  </singleXmlCell>
  <singleXmlCell id="2923" xr6:uid="{BCB28057-58D4-4898-ABD3-3799DC97C52D}" r="F375" connectionId="0">
    <xmlCellPr id="1" xr6:uid="{5A814464-53C9-4432-8A0D-53503345BF3A}" uniqueName="OEM_Pass_Value">
      <xmlPr mapId="7" xpath="/MAKE/AOP/AOP_Frontal_MPDB/DUMMY_MEASUREMENTS/Lower_Tibia_left/Fx_Max/@OEM_Pass_Value" xmlDataType="decimal"/>
    </xmlCellPr>
  </singleXmlCell>
  <singleXmlCell id="2924" xr6:uid="{E0E29E58-2B91-411D-A5D6-F1DEDFBBE728}" r="D376" connectionId="0">
    <xmlCellPr id="1" xr6:uid="{2803976D-1AF0-439E-A272-F85F61225144}" uniqueName="DriverValue">
      <xmlPr mapId="7" xpath="/MAKE/AOP/AOP_Frontal_MPDB/DUMMY_MEASUREMENTS/Lower_Tibia_left/Fx_Min/@DriverValue" xmlDataType="decimal"/>
    </xmlCellPr>
  </singleXmlCell>
  <singleXmlCell id="2926" xr6:uid="{24F14AA1-3227-45C0-A161-16A23C295E45}" r="F376" connectionId="0">
    <xmlCellPr id="1" xr6:uid="{5819A774-8DE6-4008-92D8-549F5E3D8662}" uniqueName="OEM_Pass_Value">
      <xmlPr mapId="7" xpath="/MAKE/AOP/AOP_Frontal_MPDB/DUMMY_MEASUREMENTS/Lower_Tibia_left/Fx_Min/@OEM_Pass_Value" xmlDataType="decimal"/>
    </xmlCellPr>
  </singleXmlCell>
  <singleXmlCell id="2927" xr6:uid="{405A7BD2-B9CF-4DCE-8F2A-964C83468A3B}" r="D377" connectionId="0">
    <xmlCellPr id="1" xr6:uid="{97A222A2-8030-467C-B22C-7FD75782D3FA}" uniqueName="DriverValue">
      <xmlPr mapId="7" xpath="/MAKE/AOP/AOP_Frontal_MPDB/DUMMY_MEASUREMENTS/Lower_Tibia_left/Fy_Max/@DriverValue" xmlDataType="decimal"/>
    </xmlCellPr>
  </singleXmlCell>
  <singleXmlCell id="2929" xr6:uid="{FB717884-D459-487B-8794-B1497D97C83F}" r="F377" connectionId="0">
    <xmlCellPr id="1" xr6:uid="{6689F001-40BC-4C7D-BEF0-1E85A53BA9BA}" uniqueName="OEM_Pass_Value">
      <xmlPr mapId="7" xpath="/MAKE/AOP/AOP_Frontal_MPDB/DUMMY_MEASUREMENTS/Lower_Tibia_left/Fy_Max/@OEM_Pass_Value" xmlDataType="decimal"/>
    </xmlCellPr>
  </singleXmlCell>
  <singleXmlCell id="2930" xr6:uid="{3F869C4B-54F2-4D75-99FF-69CC3B57EC83}" r="D378" connectionId="0">
    <xmlCellPr id="1" xr6:uid="{EDB11B6B-ECD3-4D0B-AEE0-265A4FB18B71}" uniqueName="DriverValue">
      <xmlPr mapId="7" xpath="/MAKE/AOP/AOP_Frontal_MPDB/DUMMY_MEASUREMENTS/Lower_Tibia_left/Fy_Min/@DriverValue" xmlDataType="decimal"/>
    </xmlCellPr>
  </singleXmlCell>
  <singleXmlCell id="2932" xr6:uid="{0CA77384-1E30-4CAB-9D22-EFFEA113AC5B}" r="F378" connectionId="0">
    <xmlCellPr id="1" xr6:uid="{459E3F31-49E9-4CE7-8486-B846FBB7F2FE}" uniqueName="OEM_Pass_Value">
      <xmlPr mapId="7" xpath="/MAKE/AOP/AOP_Frontal_MPDB/DUMMY_MEASUREMENTS/Lower_Tibia_left/Fy_Min/@OEM_Pass_Value" xmlDataType="decimal"/>
    </xmlCellPr>
  </singleXmlCell>
  <singleXmlCell id="2933" xr6:uid="{AC62F6D7-3488-4A48-92F9-8B41AE03E977}" r="D379" connectionId="0">
    <xmlCellPr id="1" xr6:uid="{9ED468F2-4794-420C-98A5-8DAA2CE380E7}" uniqueName="DriverValue">
      <xmlPr mapId="7" xpath="/MAKE/AOP/AOP_Frontal_MPDB/DUMMY_MEASUREMENTS/Lower_Tibia_left/Fz_Max/@DriverValue" xmlDataType="decimal"/>
    </xmlCellPr>
  </singleXmlCell>
  <singleXmlCell id="2935" xr6:uid="{7D823F2A-3276-41D7-8A1E-442627711AF3}" r="F379" connectionId="0">
    <xmlCellPr id="1" xr6:uid="{42F9E3C3-8219-4C74-9A3A-BC6AA45D4174}" uniqueName="OEM_Pass_Value">
      <xmlPr mapId="7" xpath="/MAKE/AOP/AOP_Frontal_MPDB/DUMMY_MEASUREMENTS/Lower_Tibia_left/Fz_Max/@OEM_Pass_Value" xmlDataType="decimal"/>
    </xmlCellPr>
  </singleXmlCell>
  <singleXmlCell id="2936" xr6:uid="{FF04DCBB-0916-43C9-B063-62B7BCB27234}" r="D380" connectionId="0">
    <xmlCellPr id="1" xr6:uid="{16F9D460-705F-40F2-91C9-872D41C815C3}" uniqueName="DriverValue">
      <xmlPr mapId="7" xpath="/MAKE/AOP/AOP_Frontal_MPDB/DUMMY_MEASUREMENTS/Lower_Tibia_left/Fz_Min/@DriverValue" xmlDataType="decimal"/>
    </xmlCellPr>
  </singleXmlCell>
  <singleXmlCell id="2938" xr6:uid="{5A0DAC1A-8C80-4690-9E3B-4B8985974ABB}" r="F380" connectionId="0">
    <xmlCellPr id="1" xr6:uid="{81D161AD-534E-4E1D-9B08-9FDA2E7540A3}" uniqueName="OEM_Pass_Value">
      <xmlPr mapId="7" xpath="/MAKE/AOP/AOP_Frontal_MPDB/DUMMY_MEASUREMENTS/Lower_Tibia_left/Fz_Min/@OEM_Pass_Value" xmlDataType="decimal"/>
    </xmlCellPr>
  </singleXmlCell>
  <singleXmlCell id="2939" xr6:uid="{ECB20568-DB92-49BE-9979-730ABF554D78}" r="D381" connectionId="0">
    <xmlCellPr id="1" xr6:uid="{4C14DABE-D338-44C4-A5B9-4D0E757C4AC1}" uniqueName="DriverValue">
      <xmlPr mapId="7" xpath="/MAKE/AOP/AOP_Frontal_MPDB/DUMMY_MEASUREMENTS/Lower_Tibia_left/Mx_Max/@DriverValue" xmlDataType="decimal"/>
    </xmlCellPr>
  </singleXmlCell>
  <singleXmlCell id="2941" xr6:uid="{D07C5D6D-C2B2-4F09-B15D-39B405D7DAD6}" r="F381" connectionId="0">
    <xmlCellPr id="1" xr6:uid="{6FD4D02B-557F-4502-9A06-543E0EDA4332}" uniqueName="OEM_Pass_Value">
      <xmlPr mapId="7" xpath="/MAKE/AOP/AOP_Frontal_MPDB/DUMMY_MEASUREMENTS/Lower_Tibia_left/Mx_Max/@OEM_Pass_Value" xmlDataType="decimal"/>
    </xmlCellPr>
  </singleXmlCell>
  <singleXmlCell id="2942" xr6:uid="{12B581F1-D8CD-4224-8D68-ACEFBEC42B0A}" r="D382" connectionId="0">
    <xmlCellPr id="1" xr6:uid="{EBB35A74-D878-4A6C-846F-CE2335CC43D1}" uniqueName="DriverValue">
      <xmlPr mapId="7" xpath="/MAKE/AOP/AOP_Frontal_MPDB/DUMMY_MEASUREMENTS/Lower_Tibia_left/Mx_Min/@DriverValue" xmlDataType="decimal"/>
    </xmlCellPr>
  </singleXmlCell>
  <singleXmlCell id="2944" xr6:uid="{0918E894-3936-478A-8645-30087EF647BA}" r="F382" connectionId="0">
    <xmlCellPr id="1" xr6:uid="{40CC9DC8-F822-4998-99C6-4A1E78E53DE3}" uniqueName="OEM_Pass_Value">
      <xmlPr mapId="7" xpath="/MAKE/AOP/AOP_Frontal_MPDB/DUMMY_MEASUREMENTS/Lower_Tibia_left/Mx_Min/@OEM_Pass_Value" xmlDataType="decimal"/>
    </xmlCellPr>
  </singleXmlCell>
  <singleXmlCell id="2945" xr6:uid="{CE7ACE95-1387-44AB-B448-0CF5E1C5174B}" r="D383" connectionId="0">
    <xmlCellPr id="1" xr6:uid="{3D35D3C3-AE8A-49B9-A138-6CBA08FC0E98}" uniqueName="DriverValue">
      <xmlPr mapId="7" xpath="/MAKE/AOP/AOP_Frontal_MPDB/DUMMY_MEASUREMENTS/Lower_Tibia_left/My_Max/@DriverValue" xmlDataType="decimal"/>
    </xmlCellPr>
  </singleXmlCell>
  <singleXmlCell id="2947" xr6:uid="{61D43897-7F20-4347-9112-179343DCA677}" r="F383" connectionId="0">
    <xmlCellPr id="1" xr6:uid="{DD4BE7F2-D949-4D12-8289-F90BD9174B74}" uniqueName="OEM_Pass_Value">
      <xmlPr mapId="7" xpath="/MAKE/AOP/AOP_Frontal_MPDB/DUMMY_MEASUREMENTS/Lower_Tibia_left/My_Max/@OEM_Pass_Value" xmlDataType="decimal"/>
    </xmlCellPr>
  </singleXmlCell>
  <singleXmlCell id="2948" xr6:uid="{FE071FF4-CC31-4F3E-8A61-0F9706978FFB}" r="D384" connectionId="0">
    <xmlCellPr id="1" xr6:uid="{B92464DD-D46D-4DA5-B4F0-7BA3ECEBE32B}" uniqueName="DriverValue">
      <xmlPr mapId="7" xpath="/MAKE/AOP/AOP_Frontal_MPDB/DUMMY_MEASUREMENTS/Lower_Tibia_left/My_Min/@DriverValue" xmlDataType="decimal"/>
    </xmlCellPr>
  </singleXmlCell>
  <singleXmlCell id="2950" xr6:uid="{B0A5AB57-0A98-4FBE-8A15-A02C77596A87}" r="F384" connectionId="0">
    <xmlCellPr id="1" xr6:uid="{D175EF97-8663-4FE4-AC87-726BD39F1860}" uniqueName="OEM_Pass_Value">
      <xmlPr mapId="7" xpath="/MAKE/AOP/AOP_Frontal_MPDB/DUMMY_MEASUREMENTS/Lower_Tibia_left/My_Min/@OEM_Pass_Value" xmlDataType="decimal"/>
    </xmlCellPr>
  </singleXmlCell>
  <singleXmlCell id="2951" xr6:uid="{34BCDF3B-7CB6-4871-941A-B7E6E31179D0}" r="D386" connectionId="0">
    <xmlCellPr id="1" xr6:uid="{D50605D8-97DD-44AC-9EBA-4DCB21C0BC0E}" uniqueName="DriverValue">
      <xmlPr mapId="7" xpath="/MAKE/AOP/AOP_Frontal_MPDB/DUMMY_MEASUREMENTS/Lower_Tibia_right/Fx_Max/@DriverValue" xmlDataType="decimal"/>
    </xmlCellPr>
  </singleXmlCell>
  <singleXmlCell id="2953" xr6:uid="{75AAD872-4A80-41C6-B3DD-E279CE6CDCC9}" r="F386" connectionId="0">
    <xmlCellPr id="1" xr6:uid="{8C097EE9-A535-4737-8B5B-999902E3E2E5}" uniqueName="OEM_Pass_Value">
      <xmlPr mapId="7" xpath="/MAKE/AOP/AOP_Frontal_MPDB/DUMMY_MEASUREMENTS/Lower_Tibia_right/Fx_Max/@OEM_Pass_Value" xmlDataType="decimal"/>
    </xmlCellPr>
  </singleXmlCell>
  <singleXmlCell id="2954" xr6:uid="{A179B23F-49BE-4BA2-A1AC-4703DAA4A591}" r="D387" connectionId="0">
    <xmlCellPr id="1" xr6:uid="{939C79D8-B0EB-4D22-ABA8-9B0464CB906E}" uniqueName="DriverValue">
      <xmlPr mapId="7" xpath="/MAKE/AOP/AOP_Frontal_MPDB/DUMMY_MEASUREMENTS/Lower_Tibia_right/Fx_Min/@DriverValue" xmlDataType="decimal"/>
    </xmlCellPr>
  </singleXmlCell>
  <singleXmlCell id="2956" xr6:uid="{28E49B4C-5E44-490D-AC73-8C4D164090C5}" r="F387" connectionId="0">
    <xmlCellPr id="1" xr6:uid="{06DA4448-D69C-4EDE-8BF9-9FBE1E680AD4}" uniqueName="OEM_Pass_Value">
      <xmlPr mapId="7" xpath="/MAKE/AOP/AOP_Frontal_MPDB/DUMMY_MEASUREMENTS/Lower_Tibia_right/Fx_Min/@OEM_Pass_Value" xmlDataType="decimal"/>
    </xmlCellPr>
  </singleXmlCell>
  <singleXmlCell id="2957" xr6:uid="{16DD075B-D23F-44D3-8D58-44637B5D8399}" r="D388" connectionId="0">
    <xmlCellPr id="1" xr6:uid="{DEFDB656-B565-4BCE-875A-FA13CCFFA8A1}" uniqueName="DriverValue">
      <xmlPr mapId="7" xpath="/MAKE/AOP/AOP_Frontal_MPDB/DUMMY_MEASUREMENTS/Lower_Tibia_right/Fy_Max/@DriverValue" xmlDataType="decimal"/>
    </xmlCellPr>
  </singleXmlCell>
  <singleXmlCell id="2959" xr6:uid="{27F80940-7A1A-4999-81F6-DCF12FBEFCD3}" r="F388" connectionId="0">
    <xmlCellPr id="1" xr6:uid="{7B20FF3F-C42A-41CF-93B5-F42DC6641964}" uniqueName="OEM_Pass_Value">
      <xmlPr mapId="7" xpath="/MAKE/AOP/AOP_Frontal_MPDB/DUMMY_MEASUREMENTS/Lower_Tibia_right/Fy_Max/@OEM_Pass_Value" xmlDataType="decimal"/>
    </xmlCellPr>
  </singleXmlCell>
  <singleXmlCell id="2960" xr6:uid="{DE78EA0D-A747-4D92-B018-6A1B55E24043}" r="D389" connectionId="0">
    <xmlCellPr id="1" xr6:uid="{32EB7CC1-AC86-4950-A28B-B7521B2E28A0}" uniqueName="DriverValue">
      <xmlPr mapId="7" xpath="/MAKE/AOP/AOP_Frontal_MPDB/DUMMY_MEASUREMENTS/Lower_Tibia_right/Fy_Min/@DriverValue" xmlDataType="decimal"/>
    </xmlCellPr>
  </singleXmlCell>
  <singleXmlCell id="2962" xr6:uid="{750AB5EB-0694-4B8A-B848-AAA3C9B67EBA}" r="F389" connectionId="0">
    <xmlCellPr id="1" xr6:uid="{E8F70E97-541C-40DC-9212-6E692A1C9D01}" uniqueName="OEM_Pass_Value">
      <xmlPr mapId="7" xpath="/MAKE/AOP/AOP_Frontal_MPDB/DUMMY_MEASUREMENTS/Lower_Tibia_right/Fy_Min/@OEM_Pass_Value" xmlDataType="decimal"/>
    </xmlCellPr>
  </singleXmlCell>
  <singleXmlCell id="2963" xr6:uid="{D71C9E14-47F1-4CF4-9B44-0DA7838F52AD}" r="D390" connectionId="0">
    <xmlCellPr id="1" xr6:uid="{33D35E31-1F1A-46FD-84DB-00A436E6726F}" uniqueName="DriverValue">
      <xmlPr mapId="7" xpath="/MAKE/AOP/AOP_Frontal_MPDB/DUMMY_MEASUREMENTS/Lower_Tibia_right/Fz_Max/@DriverValue" xmlDataType="decimal"/>
    </xmlCellPr>
  </singleXmlCell>
  <singleXmlCell id="2965" xr6:uid="{53B13664-BD38-4600-A609-3B982D003D16}" r="F390" connectionId="0">
    <xmlCellPr id="1" xr6:uid="{967C4688-B93A-448E-9E42-A1C437B15006}" uniqueName="OEM_Pass_Value">
      <xmlPr mapId="7" xpath="/MAKE/AOP/AOP_Frontal_MPDB/DUMMY_MEASUREMENTS/Lower_Tibia_right/Fz_Max/@OEM_Pass_Value" xmlDataType="decimal"/>
    </xmlCellPr>
  </singleXmlCell>
  <singleXmlCell id="2966" xr6:uid="{B8C810A9-6D15-44B4-B75A-CD278D1E9382}" r="D391" connectionId="0">
    <xmlCellPr id="1" xr6:uid="{399DAC13-EE69-4900-9F40-79FDFC2ED710}" uniqueName="DriverValue">
      <xmlPr mapId="7" xpath="/MAKE/AOP/AOP_Frontal_MPDB/DUMMY_MEASUREMENTS/Lower_Tibia_right/Fz_Min/@DriverValue" xmlDataType="decimal"/>
    </xmlCellPr>
  </singleXmlCell>
  <singleXmlCell id="2968" xr6:uid="{F8FD089B-BFDE-4B00-8199-FA7AC71C4059}" r="F391" connectionId="0">
    <xmlCellPr id="1" xr6:uid="{48A992DE-B859-4558-9749-66F0505D815A}" uniqueName="OEM_Pass_Value">
      <xmlPr mapId="7" xpath="/MAKE/AOP/AOP_Frontal_MPDB/DUMMY_MEASUREMENTS/Lower_Tibia_right/Fz_Min/@OEM_Pass_Value" xmlDataType="decimal"/>
    </xmlCellPr>
  </singleXmlCell>
  <singleXmlCell id="2969" xr6:uid="{4C6D9F1E-5937-481C-A1F0-CDEEFD1A362B}" r="D392" connectionId="0">
    <xmlCellPr id="1" xr6:uid="{EF525667-EAAE-4DDF-B21A-03906CC4E2A2}" uniqueName="DriverValue">
      <xmlPr mapId="7" xpath="/MAKE/AOP/AOP_Frontal_MPDB/DUMMY_MEASUREMENTS/Lower_Tibia_right/Mx_Max/@DriverValue" xmlDataType="decimal"/>
    </xmlCellPr>
  </singleXmlCell>
  <singleXmlCell id="2971" xr6:uid="{9A1A9EFC-09BB-41DC-BF70-BF2978D46F79}" r="F392" connectionId="0">
    <xmlCellPr id="1" xr6:uid="{2AF42B18-CEE3-4765-B575-6349ADB7E191}" uniqueName="OEM_Pass_Value">
      <xmlPr mapId="7" xpath="/MAKE/AOP/AOP_Frontal_MPDB/DUMMY_MEASUREMENTS/Lower_Tibia_right/Mx_Max/@OEM_Pass_Value" xmlDataType="decimal"/>
    </xmlCellPr>
  </singleXmlCell>
  <singleXmlCell id="2972" xr6:uid="{E8DBC9EA-00ED-44BF-A573-C42812F84737}" r="D393" connectionId="0">
    <xmlCellPr id="1" xr6:uid="{C2C5C36A-54DD-4B02-85B6-47E9BD5B3F74}" uniqueName="DriverValue">
      <xmlPr mapId="7" xpath="/MAKE/AOP/AOP_Frontal_MPDB/DUMMY_MEASUREMENTS/Lower_Tibia_right/Mx_Min/@DriverValue" xmlDataType="decimal"/>
    </xmlCellPr>
  </singleXmlCell>
  <singleXmlCell id="2974" xr6:uid="{3A82EA8E-B995-405B-A38F-99AF203AFEF1}" r="F393" connectionId="0">
    <xmlCellPr id="1" xr6:uid="{1B3D76EB-87F5-4A1A-96C9-A0E1ECD91996}" uniqueName="OEM_Pass_Value">
      <xmlPr mapId="7" xpath="/MAKE/AOP/AOP_Frontal_MPDB/DUMMY_MEASUREMENTS/Lower_Tibia_right/Mx_Min/@OEM_Pass_Value" xmlDataType="decimal"/>
    </xmlCellPr>
  </singleXmlCell>
  <singleXmlCell id="2975" xr6:uid="{77446F94-A09F-4180-BA23-5F26E0485D35}" r="D394" connectionId="0">
    <xmlCellPr id="1" xr6:uid="{D7C9BAE7-E2CA-4ED0-BDAC-CF4C9F201194}" uniqueName="DriverValue">
      <xmlPr mapId="7" xpath="/MAKE/AOP/AOP_Frontal_MPDB/DUMMY_MEASUREMENTS/Lower_Tibia_right/My_Max/@DriverValue" xmlDataType="decimal"/>
    </xmlCellPr>
  </singleXmlCell>
  <singleXmlCell id="2977" xr6:uid="{94918ED8-4AC0-4DC7-A270-FA1E78D8218C}" r="F394" connectionId="0">
    <xmlCellPr id="1" xr6:uid="{953F6493-EC07-41B0-940B-BC49E0C312AC}" uniqueName="OEM_Pass_Value">
      <xmlPr mapId="7" xpath="/MAKE/AOP/AOP_Frontal_MPDB/DUMMY_MEASUREMENTS/Lower_Tibia_right/My_Max/@OEM_Pass_Value" xmlDataType="decimal"/>
    </xmlCellPr>
  </singleXmlCell>
  <singleXmlCell id="2978" xr6:uid="{C105B53A-ECB7-4A6D-B3A3-BCC095914F1E}" r="D395" connectionId="0">
    <xmlCellPr id="1" xr6:uid="{4918678D-F39B-4165-8E8B-4E19F75C2AAC}" uniqueName="DriverValue">
      <xmlPr mapId="7" xpath="/MAKE/AOP/AOP_Frontal_MPDB/DUMMY_MEASUREMENTS/Lower_Tibia_right/My_Min/@DriverValue" xmlDataType="decimal"/>
    </xmlCellPr>
  </singleXmlCell>
  <singleXmlCell id="2980" xr6:uid="{019A3E6E-C7CE-4F26-AB4A-05F3053DC8A7}" r="F395" connectionId="0">
    <xmlCellPr id="1" xr6:uid="{3CD81C77-8916-40A3-8FC1-FEF2F6305D26}" uniqueName="OEM_Pass_Value">
      <xmlPr mapId="7" xpath="/MAKE/AOP/AOP_Frontal_MPDB/DUMMY_MEASUREMENTS/Lower_Tibia_right/My_Min/@OEM_Pass_Value" xmlDataType="decimal"/>
    </xmlCellPr>
  </singleXmlCell>
  <singleXmlCell id="2981" xr6:uid="{D9D7B7D7-68F7-4789-91A9-287025F8CFD9}" r="D399" connectionId="0">
    <xmlCellPr id="1" xr6:uid="{1786868C-E6EB-468D-A113-6EBC7F145180}" uniqueName="VIN_number">
      <xmlPr mapId="7" xpath="/MAKE/AOP/AOP_Frontal_MPDB/TEST_DETAILS/Vehicle/VIN_number" xmlDataType="string"/>
    </xmlCellPr>
  </singleXmlCell>
  <singleXmlCell id="2982" xr6:uid="{766CD3C6-971D-46EE-ACAC-B856F6368A37}" r="D400" connectionId="0">
    <xmlCellPr id="1" xr6:uid="{59610863-D2CD-4F8F-B631-F021909BF5E9}" uniqueName="Test_weight_kg">
      <xmlPr mapId="7" xpath="/MAKE/AOP/AOP_Frontal_MPDB/TEST_DETAILS/Vehicle/Test_weight_kg" xmlDataType="decimal"/>
    </xmlCellPr>
  </singleXmlCell>
  <singleXmlCell id="2983" xr6:uid="{FCB53A72-FE21-48D8-8782-5BFC7B1F55EB}" r="D402" connectionId="0">
    <xmlCellPr id="1" xr6:uid="{0D9FB7C5-69FE-4393-8830-29F5FA3CE43C}" uniqueName="Impact_speed_kmh">
      <xmlPr mapId="7" xpath="/MAKE/AOP/AOP_Frontal_MPDB/TEST_DETAILS/Test/Impact_speed_kmh" xmlDataType="decimal"/>
    </xmlCellPr>
  </singleXmlCell>
  <singleXmlCell id="2984" xr6:uid="{99B15286-55AF-40D9-9B36-7C6618867083}" r="D404" connectionId="0">
    <xmlCellPr id="1" xr6:uid="{E03EF1C6-89E8-4359-A159-9DBE858DC88A}" uniqueName="Vertical">
      <xmlPr mapId="7" xpath="/MAKE/AOP/AOP_Frontal_MPDB/TEST_DETAILS/Test/Vertical" xmlDataType="decimal"/>
    </xmlCellPr>
  </singleXmlCell>
  <singleXmlCell id="2985" xr6:uid="{7E6C85B6-FD03-41A9-A132-FF0BF7DEEAC3}" r="D405" connectionId="0">
    <xmlCellPr id="1" xr6:uid="{95AFE2C0-AFAF-4181-8D6E-A81D6D522FB3}" uniqueName="Horizontal">
      <xmlPr mapId="7" xpath="/MAKE/AOP/AOP_Frontal_MPDB/TEST_DETAILS/Test/Horizontal" xmlDataType="decimal"/>
    </xmlCellPr>
  </singleXmlCell>
  <singleXmlCell id="2068" xr6:uid="{376B10DF-2681-4B9C-B09E-1DF776B633FF}" r="D105" connectionId="0">
    <xmlCellPr id="1" xr6:uid="{E20614A7-95BA-48E9-9CFF-7DD4D90B9E71}" uniqueName="Footwell_Rupture">
      <xmlPr mapId="7" xpath="/MAKE/AOP/AOP_Frontal_MPDB/Lower_Leg_Foot_and_Ankle_assessment/Foot_and_Ankle_assessment/Footwell_Rupture" xmlDataType="decimal"/>
    </xmlCellPr>
  </singleXmlCell>
  <singleXmlCell id="2079" xr6:uid="{FF2F2F4D-BE62-4F3A-A0BF-3411B4E6121C}" r="D43" connectionId="0">
    <xmlCellPr id="1" xr6:uid="{2D411F02-BA03-4586-A14F-D42A0478F7D9}" uniqueName="DriverValue">
      <xmlPr mapId="7" xpath="/MAKE/AOP/AOP_Frontal_MPDB/Chest_and_Abdomen_assessment/Chest_assessment/Dr_Chest_D_TIC/@DriverValue" xmlDataType="decimal"/>
    </xmlCellPr>
  </singleXmlCell>
  <singleXmlCell id="2116" xr6:uid="{9261461B-9E65-4158-8F29-8AAD5F9549AE}" r="D10" connectionId="0">
    <xmlCellPr id="1" xr6:uid="{A17E80AB-E244-42D6-831F-DAA44E07221F}" uniqueName="DriverValue">
      <xmlPr mapId="7" xpath="/MAKE/AOP/AOP_Frontal_MPDB/Head_and_Neck_assessment/Head_assessment/DAMAGE/@DriverValue" xmlDataType="decimal"/>
    </xmlCellPr>
  </singleXmlCell>
  <singleXmlCell id="2117" xr6:uid="{039AD6A2-4238-4C5B-9C0C-C0BD1298718A}" r="E10" connectionId="0">
    <xmlCellPr id="1" xr6:uid="{87CB68E9-9BBD-42C8-B698-97E6BE7490B2}" uniqueName="DriverPoints">
      <xmlPr mapId="7" xpath="/MAKE/AOP/AOP_Frontal_MPDB/Head_and_Neck_assessment/Head_assessment/DAMAGE/@DriverPoints" xmlDataType="decimal"/>
    </xmlCellPr>
  </singleXmlCell>
  <singleXmlCell id="2119" xr6:uid="{C8D49BBC-2320-4387-95B6-03518B6A761D}" r="D14" connectionId="0">
    <xmlCellPr id="1" xr6:uid="{4ADA2D39-1797-451C-88E2-4FAF58B3F6E1}" uniqueName="DriverValue">
      <xmlPr mapId="7" xpath="/MAKE/AOP/AOP_Frontal_MPDB/Head_and_Neck_assessment/Head_assessment/UBriC/@DriverValue" xmlDataType="decimal"/>
    </xmlCellPr>
  </singleXmlCell>
  <singleXmlCell id="2124" xr6:uid="{F38E4E1C-6EE2-4B10-9580-9C157344B9AC}" r="D15" connectionId="0">
    <xmlCellPr id="1" xr6:uid="{F5407C21-3892-4965-A66B-19349F6D98B5}" uniqueName="DriverValue">
      <xmlPr mapId="7" xpath="/MAKE/AOP/AOP_Frontal_MPDB/Head_and_Neck_assessment/Head_assessment/HAIC/@DriverValue" xmlDataType="decimal"/>
    </xmlCellPr>
  </singleXmlCell>
  <singleXmlCell id="2125" xr6:uid="{448E59DE-A3DB-4FC1-ADF5-9B578489538C}" r="D16" connectionId="0">
    <xmlCellPr id="1" xr6:uid="{902E48D5-0C31-48EF-9BA1-7910F346EEC1}" uniqueName="DriverValue">
      <xmlPr mapId="7" xpath="/MAKE/AOP/AOP_Frontal_MPDB/Head_and_Neck_assessment/Head_assessment/KTH/@DriverValue" xmlDataType="decimal"/>
    </xmlCellPr>
  </singleXmlCell>
  <singleXmlCell id="2127" xr6:uid="{5F620197-E121-4464-A212-CB1FEA91F2F8}" r="D37" connectionId="0">
    <xmlCellPr id="1" xr6:uid="{2841E68D-E1B1-4E6B-AE13-D7B8AAD11F36}" uniqueName="Upper_Left">
      <xmlPr mapId="7" xpath="/MAKE/AOP/AOP_Frontal_MPDB/Chest_and_Abdomen_assessment/Chest_assessment/Dr_Compression/Upper_Left" xmlDataType="decimal"/>
    </xmlCellPr>
  </singleXmlCell>
  <singleXmlCell id="2141" xr6:uid="{CA6F2448-EFB5-4CD0-8577-154083730D0D}" r="D38" connectionId="0">
    <xmlCellPr id="1" xr6:uid="{2C2BE38E-40DA-4D96-88F9-22133C9B6F0F}" uniqueName="Upper_Right">
      <xmlPr mapId="7" xpath="/MAKE/AOP/AOP_Frontal_MPDB/Chest_and_Abdomen_assessment/Chest_assessment/Dr_Compression/Upper_Right" xmlDataType="decimal"/>
    </xmlCellPr>
  </singleXmlCell>
  <singleXmlCell id="2142" xr6:uid="{45B52FA7-542C-4691-AA4D-4E01C7EE224B}" r="D39" connectionId="0">
    <xmlCellPr id="1" xr6:uid="{B13C13CA-1C13-4F3D-9AF8-0B85757FAA61}" uniqueName="Lower_Left">
      <xmlPr mapId="7" xpath="/MAKE/AOP/AOP_Frontal_MPDB/Chest_and_Abdomen_assessment/Chest_assessment/Dr_Compression/Lower_Left" xmlDataType="decimal"/>
    </xmlCellPr>
  </singleXmlCell>
  <singleXmlCell id="2145" xr6:uid="{872CA042-195A-4FA4-A472-F4B9F7EAC117}" r="D40" connectionId="0">
    <xmlCellPr id="1" xr6:uid="{E4054B96-1482-4035-BAE1-B638A75C3101}" uniqueName="Lower_Right">
      <xmlPr mapId="7" xpath="/MAKE/AOP/AOP_Frontal_MPDB/Chest_and_Abdomen_assessment/Chest_assessment/Dr_Compression/Lower_Right" xmlDataType="decimal"/>
    </xmlCellPr>
  </singleXmlCell>
  <singleXmlCell id="5062" xr6:uid="{ADBA7748-F648-4CEA-A3A3-0D5EBBC0554A}" r="D95" connectionId="0">
    <xmlCellPr id="1" xr6:uid="{6B35C228-9CE5-46D2-81B5-45117933F9D2}" uniqueName="Brake_Vertical_displacement">
      <xmlPr mapId="7" xpath="/MAKE/AOP/AOP_Frontal_MPDB/Lower_Leg_Foot_and_Ankle_assessment/Right_Lower_Leg_assessment/Maximum_pedal_vertical_displacement/Brake_Vertical_displacement" xmlDataType="decimal"/>
    </xmlCellPr>
  </singleXmlCell>
  <singleXmlCell id="5072" xr6:uid="{1837499A-1A6D-4F56-A219-5214ACCA4C40}" r="D96" connectionId="0">
    <xmlCellPr id="1" xr6:uid="{BB71EC52-B829-4DD9-98A6-CBDAB9BE6313}" uniqueName="Clutch_Vertical_displacement">
      <xmlPr mapId="7" xpath="/MAKE/AOP/AOP_Frontal_MPDB/Lower_Leg_Foot_and_Ankle_assessment/Right_Lower_Leg_assessment/Maximum_pedal_vertical_displacement/Clutch_Vertical_displacement" xmlDataType="decimal"/>
    </xmlCellPr>
  </singleXmlCell>
  <singleXmlCell id="5073" xr6:uid="{14BDCAF8-1464-40AB-B237-95E14B5AC225}" r="D97" connectionId="0">
    <xmlCellPr id="1" xr6:uid="{B78406DD-DFAA-4119-8C32-15B3E12D40C0}" uniqueName="Accel_Vertical_displacement">
      <xmlPr mapId="7" xpath="/MAKE/AOP/AOP_Frontal_MPDB/Lower_Leg_Foot_and_Ankle_assessment/Right_Lower_Leg_assessment/Maximum_pedal_vertical_displacement/Accel_Vertical_displacement" xmlDataType="decimal"/>
    </xmlCellPr>
  </singleXmlCell>
  <singleXmlCell id="5074" xr6:uid="{1FAA959E-5375-428D-AE58-850DF76AA59A}" r="D116" connectionId="0">
    <xmlCellPr id="1" xr6:uid="{B031107E-C00D-4682-B749-E5A6E0F4947A}" uniqueName="DriverPoints">
      <xmlPr mapId="7" xpath="/MAKE/AOP/AOP_Frontal_MPDB/TOTAL/@DriverPoints" xmlDataType="decimal"/>
    </xmlCellPr>
  </singleXmlCell>
  <singleXmlCell id="5075" xr6:uid="{B1E5045C-C042-47F6-BBAA-CA7762DD368F}" r="F116" connectionId="0">
    <xmlCellPr id="1" xr6:uid="{D17D946A-4FCA-4738-8111-35F9342A8B34}" uniqueName="PassengerPoints">
      <xmlPr mapId="7" xpath="/MAKE/AOP/AOP_Frontal_MPDB/TOTAL/@PassengerPoints" xmlDataType="decimal"/>
    </xmlCellPr>
  </singleXmlCell>
  <singleXmlCell id="5081" xr6:uid="{18D4175E-A1C5-40E8-9E90-F69A62CE6917}" r="D124" connectionId="0">
    <xmlCellPr id="1" xr6:uid="{AD35D32A-5C57-4E24-B34D-A5C1D6F82CD8}" uniqueName="Value">
      <xmlPr mapId="7" xpath="/MAKE/AOP/AOP_Frontal_MPDB/COMPATIBILITY/Veh_LHS_B_Pill_OLC/@Value" xmlDataType="decimal"/>
    </xmlCellPr>
  </singleXmlCell>
  <singleXmlCell id="5082" xr6:uid="{1ACA58C5-F356-402D-8173-81AB5F312413}" r="D125" connectionId="0">
    <xmlCellPr id="1" xr6:uid="{D6D0003D-B762-4641-8BBA-EAF8C4B1B9D4}" uniqueName="Value">
      <xmlPr mapId="7" xpath="/MAKE/AOP/AOP_Frontal_MPDB/COMPATIBILITY/Veh_RHS_B_Pill_OLC/@Value" xmlDataType="decimal"/>
    </xmlCellPr>
  </singleXmlCell>
  <singleXmlCell id="5238" xr6:uid="{30DF9CFF-7454-4418-A52B-544D97B0F7B5}" r="D128" connectionId="0">
    <xmlCellPr id="1" xr6:uid="{BC266C68-6FA1-4EF8-8813-515129F81FDA}" uniqueName="Capping">
      <xmlPr mapId="7" xpath="/MAKE/AOP/AOP_Frontal_MPDB/@Capping" xmlDataType="string"/>
    </xmlCellPr>
  </singleXmlCell>
  <singleXmlCell id="5296" xr6:uid="{B638519C-AEB6-44CA-81F2-5E9B46DB5E32}" r="D123" connectionId="0">
    <xmlCellPr id="1" xr6:uid="{AA7F69BC-DD7A-48DF-8860-2C9E30C36F67}" uniqueName="Yes_No">
      <xmlPr mapId="7" xpath="/MAKE/AOP/AOP_Frontal_MPDB/COMPATIBILITY/Bottoming_Out/@Yes_No" xmlDataType="string"/>
    </xmlCellPr>
  </singleXmlCell>
  <singleXmlCell id="5305" xr6:uid="{1928B4FE-FE75-4156-A2A1-B68C3677BDDD}" r="E123" connectionId="0">
    <xmlCellPr id="1" xr6:uid="{41B50D40-F319-456F-A71A-016182454EB1}" uniqueName="Value">
      <xmlPr mapId="7" xpath="/MAKE/AOP/AOP_Frontal_MPDB/COMPATIBILITY/Bottoming_Out/@Value" xmlDataType="decimal"/>
    </xmlCellPr>
  </singleXmlCell>
  <singleXmlCell id="2069" xr6:uid="{1C0B1908-1859-4B93-8CBD-9F792765427D}" r="D76" connectionId="0">
    <xmlCellPr id="1" xr6:uid="{4AE0DB5C-93C4-450F-A8E6-0F25486AA395}" uniqueName="Yes_No">
      <xmlPr mapId="7" xpath="/MAKE/AOP/AOP_Frontal_MPDB/Knee_Femur_and_Pelvis_assessment/Pelvis/Submarining_Modifier/@Yes_No" xmlDataType="string"/>
    </xmlCellPr>
  </singleXmlCell>
  <singleXmlCell id="2078" xr6:uid="{60DBB2D1-8769-4ABF-B04F-5B8C55347C80}" r="E76" connectionId="0">
    <xmlCellPr id="1" xr6:uid="{73B0274F-903C-4919-8A0D-1E5D6CDB51B5}" uniqueName="Value">
      <xmlPr mapId="7" xpath="/MAKE/AOP/AOP_Frontal_MPDB/Knee_Femur_and_Pelvis_assessment/Pelvis/Submarining_Modifier/@Value" xmlDataType="decimal"/>
    </xmlCellPr>
  </singleXmlCell>
</singleXmlCells>
</file>

<file path=xl/tables/tableSingleCells4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3028" xr6:uid="{D8B8EC6B-7DFB-4F64-BC7E-52604A953E27}" r="D63" connectionId="0">
    <xmlCellPr id="1" xr6:uid="{4EBDB7DB-4C79-4D7E-BFCA-154FAEF2F8B5}" uniqueName="TOTAL_FRONTAL_FW">
      <xmlPr mapId="7" xpath="/MAKE/AOP/AOP_Frontal_FW/@TOTAL_FRONTAL_FW" xmlDataType="decimal"/>
    </xmlCellPr>
  </singleXmlCell>
  <singleXmlCell id="3043" xr6:uid="{7DDC132F-CCAB-4B8F-AAB1-B9180DB985E3}" r="D6" connectionId="0">
    <xmlCellPr id="1" xr6:uid="{2EC8871A-D551-4B3F-ADC0-E502642D21F7}" uniqueName="Steering_wheel_airbag_present">
      <xmlPr mapId="7" xpath="/MAKE/AOP/AOP_Frontal_FW/Head_Assessment/Steering_wheel_airbag_present" xmlDataType="string"/>
    </xmlCellPr>
  </singleXmlCell>
  <singleXmlCell id="3044" xr6:uid="{CD446CC0-8229-46A0-A6A9-68C78106815B}" r="D14" connectionId="0">
    <xmlCellPr id="1" xr6:uid="{378A396F-A146-4346-9EEA-96D099330C3F}" uniqueName="DriverPoints">
      <xmlPr mapId="7" xpath="/MAKE/AOP/AOP_Frontal_FW/Head_Assessment/@DriverPoints" xmlDataType="decimal"/>
    </xmlCellPr>
  </singleXmlCell>
  <singleXmlCell id="3045" xr6:uid="{CB71EED6-E3FD-4C65-B713-8ACC88C00E98}" r="H14" connectionId="0">
    <xmlCellPr id="1" xr6:uid="{2BC6D4B0-7CE9-4455-8CB8-B400F65533C5}" uniqueName="PassengerPoints">
      <xmlPr mapId="7" xpath="/MAKE/AOP/AOP_Frontal_FW/Head_Assessment/@PassengerPoints" xmlDataType="decimal"/>
    </xmlCellPr>
  </singleXmlCell>
  <singleXmlCell id="3046" xr6:uid="{35808748-650D-41AC-BBCC-53F658458B8C}" r="F14" connectionId="0">
    <xmlCellPr id="1" xr6:uid="{F89A58D0-D020-4EE3-9650-E32EE017A640}" uniqueName="OEM_Pass_Points">
      <xmlPr mapId="7" xpath="/MAKE/AOP/AOP_Frontal_FW/Head_Assessment/@OEM_Pass_Points" xmlDataType="decimal"/>
    </xmlCellPr>
  </singleXmlCell>
  <singleXmlCell id="3047" xr6:uid="{695A7120-C695-4AD7-B20F-3EE6C5A64496}" r="D7" connectionId="0">
    <xmlCellPr id="1" xr6:uid="{F1D66903-1DE6-4488-AB68-4C1849C77417}" uniqueName="OEM_Pass_Value">
      <xmlPr mapId="7" xpath="/MAKE/AOP/AOP_Frontal_FW/Head_Assessment/Peak_resultant_acceleration_g/@OEM_Pass_Value" xmlDataType="decimal"/>
    </xmlCellPr>
  </singleXmlCell>
  <singleXmlCell id="3048" xr6:uid="{6F0475B4-CE5D-4127-BD24-ED3F6BF071E9}" r="E7" connectionId="0">
    <xmlCellPr id="1" xr6:uid="{C55DC75E-D4F8-40AB-96AE-D4822E9ECF0A}" uniqueName="OEM_Pass_Points">
      <xmlPr mapId="7" xpath="/MAKE/AOP/AOP_Frontal_FW/Head_Assessment/Peak_resultant_acceleration_g/@OEM_Pass_Points" xmlDataType="decimal"/>
    </xmlCellPr>
  </singleXmlCell>
  <singleXmlCell id="3049" xr6:uid="{CFA4FC21-9896-4DB4-976B-0970281E8800}" r="F7" connectionId="0">
    <xmlCellPr id="1" xr6:uid="{EEC60E38-8414-4997-8A07-A43F149A589F}" uniqueName="DriverValue">
      <xmlPr mapId="7" xpath="/MAKE/AOP/AOP_Frontal_FW/Head_Assessment/Peak_resultant_acceleration_g/@DriverValue" xmlDataType="decimal"/>
    </xmlCellPr>
  </singleXmlCell>
  <singleXmlCell id="3050" xr6:uid="{ECBD963E-0EE0-408B-B9E4-D93E512C2079}" r="G7" connectionId="0">
    <xmlCellPr id="1" xr6:uid="{C2E9A55E-8E24-44A6-A555-E91769D67084}" uniqueName="DriverPoints">
      <xmlPr mapId="7" xpath="/MAKE/AOP/AOP_Frontal_FW/Head_Assessment/Peak_resultant_acceleration_g/@DriverPoints" xmlDataType="decimal"/>
    </xmlCellPr>
  </singleXmlCell>
  <singleXmlCell id="3051" xr6:uid="{23AF599B-42D5-479C-A05A-83AC3097BCE8}" r="H7" connectionId="0">
    <xmlCellPr id="1" xr6:uid="{AA7E55CB-3473-4A44-913C-1DF236A0D775}" uniqueName="PassengerValue">
      <xmlPr mapId="7" xpath="/MAKE/AOP/AOP_Frontal_FW/Head_Assessment/Peak_resultant_acceleration_g/@PassengerValue" xmlDataType="decimal"/>
    </xmlCellPr>
  </singleXmlCell>
  <singleXmlCell id="3052" xr6:uid="{A8862A7F-9947-4374-A543-3178AF5FF7D1}" r="I7" connectionId="0">
    <xmlCellPr id="1" xr6:uid="{E0B807FF-1313-4490-B02D-F976D1D9D99F}" uniqueName="PassengerPoints">
      <xmlPr mapId="7" xpath="/MAKE/AOP/AOP_Frontal_FW/Head_Assessment/Peak_resultant_acceleration_g/@PassengerPoints" xmlDataType="decimal"/>
    </xmlCellPr>
  </singleXmlCell>
  <singleXmlCell id="3053" xr6:uid="{F4DF8BF4-77F9-4895-B8F2-EBAC59A0EB78}" r="D8" connectionId="0">
    <xmlCellPr id="1" xr6:uid="{5DCAA148-058A-4C7D-9807-961A17B7C023}" uniqueName="OEM_Pass_Points">
      <xmlPr mapId="7" xpath="/MAKE/AOP/AOP_Frontal_FW/Head_Assessment/HIC15/@OEM_Pass_Points" xmlDataType="decimal"/>
    </xmlCellPr>
  </singleXmlCell>
  <singleXmlCell id="3054" xr6:uid="{61A3B3AC-B3AB-4789-9192-7872095CB4C4}" r="E8" connectionId="0">
    <xmlCellPr id="1" xr6:uid="{A1435724-5F49-4731-9B97-4B9E05C922D5}" uniqueName="OEM_Pass_Value">
      <xmlPr mapId="7" xpath="/MAKE/AOP/AOP_Frontal_FW/Head_Assessment/HIC15/@OEM_Pass_Value" xmlDataType="decimal"/>
    </xmlCellPr>
  </singleXmlCell>
  <singleXmlCell id="3055" xr6:uid="{60798793-93CC-4E34-B38C-1A3BD546D546}" r="F8" connectionId="0">
    <xmlCellPr id="1" xr6:uid="{362D5E7C-92C5-45B5-AC88-06B4CDE76213}" uniqueName="DriverValue">
      <xmlPr mapId="7" xpath="/MAKE/AOP/AOP_Frontal_FW/Head_Assessment/HIC15/@DriverValue" xmlDataType="decimal"/>
    </xmlCellPr>
  </singleXmlCell>
  <singleXmlCell id="3056" xr6:uid="{4D720600-7F64-4494-8F9D-7972A1C442E5}" r="G8" connectionId="0">
    <xmlCellPr id="1" xr6:uid="{BB053B37-BAD1-4761-B4D0-72B2DEFCAE7E}" uniqueName="DriverPoints">
      <xmlPr mapId="7" xpath="/MAKE/AOP/AOP_Frontal_FW/Head_Assessment/HIC15/@DriverPoints" xmlDataType="decimal"/>
    </xmlCellPr>
  </singleXmlCell>
  <singleXmlCell id="3057" xr6:uid="{DBB0D8F4-8787-40C4-8EBB-ACD9EBA53BB6}" r="H8" connectionId="0">
    <xmlCellPr id="1" xr6:uid="{2F9F591C-8495-46F2-A03A-F4D3BA9B6E33}" uniqueName="PassengerValue">
      <xmlPr mapId="7" xpath="/MAKE/AOP/AOP_Frontal_FW/Head_Assessment/HIC15/@PassengerValue" xmlDataType="decimal"/>
    </xmlCellPr>
  </singleXmlCell>
  <singleXmlCell id="3058" xr6:uid="{2ED4BD5E-B68D-4205-9336-06329DA52FFB}" r="I8" connectionId="0">
    <xmlCellPr id="1" xr6:uid="{896F88BF-F69B-476D-AAC3-8B149AFE420F}" uniqueName="PassengerPoints">
      <xmlPr mapId="7" xpath="/MAKE/AOP/AOP_Frontal_FW/Head_Assessment/HIC15/@PassengerPoints" xmlDataType="decimal"/>
    </xmlCellPr>
  </singleXmlCell>
  <singleXmlCell id="3059" xr6:uid="{AF96CC30-563B-42F1-BC34-5760EECEF29C}" r="D9" connectionId="0">
    <xmlCellPr id="1" xr6:uid="{73D4AFDE-2C84-4E31-B211-B8714C5A5DDE}" uniqueName="OEM_Pass_Points">
      <xmlPr mapId="7" xpath="/MAKE/AOP/AOP_Frontal_FW/Head_Assessment/Resultant_Acc_3_msec_exeedence_g/@OEM_Pass_Points" xmlDataType="decimal"/>
    </xmlCellPr>
  </singleXmlCell>
  <singleXmlCell id="3060" xr6:uid="{95256A64-2920-4174-8861-2CA89E272576}" r="E9" connectionId="0">
    <xmlCellPr id="1" xr6:uid="{A3F2FCB2-4DD9-4FE7-9085-92865C3F2F9A}" uniqueName="OEM_Pass_Value">
      <xmlPr mapId="7" xpath="/MAKE/AOP/AOP_Frontal_FW/Head_Assessment/Resultant_Acc_3_msec_exeedence_g/@OEM_Pass_Value" xmlDataType="decimal"/>
    </xmlCellPr>
  </singleXmlCell>
  <singleXmlCell id="3061" xr6:uid="{3236A1CE-023E-4547-8A1A-D06AC75277B2}" r="F9" connectionId="0">
    <xmlCellPr id="1" xr6:uid="{C8E654A5-E4F0-4A62-827A-F61BFAE482C3}" uniqueName="DriverValue">
      <xmlPr mapId="7" xpath="/MAKE/AOP/AOP_Frontal_FW/Head_Assessment/Resultant_Acc_3_msec_exeedence_g/@DriverValue" xmlDataType="decimal"/>
    </xmlCellPr>
  </singleXmlCell>
  <singleXmlCell id="3062" xr6:uid="{1AFED730-AFB3-46CF-BFE4-F89D544CB8CF}" r="G9" connectionId="0">
    <xmlCellPr id="1" xr6:uid="{F777520D-FCD4-4627-AA35-036300B5D9C8}" uniqueName="DriverPoints">
      <xmlPr mapId="7" xpath="/MAKE/AOP/AOP_Frontal_FW/Head_Assessment/Resultant_Acc_3_msec_exeedence_g/@DriverPoints" xmlDataType="decimal"/>
    </xmlCellPr>
  </singleXmlCell>
  <singleXmlCell id="3063" xr6:uid="{9B4DF5BB-DF1D-4B23-AD1A-46DF632B309F}" r="H9" connectionId="0">
    <xmlCellPr id="1" xr6:uid="{6102CCC1-5F15-4492-B3F0-6574CF5B868B}" uniqueName="PassengerValue">
      <xmlPr mapId="7" xpath="/MAKE/AOP/AOP_Frontal_FW/Head_Assessment/Resultant_Acc_3_msec_exeedence_g/@PassengerValue" xmlDataType="decimal"/>
    </xmlCellPr>
  </singleXmlCell>
  <singleXmlCell id="3064" xr6:uid="{7602EBF9-6F32-4962-B140-75625C96A2F8}" r="I9" connectionId="0">
    <xmlCellPr id="1" xr6:uid="{39E8C15E-6610-4170-981B-14273A5F7170}" uniqueName="PassengerPoints">
      <xmlPr mapId="7" xpath="/MAKE/AOP/AOP_Frontal_FW/Head_Assessment/Resultant_Acc_3_msec_exeedence_g/@PassengerPoints" xmlDataType="decimal"/>
    </xmlCellPr>
  </singleXmlCell>
  <singleXmlCell id="3069" xr6:uid="{B20DF48F-C579-4110-AB9F-802669982FD4}" r="D20" connectionId="0">
    <xmlCellPr id="1" xr6:uid="{145EBF67-1614-4732-BEBB-E2A7FFA323E8}" uniqueName="DriverPoints">
      <xmlPr mapId="7" xpath="/MAKE/AOP/AOP_Frontal_FW/Neck_assessment/@DriverPoints" xmlDataType="decimal"/>
    </xmlCellPr>
  </singleXmlCell>
  <singleXmlCell id="3070" xr6:uid="{5F747F28-2E5B-4CCF-BAA9-D13F2D0D8228}" r="H20" connectionId="0">
    <xmlCellPr id="1" xr6:uid="{FDB1AA42-32DF-4168-8389-051096D0EF55}" uniqueName="PassengerPoints">
      <xmlPr mapId="7" xpath="/MAKE/AOP/AOP_Frontal_FW/Neck_assessment/@PassengerPoints" xmlDataType="decimal"/>
    </xmlCellPr>
  </singleXmlCell>
  <singleXmlCell id="3071" xr6:uid="{4F49F692-0953-4293-9F50-D5F6439D825C}" r="F20" connectionId="0">
    <xmlCellPr id="1" xr6:uid="{1C86A83D-83EE-49AF-8110-C15BBFD9943B}" uniqueName="OEM_Pass_Points">
      <xmlPr mapId="7" xpath="/MAKE/AOP/AOP_Frontal_FW/Neck_assessment/@OEM_Pass_Points" xmlDataType="decimal"/>
    </xmlCellPr>
  </singleXmlCell>
  <singleXmlCell id="3072" xr6:uid="{7D0506A7-AC85-4274-8412-8995AA1719DE}" r="D17" connectionId="0">
    <xmlCellPr id="1" xr6:uid="{C76EC1F0-97C7-49E1-9771-8E8EB39B43A3}" uniqueName="OEM_Pass_Points">
      <xmlPr mapId="7" xpath="/MAKE/AOP/AOP_Frontal_FW/Neck_assessment/Shear_level_exceeded_kN/@OEM_Pass_Points" xmlDataType="decimal"/>
    </xmlCellPr>
  </singleXmlCell>
  <singleXmlCell id="3073" xr6:uid="{D615D57C-EEE6-4B4D-B976-F8582A799E06}" r="E17" connectionId="0">
    <xmlCellPr id="1" xr6:uid="{C20C633B-0341-4EC6-8698-4524F471F328}" uniqueName="OEM_Pass_Value">
      <xmlPr mapId="7" xpath="/MAKE/AOP/AOP_Frontal_FW/Neck_assessment/Shear_level_exceeded_kN/@OEM_Pass_Value" xmlDataType="decimal"/>
    </xmlCellPr>
  </singleXmlCell>
  <singleXmlCell id="3074" xr6:uid="{5F5EB1C5-0D12-4912-9150-3C202C96C79A}" r="F17" connectionId="0">
    <xmlCellPr id="1" xr6:uid="{B4192BF7-85C9-40A7-B1A9-41B6987458A3}" uniqueName="DriverValue">
      <xmlPr mapId="7" xpath="/MAKE/AOP/AOP_Frontal_FW/Neck_assessment/Shear_level_exceeded_kN/@DriverValue" xmlDataType="decimal"/>
    </xmlCellPr>
  </singleXmlCell>
  <singleXmlCell id="3075" xr6:uid="{9712382E-20AB-4CCA-9744-4DA7B5E173F4}" r="G17" connectionId="0">
    <xmlCellPr id="1" xr6:uid="{BB06877E-0AE3-4253-AF52-02CDBA363DC5}" uniqueName="DriverPoints">
      <xmlPr mapId="7" xpath="/MAKE/AOP/AOP_Frontal_FW/Neck_assessment/Shear_level_exceeded_kN/@DriverPoints" xmlDataType="decimal"/>
    </xmlCellPr>
  </singleXmlCell>
  <singleXmlCell id="3076" xr6:uid="{26726F22-1C50-4D89-9352-2FD684516F90}" r="H17" connectionId="0">
    <xmlCellPr id="1" xr6:uid="{2E69DA91-DB97-4AFD-AAB5-A2EEEB3FF1B3}" uniqueName="PassengerValue">
      <xmlPr mapId="7" xpath="/MAKE/AOP/AOP_Frontal_FW/Neck_assessment/Shear_level_exceeded_kN/@PassengerValue" xmlDataType="decimal"/>
    </xmlCellPr>
  </singleXmlCell>
  <singleXmlCell id="3077" xr6:uid="{36CD03D1-95F5-4EF0-A1EF-C9DD456BF1F0}" r="I17" connectionId="0">
    <xmlCellPr id="1" xr6:uid="{3B8237B5-070F-4E69-9388-82D4185C3833}" uniqueName="PassengerPoints">
      <xmlPr mapId="7" xpath="/MAKE/AOP/AOP_Frontal_FW/Neck_assessment/Shear_level_exceeded_kN/@PassengerPoints" xmlDataType="decimal"/>
    </xmlCellPr>
  </singleXmlCell>
  <singleXmlCell id="3078" xr6:uid="{1A520A7D-E191-4FB8-AA34-3EA72889948A}" r="D18" connectionId="0">
    <xmlCellPr id="1" xr6:uid="{C7351DC4-6E41-49CF-8761-DE39BD6C2F2F}" uniqueName="OEM_Pass_Points">
      <xmlPr mapId="7" xpath="/MAKE/AOP/AOP_Frontal_FW/Neck_assessment/Tension_level_exceeded_kN/@OEM_Pass_Points" xmlDataType="decimal"/>
    </xmlCellPr>
  </singleXmlCell>
  <singleXmlCell id="3079" xr6:uid="{E7A9AC0D-60D9-49F6-B613-3E0A059D76CD}" r="E18" connectionId="0">
    <xmlCellPr id="1" xr6:uid="{59771F3A-DD50-4CD2-8C55-6D724E5FE1B1}" uniqueName="OEM_Pass_Value">
      <xmlPr mapId="7" xpath="/MAKE/AOP/AOP_Frontal_FW/Neck_assessment/Tension_level_exceeded_kN/@OEM_Pass_Value" xmlDataType="decimal"/>
    </xmlCellPr>
  </singleXmlCell>
  <singleXmlCell id="3080" xr6:uid="{A39AE35B-22A9-4609-9E32-E9A247D69085}" r="F18" connectionId="0">
    <xmlCellPr id="1" xr6:uid="{DD3DFE20-0480-4605-8AAE-F7BDD905871D}" uniqueName="DriverValue">
      <xmlPr mapId="7" xpath="/MAKE/AOP/AOP_Frontal_FW/Neck_assessment/Tension_level_exceeded_kN/@DriverValue" xmlDataType="decimal"/>
    </xmlCellPr>
  </singleXmlCell>
  <singleXmlCell id="3081" xr6:uid="{4EC50788-F1FA-4A87-802C-959722D5F4AC}" r="G18" connectionId="0">
    <xmlCellPr id="1" xr6:uid="{8EA7A6E9-99D1-4E97-934E-E7F99A39DCF9}" uniqueName="DriverPoints">
      <xmlPr mapId="7" xpath="/MAKE/AOP/AOP_Frontal_FW/Neck_assessment/Tension_level_exceeded_kN/@DriverPoints" xmlDataType="decimal"/>
    </xmlCellPr>
  </singleXmlCell>
  <singleXmlCell id="3082" xr6:uid="{E6B13205-4B93-4030-91FE-5D85811EBDF0}" r="H18" connectionId="0">
    <xmlCellPr id="1" xr6:uid="{9A87C09A-84A3-4EB9-8D03-CB1195343393}" uniqueName="PassengerValue">
      <xmlPr mapId="7" xpath="/MAKE/AOP/AOP_Frontal_FW/Neck_assessment/Tension_level_exceeded_kN/@PassengerValue" xmlDataType="decimal"/>
    </xmlCellPr>
  </singleXmlCell>
  <singleXmlCell id="3083" xr6:uid="{72A43143-350E-419D-8599-296C0593ED2D}" r="I18" connectionId="0">
    <xmlCellPr id="1" xr6:uid="{35B7A782-9904-4DD7-8AF4-B7A3EEFFD580}" uniqueName="PassengerPoints">
      <xmlPr mapId="7" xpath="/MAKE/AOP/AOP_Frontal_FW/Neck_assessment/Tension_level_exceeded_kN/@PassengerPoints" xmlDataType="decimal"/>
    </xmlCellPr>
  </singleXmlCell>
  <singleXmlCell id="3084" xr6:uid="{CD87C89B-DBE6-4876-A237-E2B1361774B6}" r="D19" connectionId="0">
    <xmlCellPr id="1" xr6:uid="{1D6C3303-2CA0-43A8-9725-A3C0829B4B2D}" uniqueName="OEM_Pass_Points">
      <xmlPr mapId="7" xpath="/MAKE/AOP/AOP_Frontal_FW/Neck_assessment/Extension_Nm/@OEM_Pass_Points" xmlDataType="decimal"/>
    </xmlCellPr>
  </singleXmlCell>
  <singleXmlCell id="3085" xr6:uid="{7BED6417-525C-4900-9B1F-38FC12BFB7AF}" r="E19" connectionId="0">
    <xmlCellPr id="1" xr6:uid="{CAB5107D-6227-4792-8DF5-E49153B7D6FB}" uniqueName="OEM_Pass_Value">
      <xmlPr mapId="7" xpath="/MAKE/AOP/AOP_Frontal_FW/Neck_assessment/Extension_Nm/@OEM_Pass_Value" xmlDataType="decimal"/>
    </xmlCellPr>
  </singleXmlCell>
  <singleXmlCell id="3086" xr6:uid="{2002CD42-4D04-44D1-9385-1D343F25C3B7}" r="F19" connectionId="0">
    <xmlCellPr id="1" xr6:uid="{6DF30E67-A279-4AE0-AB2F-354CE1E49818}" uniqueName="DriverValue">
      <xmlPr mapId="7" xpath="/MAKE/AOP/AOP_Frontal_FW/Neck_assessment/Extension_Nm/@DriverValue" xmlDataType="decimal"/>
    </xmlCellPr>
  </singleXmlCell>
  <singleXmlCell id="3087" xr6:uid="{AD52BF2D-39F9-4753-BA64-05E67BE73C46}" r="G19" connectionId="0">
    <xmlCellPr id="1" xr6:uid="{CBAF017D-2D27-4019-8101-3500D1C2DE31}" uniqueName="DriverPoints">
      <xmlPr mapId="7" xpath="/MAKE/AOP/AOP_Frontal_FW/Neck_assessment/Extension_Nm/@DriverPoints" xmlDataType="decimal"/>
    </xmlCellPr>
  </singleXmlCell>
  <singleXmlCell id="3088" xr6:uid="{B277E1EA-DAE7-4E65-8DAD-AF08997A0CEE}" r="H19" connectionId="0">
    <xmlCellPr id="1" xr6:uid="{C9975DA2-AE5E-40A1-8B1F-79B3170FEF0B}" uniqueName="PassengerValue">
      <xmlPr mapId="7" xpath="/MAKE/AOP/AOP_Frontal_FW/Neck_assessment/Extension_Nm/@PassengerValue" xmlDataType="decimal"/>
    </xmlCellPr>
  </singleXmlCell>
  <singleXmlCell id="3089" xr6:uid="{85E867A2-E0C1-4B8D-99A3-6126815AD165}" r="I19" connectionId="0">
    <xmlCellPr id="1" xr6:uid="{4383D9A4-6893-4F5D-A597-CA0F289F6223}" uniqueName="PassengerPoints">
      <xmlPr mapId="7" xpath="/MAKE/AOP/AOP_Frontal_FW/Neck_assessment/Extension_Nm/@PassengerPoints" xmlDataType="decimal"/>
    </xmlCellPr>
  </singleXmlCell>
  <singleXmlCell id="3090" xr6:uid="{53EF34A7-0D5F-4F0F-AA91-BAA74BC768F1}" r="F28" connectionId="0">
    <xmlCellPr id="1" xr6:uid="{A8EF910A-4FBC-4BBA-8E9C-9623D3CD46DE}" uniqueName="OEM_Pass_Points">
      <xmlPr mapId="7" xpath="/MAKE/AOP/AOP_Frontal_FW/Chest_assessment/@OEM_Pass_Points" xmlDataType="decimal"/>
    </xmlCellPr>
  </singleXmlCell>
  <singleXmlCell id="3091" xr6:uid="{FEBE3D70-446A-4CFF-9F86-5818DE8BCD3D}" r="D28" connectionId="0">
    <xmlCellPr id="1" xr6:uid="{992C8077-69E4-4DE7-92E3-D45C1C6A0DA3}" uniqueName="DriverPoints">
      <xmlPr mapId="7" xpath="/MAKE/AOP/AOP_Frontal_FW/Chest_assessment/@DriverPoints" xmlDataType="decimal"/>
    </xmlCellPr>
  </singleXmlCell>
  <singleXmlCell id="3092" xr6:uid="{1515B0C2-F9B0-44A2-838A-D607AA0A9CA9}" r="H28" connectionId="0">
    <xmlCellPr id="1" xr6:uid="{40BC5985-CF8B-4536-97DA-F90367C7169F}" uniqueName="PassengerPoints">
      <xmlPr mapId="7" xpath="/MAKE/AOP/AOP_Frontal_FW/Chest_assessment/@PassengerPoints" xmlDataType="decimal"/>
    </xmlCellPr>
  </singleXmlCell>
  <singleXmlCell id="3093" xr6:uid="{FCE90C6E-9F4F-4BFD-A1AE-91A3C2E048EF}" r="D23" connectionId="0">
    <xmlCellPr id="1" xr6:uid="{F5B6EB91-1B57-40BA-A58B-A20CA540EE4B}" uniqueName="OEM_Pass_Points">
      <xmlPr mapId="7" xpath="/MAKE/AOP/AOP_Frontal_FW/Chest_assessment/Compression_mm/@OEM_Pass_Points" xmlDataType="decimal"/>
    </xmlCellPr>
  </singleXmlCell>
  <singleXmlCell id="3094" xr6:uid="{DC616658-B6C3-460B-A6E7-DC41FF01DD65}" r="E23" connectionId="0">
    <xmlCellPr id="1" xr6:uid="{D979F993-C62A-465B-90AD-EAF817196EA5}" uniqueName="OEM_Pass_Value">
      <xmlPr mapId="7" xpath="/MAKE/AOP/AOP_Frontal_FW/Chest_assessment/Compression_mm/@OEM_Pass_Value" xmlDataType="decimal"/>
    </xmlCellPr>
  </singleXmlCell>
  <singleXmlCell id="3095" xr6:uid="{C010FDB3-C0F1-460D-9C33-9C9E06D4DEBA}" r="F23" connectionId="0">
    <xmlCellPr id="1" xr6:uid="{E744CE57-2B19-4FAE-AF56-E03531BB340E}" uniqueName="DriverValue">
      <xmlPr mapId="7" xpath="/MAKE/AOP/AOP_Frontal_FW/Chest_assessment/Compression_mm/@DriverValue" xmlDataType="decimal"/>
    </xmlCellPr>
  </singleXmlCell>
  <singleXmlCell id="3096" xr6:uid="{07FB4949-C68D-41FD-BA73-B1FD90CA7E0A}" r="G23" connectionId="0">
    <xmlCellPr id="1" xr6:uid="{D7F3D9C6-71D1-4C10-98FD-E56D4474F8BF}" uniqueName="DriverPoints">
      <xmlPr mapId="7" xpath="/MAKE/AOP/AOP_Frontal_FW/Chest_assessment/Compression_mm/@DriverPoints" xmlDataType="decimal"/>
    </xmlCellPr>
  </singleXmlCell>
  <singleXmlCell id="3097" xr6:uid="{51939BC2-0582-45E7-8C43-F125C760A5B2}" r="H23" connectionId="0">
    <xmlCellPr id="1" xr6:uid="{11E68FB8-BA63-49BD-80C4-E48399AA0970}" uniqueName="PassengerValue">
      <xmlPr mapId="7" xpath="/MAKE/AOP/AOP_Frontal_FW/Chest_assessment/Compression_mm/@PassengerValue" xmlDataType="decimal"/>
    </xmlCellPr>
  </singleXmlCell>
  <singleXmlCell id="3098" xr6:uid="{2A2CBA8D-D50E-4F57-AF0C-06EEAB9612B0}" r="I23" connectionId="0">
    <xmlCellPr id="1" xr6:uid="{7FCC9A80-3235-49AC-A4A9-450004F488D4}" uniqueName="PassengerPoints">
      <xmlPr mapId="7" xpath="/MAKE/AOP/AOP_Frontal_FW/Chest_assessment/Compression_mm/@PassengerPoints" xmlDataType="decimal"/>
    </xmlCellPr>
  </singleXmlCell>
  <singleXmlCell id="3099" xr6:uid="{E05369DF-890C-474F-9B5B-AF00CFEA09AA}" r="D24" connectionId="0">
    <xmlCellPr id="1" xr6:uid="{7D3E88EE-6602-4A83-9FEE-E4AE9B026493}" uniqueName="OEM_Pass_Points">
      <xmlPr mapId="7" xpath="/MAKE/AOP/AOP_Frontal_FW/Chest_assessment/Viscous_criterion_ms/@OEM_Pass_Points" xmlDataType="decimal"/>
    </xmlCellPr>
  </singleXmlCell>
  <singleXmlCell id="3100" xr6:uid="{4FF9B691-1E8E-4E96-B8D7-8985645027BB}" r="E24" connectionId="0">
    <xmlCellPr id="1" xr6:uid="{1A311D8F-7001-4F9A-9E16-66A6F9576B5A}" uniqueName="OEM_Pass_Value">
      <xmlPr mapId="7" xpath="/MAKE/AOP/AOP_Frontal_FW/Chest_assessment/Viscous_criterion_ms/@OEM_Pass_Value" xmlDataType="decimal"/>
    </xmlCellPr>
  </singleXmlCell>
  <singleXmlCell id="3101" xr6:uid="{5097BE19-82D8-49BC-8E6D-D4779A006BBF}" r="F24" connectionId="0">
    <xmlCellPr id="1" xr6:uid="{E97590BE-4537-4553-B56D-3B720B0F4B4C}" uniqueName="DriverValue">
      <xmlPr mapId="7" xpath="/MAKE/AOP/AOP_Frontal_FW/Chest_assessment/Viscous_criterion_ms/@DriverValue" xmlDataType="decimal"/>
    </xmlCellPr>
  </singleXmlCell>
  <singleXmlCell id="3102" xr6:uid="{47C8E5F3-647A-436F-9E27-1B8F1AF1FF67}" r="G24" connectionId="0">
    <xmlCellPr id="1" xr6:uid="{7C55C778-0ED5-4B41-8F2D-9CE9027AF88A}" uniqueName="DriverPoints">
      <xmlPr mapId="7" xpath="/MAKE/AOP/AOP_Frontal_FW/Chest_assessment/Viscous_criterion_ms/@DriverPoints" xmlDataType="decimal"/>
    </xmlCellPr>
  </singleXmlCell>
  <singleXmlCell id="3103" xr6:uid="{724BC466-1CC6-4767-A4EC-97A1ED710C76}" r="H24" connectionId="0">
    <xmlCellPr id="1" xr6:uid="{ADA74B60-038D-4D96-A2F4-E095DC1E503B}" uniqueName="PassengerValue">
      <xmlPr mapId="7" xpath="/MAKE/AOP/AOP_Frontal_FW/Chest_assessment/Viscous_criterion_ms/@PassengerValue" xmlDataType="decimal"/>
    </xmlCellPr>
  </singleXmlCell>
  <singleXmlCell id="3104" xr6:uid="{FD1A6419-8300-4024-9C61-1CCD5FDA585E}" r="I24" connectionId="0">
    <xmlCellPr id="1" xr6:uid="{704164EE-63B5-4A8B-B48E-9353D56502C5}" uniqueName="PassengerPoints">
      <xmlPr mapId="7" xpath="/MAKE/AOP/AOP_Frontal_FW/Chest_assessment/Viscous_criterion_ms/@PassengerPoints" xmlDataType="decimal"/>
    </xmlCellPr>
  </singleXmlCell>
  <singleXmlCell id="3105" xr6:uid="{C86E6CD3-C20E-453C-8157-3D96573EE6C8}" r="D25" connectionId="0">
    <xmlCellPr id="1" xr6:uid="{D16DD42B-9B2D-4D8E-BD0B-A84729233A65}" uniqueName="OEM_Pass_Points">
      <xmlPr mapId="7" xpath="/MAKE/AOP/AOP_Frontal_FW/Chest_assessment/Shoulder_belt_load_kN/@OEM_Pass_Points" xmlDataType="decimal"/>
    </xmlCellPr>
  </singleXmlCell>
  <singleXmlCell id="3106" xr6:uid="{1FCD4D2B-57C2-47D4-9178-50D8EAC06069}" r="E25" connectionId="0">
    <xmlCellPr id="1" xr6:uid="{9D323AED-E96F-4FBF-8618-B3A01CDC90B2}" uniqueName="OEM_Pass_Value">
      <xmlPr mapId="7" xpath="/MAKE/AOP/AOP_Frontal_FW/Chest_assessment/Shoulder_belt_load_kN/@OEM_Pass_Value" xmlDataType="decimal"/>
    </xmlCellPr>
  </singleXmlCell>
  <singleXmlCell id="3107" xr6:uid="{0ABF0AB8-D393-493E-B444-33B8FF9AF633}" r="F25" connectionId="0">
    <xmlCellPr id="1" xr6:uid="{32A0B345-2677-4B7B-ADF4-5DCBD4461C94}" uniqueName="DriverValue">
      <xmlPr mapId="7" xpath="/MAKE/AOP/AOP_Frontal_FW/Chest_assessment/Shoulder_belt_load_kN/@DriverValue" xmlDataType="decimal"/>
    </xmlCellPr>
  </singleXmlCell>
  <singleXmlCell id="3108" xr6:uid="{446A7B6C-8404-4961-A5AF-31DB5B577DAE}" r="G25" connectionId="0">
    <xmlCellPr id="1" xr6:uid="{032717D9-4C01-497E-911C-2C00DC4288FB}" uniqueName="DriverPoints">
      <xmlPr mapId="7" xpath="/MAKE/AOP/AOP_Frontal_FW/Chest_assessment/Shoulder_belt_load_kN/@DriverPoints" xmlDataType="decimal"/>
    </xmlCellPr>
  </singleXmlCell>
  <singleXmlCell id="3109" xr6:uid="{25DD0D17-6BAF-4E3E-A00A-E14F16133821}" r="H25" connectionId="0">
    <xmlCellPr id="1" xr6:uid="{1F5C0C0F-4A95-4BC7-AEAD-0A664C9299BA}" uniqueName="PassengerValue">
      <xmlPr mapId="7" xpath="/MAKE/AOP/AOP_Frontal_FW/Chest_assessment/Shoulder_belt_load_kN/@PassengerValue" xmlDataType="decimal"/>
    </xmlCellPr>
  </singleXmlCell>
  <singleXmlCell id="3110" xr6:uid="{D95AE1F6-D440-499F-A292-C921F74CDF8E}" r="I25" connectionId="0">
    <xmlCellPr id="1" xr6:uid="{E3781FF2-10A4-443A-812E-B27CE580A680}" uniqueName="PassengerPoints">
      <xmlPr mapId="7" xpath="/MAKE/AOP/AOP_Frontal_FW/Chest_assessment/Shoulder_belt_load_kN/@PassengerPoints" xmlDataType="decimal"/>
    </xmlCellPr>
  </singleXmlCell>
  <singleXmlCell id="3115" xr6:uid="{FDD4B69E-3282-4118-BB37-A7E5CEEBD832}" r="E10" connectionId="0">
    <xmlCellPr id="1" xr6:uid="{5CE15A12-96F5-4451-ADC5-508C02BBB978}" uniqueName="DriverPoints">
      <xmlPr mapId="7" xpath="/MAKE/AOP/AOP_Frontal_FW/Head_Assessment/Airbag_contact_modifier/@DriverPoints" xmlDataType="decimal"/>
    </xmlCellPr>
  </singleXmlCell>
  <singleXmlCell id="3116" xr6:uid="{3F90E805-546C-4433-A1BA-DD49516DDBEE}" r="I10" connectionId="0">
    <xmlCellPr id="1" xr6:uid="{E3AFB613-F38D-4BE7-8AE4-1BCA8E94CE18}" uniqueName="PassengerPoints">
      <xmlPr mapId="7" xpath="/MAKE/AOP/AOP_Frontal_FW/Head_Assessment/Airbag_contact_modifier/@PassengerPoints" xmlDataType="decimal"/>
    </xmlCellPr>
  </singleXmlCell>
  <singleXmlCell id="3117" xr6:uid="{62BE4567-07A8-412D-A095-6F8FA2493569}" r="G10" connectionId="0">
    <xmlCellPr id="1" xr6:uid="{3B6E42BC-A3C0-4BB4-BBA3-DF12DEB72BDF}" uniqueName="OEM_Pass_Points">
      <xmlPr mapId="7" xpath="/MAKE/AOP/AOP_Frontal_FW/Head_Assessment/Airbag_contact_modifier/@OEM_Pass_Points" xmlDataType="decimal"/>
    </xmlCellPr>
  </singleXmlCell>
  <singleXmlCell id="3118" xr6:uid="{A6D143DB-8623-4329-B72D-FC79DB742ACD}" r="E11" connectionId="0">
    <xmlCellPr id="1" xr6:uid="{2E98B1FE-1F61-431C-B09C-8C5E52DAD0AF}" uniqueName="DriverPoints">
      <xmlPr mapId="7" xpath="/MAKE/AOP/AOP_Frontal_FW/Head_Assessment/Hazardous_airbag_deployment_modifier/@DriverPoints" xmlDataType="decimal"/>
    </xmlCellPr>
  </singleXmlCell>
  <singleXmlCell id="3119" xr6:uid="{3223A849-221F-40EC-82B9-77A58ECD441A}" r="I11" connectionId="0">
    <xmlCellPr id="1" xr6:uid="{B703826B-4154-418A-8F7A-EB2F45D0780D}" uniqueName="PassengerPoints">
      <xmlPr mapId="7" xpath="/MAKE/AOP/AOP_Frontal_FW/Head_Assessment/Hazardous_airbag_deployment_modifier/@PassengerPoints" xmlDataType="decimal"/>
    </xmlCellPr>
  </singleXmlCell>
  <singleXmlCell id="3120" xr6:uid="{E7CF12DD-4003-40CC-9E6C-CD31D2F51DF9}" r="G11" connectionId="0">
    <xmlCellPr id="1" xr6:uid="{45385FC8-27C5-4FF1-B00A-8FED967D0227}" uniqueName="OEM_Pass_Points">
      <xmlPr mapId="7" xpath="/MAKE/AOP/AOP_Frontal_FW/Head_Assessment/Hazardous_airbag_deployment_modifier/@OEM_Pass_Points" xmlDataType="decimal"/>
    </xmlCellPr>
  </singleXmlCell>
  <singleXmlCell id="3121" xr6:uid="{7CC60D60-BF50-4271-B9F7-480D559D9103}" r="G12" connectionId="0">
    <xmlCellPr id="1" xr6:uid="{EBA66935-AC65-435D-A9F5-F41C8BBCD7E1}" uniqueName="OEM_Pass_Points">
      <xmlPr mapId="7" xpath="/MAKE/AOP/AOP_Frontal_FW/Head_Assessment/Incorrect_airbag_deployment_modifier/@OEM_Pass_Points" xmlDataType="decimal"/>
    </xmlCellPr>
  </singleXmlCell>
  <singleXmlCell id="3122" xr6:uid="{47B317CC-F4CA-44E2-984A-75B210B3BA82}" r="E12" connectionId="0">
    <xmlCellPr id="1" xr6:uid="{CD313605-89DF-4374-9852-52AE6EDAC443}" uniqueName="DriverPoints">
      <xmlPr mapId="7" xpath="/MAKE/AOP/AOP_Frontal_FW/Head_Assessment/Incorrect_airbag_deployment_modifier/@DriverPoints" xmlDataType="decimal"/>
    </xmlCellPr>
  </singleXmlCell>
  <singleXmlCell id="3123" xr6:uid="{77E14333-047D-46AE-8007-D23F16B3F1CA}" r="I12" connectionId="0">
    <xmlCellPr id="1" xr6:uid="{5ECE19A5-FC4B-4E5A-AA9C-51B8674C1616}" uniqueName="PassengerPoints">
      <xmlPr mapId="7" xpath="/MAKE/AOP/AOP_Frontal_FW/Head_Assessment/Incorrect_airbag_deployment_modifier/@PassengerPoints" xmlDataType="decimal"/>
    </xmlCellPr>
  </singleXmlCell>
  <singleXmlCell id="3124" xr6:uid="{04A14C24-93EC-4539-87A4-B95BB20700A1}" r="E26" connectionId="0">
    <xmlCellPr id="1" xr6:uid="{1B0F988A-7CF2-48DB-916F-5A42828E51C5}" uniqueName="DriverPoints">
      <xmlPr mapId="7" xpath="/MAKE/AOP/AOP_Frontal_FW/Chest_assessment/Incorrect_airbag_deployment_modifier/@DriverPoints" xmlDataType="decimal"/>
    </xmlCellPr>
  </singleXmlCell>
  <singleXmlCell id="3125" xr6:uid="{1D96D4AA-D0CF-48DE-83E9-9C1501AC25BA}" r="E27" connectionId="0">
    <xmlCellPr id="1" xr6:uid="{E735E80B-E8D9-46DC-A44B-32EEE19F85EB}" uniqueName="DriverPoints">
      <xmlPr mapId="7" xpath="/MAKE/AOP/AOP_Frontal_FW/Chest_assessment/Steering_wheel_contact/@DriverPoints" xmlDataType="decimal"/>
    </xmlCellPr>
  </singleXmlCell>
  <singleXmlCell id="3126" xr6:uid="{F48751BE-0A83-4223-A7EB-25D873DA708B}" r="I26" connectionId="0">
    <xmlCellPr id="1" xr6:uid="{C80BDFFA-12CD-4901-AE91-8D4F3097432E}" uniqueName="PassengerPoints">
      <xmlPr mapId="7" xpath="/MAKE/AOP/AOP_Frontal_FW/Chest_assessment/Incorrect_airbag_deployment_modifier/@PassengerPoints" xmlDataType="decimal"/>
    </xmlCellPr>
  </singleXmlCell>
  <singleXmlCell id="3130" xr6:uid="{5F055DD8-B249-467E-BAFA-B5511EB42EAD}" r="D31" connectionId="0">
    <xmlCellPr id="1" xr6:uid="{2B4A6C58-FDDA-4C06-A06C-8B866C9F16CF}" uniqueName="OEM_Pass_Value">
      <xmlPr mapId="7" xpath="/MAKE/AOP/AOP_Frontal_FW/Knee_Femur_and_Pelvis_assessment/Left_Knee_Femur_and_Pelvis_assessment/Left_Knee_Slide_mm/@OEM_Pass_Value" xmlDataType="decimal"/>
    </xmlCellPr>
  </singleXmlCell>
  <singleXmlCell id="3132" xr6:uid="{075271DF-5B73-4E81-B1E7-73337FE7C570}" r="F31" connectionId="0">
    <xmlCellPr id="1" xr6:uid="{735F0134-DD18-47ED-8549-CC6559964E96}" uniqueName="DriverValue">
      <xmlPr mapId="7" xpath="/MAKE/AOP/AOP_Frontal_FW/Knee_Femur_and_Pelvis_assessment/Left_Knee_Femur_and_Pelvis_assessment/Left_Knee_Slide_mm/@DriverValue" xmlDataType="decimal"/>
    </xmlCellPr>
  </singleXmlCell>
  <singleXmlCell id="3134" xr6:uid="{A8D8B7E8-FF88-4B4D-835B-B0F0B8161F3F}" r="H31" connectionId="0">
    <xmlCellPr id="1" xr6:uid="{A3C39F52-A177-447B-AF8E-7110C4C6F4A3}" uniqueName="PassengerValue">
      <xmlPr mapId="7" xpath="/MAKE/AOP/AOP_Frontal_FW/Knee_Femur_and_Pelvis_assessment/Left_Knee_Femur_and_Pelvis_assessment/Left_Knee_Slide_mm/@PassengerValue" xmlDataType="decimal"/>
    </xmlCellPr>
  </singleXmlCell>
  <singleXmlCell id="3136" xr6:uid="{9086FD61-C148-4A2F-B262-44D685334216}" r="D32" connectionId="0">
    <xmlCellPr id="1" xr6:uid="{8C3F9680-D853-43D9-BC74-F40D2FE32363}" uniqueName="OEM_Pass_Value">
      <xmlPr mapId="7" xpath="/MAKE/AOP/AOP_Frontal_FW/Knee_Femur_and_Pelvis_assessment/Left_Knee_Femur_and_Pelvis_assessment/Left_Femur_Compression_level_exceeded_kN/@OEM_Pass_Value" xmlDataType="decimal"/>
    </xmlCellPr>
  </singleXmlCell>
  <singleXmlCell id="3137" xr6:uid="{5A12D9FC-018C-40BF-B0F7-28AA88D831CE}" r="E32" connectionId="0">
    <xmlCellPr id="1" xr6:uid="{E62AA6CB-DB09-4B8F-B820-62B564C26D2C}" uniqueName="OEM_Pass_Points">
      <xmlPr mapId="7" xpath="/MAKE/AOP/AOP_Frontal_FW/Knee_Femur_and_Pelvis_assessment/Left_Knee_Femur_and_Pelvis_assessment/Left_Femur_Compression_level_exceeded_kN/@OEM_Pass_Points" xmlDataType="decimal"/>
    </xmlCellPr>
  </singleXmlCell>
  <singleXmlCell id="3138" xr6:uid="{BDE8F759-A828-40D0-9037-CB495A816751}" r="F32" connectionId="0">
    <xmlCellPr id="1" xr6:uid="{5397CCCE-6460-4AB4-911B-181DC03D3C9B}" uniqueName="DriverValue">
      <xmlPr mapId="7" xpath="/MAKE/AOP/AOP_Frontal_FW/Knee_Femur_and_Pelvis_assessment/Left_Knee_Femur_and_Pelvis_assessment/Left_Femur_Compression_level_exceeded_kN/@DriverValue" xmlDataType="decimal"/>
    </xmlCellPr>
  </singleXmlCell>
  <singleXmlCell id="3139" xr6:uid="{D4D13884-5846-479D-9063-00F3452E2E76}" r="G32" connectionId="0">
    <xmlCellPr id="1" xr6:uid="{479302D8-2846-4E2D-AD50-D5CF198911CF}" uniqueName="DriverPoints">
      <xmlPr mapId="7" xpath="/MAKE/AOP/AOP_Frontal_FW/Knee_Femur_and_Pelvis_assessment/Left_Knee_Femur_and_Pelvis_assessment/Left_Femur_Compression_level_exceeded_kN/@DriverPoints" xmlDataType="decimal"/>
    </xmlCellPr>
  </singleXmlCell>
  <singleXmlCell id="3140" xr6:uid="{A7B58A58-681B-45BD-9E26-6AE28E02BFB1}" r="H32" connectionId="0">
    <xmlCellPr id="1" xr6:uid="{CD5705CF-6E12-4E0B-B0D0-C2E4C94509B5}" uniqueName="PassengerValue">
      <xmlPr mapId="7" xpath="/MAKE/AOP/AOP_Frontal_FW/Knee_Femur_and_Pelvis_assessment/Left_Knee_Femur_and_Pelvis_assessment/Left_Femur_Compression_level_exceeded_kN/@PassengerValue" xmlDataType="decimal"/>
    </xmlCellPr>
  </singleXmlCell>
  <singleXmlCell id="3141" xr6:uid="{20166D87-5AEE-470D-9CA6-0FE54B639888}" r="I32" connectionId="0">
    <xmlCellPr id="1" xr6:uid="{0F74B65C-04F8-4A32-A03F-D67C2CB62353}" uniqueName="PassengerPoints">
      <xmlPr mapId="7" xpath="/MAKE/AOP/AOP_Frontal_FW/Knee_Femur_and_Pelvis_assessment/Left_Knee_Femur_and_Pelvis_assessment/Left_Femur_Compression_level_exceeded_kN/@PassengerPoints" xmlDataType="decimal"/>
    </xmlCellPr>
  </singleXmlCell>
  <singleXmlCell id="3144" xr6:uid="{049801DE-6FCA-4536-8DC8-8177BF213291}" r="E33" connectionId="0">
    <xmlCellPr id="1" xr6:uid="{F71AF939-5785-4898-AD8E-BD3B481442C4}" uniqueName="DriverPoints">
      <xmlPr mapId="7" xpath="/MAKE/AOP/AOP_Frontal_FW/Knee_Femur_and_Pelvis_assessment/Left_Knee_Femur_and_Pelvis_assessment/Incorrect_Airbag_Deployment/@DriverPoints" xmlDataType="decimal"/>
    </xmlCellPr>
  </singleXmlCell>
  <singleXmlCell id="3145" xr6:uid="{8EF6AC97-B980-4101-941E-48D781C06E65}" r="I33" connectionId="0">
    <xmlCellPr id="1" xr6:uid="{07026B2A-2177-44F9-ADD7-5B113A1AE8A9}" uniqueName="PassengerPoints">
      <xmlPr mapId="7" xpath="/MAKE/AOP/AOP_Frontal_FW/Knee_Femur_and_Pelvis_assessment/Left_Knee_Femur_and_Pelvis_assessment/Incorrect_Airbag_Deployment/@PassengerPoints" xmlDataType="decimal"/>
    </xmlCellPr>
  </singleXmlCell>
  <singleXmlCell id="3146" xr6:uid="{E0E19AE7-2315-458E-B64C-25C4D1840349}" r="G38" connectionId="0">
    <xmlCellPr id="1" xr6:uid="{1A8A678E-D52C-49BE-8F87-429E65D36417}" uniqueName="OEM_Pass_Points">
      <xmlPr mapId="7" xpath="/MAKE/AOP/AOP_Frontal_FW/Knee_Femur_and_Pelvis_assessment/Right_Knee_Femur_and_Pelvis_assessment/@OEM_Pass_Points" xmlDataType="decimal"/>
    </xmlCellPr>
  </singleXmlCell>
  <singleXmlCell id="3147" xr6:uid="{4915970D-D17F-4B0C-A936-DF2499DA3A92}" r="E38" connectionId="0">
    <xmlCellPr id="1" xr6:uid="{A34D98C3-21EB-47C7-B1B4-06F13E3DBA6A}" uniqueName="DriverPoints">
      <xmlPr mapId="7" xpath="/MAKE/AOP/AOP_Frontal_FW/Knee_Femur_and_Pelvis_assessment/Right_Knee_Femur_and_Pelvis_assessment/@DriverPoints" xmlDataType="decimal"/>
    </xmlCellPr>
  </singleXmlCell>
  <singleXmlCell id="3148" xr6:uid="{6DAB0594-286C-4C60-B46B-D4CB28564B67}" r="I38" connectionId="0">
    <xmlCellPr id="1" xr6:uid="{AD8023F8-C933-4ED0-8958-F9D7B98A8B78}" uniqueName="PassengerPoints">
      <xmlPr mapId="7" xpath="/MAKE/AOP/AOP_Frontal_FW/Knee_Femur_and_Pelvis_assessment/Right_Knee_Femur_and_Pelvis_assessment/@PassengerPoints" xmlDataType="decimal"/>
    </xmlCellPr>
  </singleXmlCell>
  <singleXmlCell id="3149" xr6:uid="{7CFCDE0A-C8FA-41F3-BA3C-CFDAA5E3CC0C}" r="D35" connectionId="0">
    <xmlCellPr id="1" xr6:uid="{A63BC376-2555-45BC-81CD-92277FFB3457}" uniqueName="OEM_Pass_Value">
      <xmlPr mapId="7" xpath="/MAKE/AOP/AOP_Frontal_FW/Knee_Femur_and_Pelvis_assessment/Right_Knee_Femur_and_Pelvis_assessment/Right_Knee_Slide_mm/@OEM_Pass_Value" xmlDataType="decimal"/>
    </xmlCellPr>
  </singleXmlCell>
  <singleXmlCell id="3151" xr6:uid="{909403B3-945F-4BD1-81DA-867E687FCE1D}" r="F35" connectionId="0">
    <xmlCellPr id="1" xr6:uid="{A33A0741-8E37-4314-9C61-DEC1BA617ECD}" uniqueName="DriverValue">
      <xmlPr mapId="7" xpath="/MAKE/AOP/AOP_Frontal_FW/Knee_Femur_and_Pelvis_assessment/Right_Knee_Femur_and_Pelvis_assessment/Right_Knee_Slide_mm/@DriverValue" xmlDataType="decimal"/>
    </xmlCellPr>
  </singleXmlCell>
  <singleXmlCell id="3153" xr6:uid="{5643A796-D373-4923-BA54-B532EB537A55}" r="H35" connectionId="0">
    <xmlCellPr id="1" xr6:uid="{A278DEAB-0FE3-43F5-BEAD-F46A245C8B61}" uniqueName="PassengerValue">
      <xmlPr mapId="7" xpath="/MAKE/AOP/AOP_Frontal_FW/Knee_Femur_and_Pelvis_assessment/Right_Knee_Femur_and_Pelvis_assessment/Right_Knee_Slide_mm/@PassengerValue" xmlDataType="decimal"/>
    </xmlCellPr>
  </singleXmlCell>
  <singleXmlCell id="3155" xr6:uid="{04455A23-04B7-4856-85EB-925AA4F03535}" r="D36" connectionId="0">
    <xmlCellPr id="1" xr6:uid="{C9D71EDF-A87B-43BB-8092-2849547BE09B}" uniqueName="OEM_Pass_Value">
      <xmlPr mapId="7" xpath="/MAKE/AOP/AOP_Frontal_FW/Knee_Femur_and_Pelvis_assessment/Right_Knee_Femur_and_Pelvis_assessment/Right_Femur_Compression_level_exceeded_kN/@OEM_Pass_Value" xmlDataType="decimal"/>
    </xmlCellPr>
  </singleXmlCell>
  <singleXmlCell id="3156" xr6:uid="{2C3F4B2D-DF1A-48FE-9B36-CA6FF548154E}" r="E36" connectionId="0">
    <xmlCellPr id="1" xr6:uid="{015C9442-3BB5-4140-AD6D-DDAA41F159E2}" uniqueName="OEM_Pass_Points">
      <xmlPr mapId="7" xpath="/MAKE/AOP/AOP_Frontal_FW/Knee_Femur_and_Pelvis_assessment/Right_Knee_Femur_and_Pelvis_assessment/Right_Femur_Compression_level_exceeded_kN/@OEM_Pass_Points" xmlDataType="decimal"/>
    </xmlCellPr>
  </singleXmlCell>
  <singleXmlCell id="3157" xr6:uid="{8B68A88B-FD15-4494-AF4F-95A304DAF9A1}" r="F36" connectionId="0">
    <xmlCellPr id="1" xr6:uid="{4DA96B45-828C-4882-BD71-2BCB017C4314}" uniqueName="DriverValue">
      <xmlPr mapId="7" xpath="/MAKE/AOP/AOP_Frontal_FW/Knee_Femur_and_Pelvis_assessment/Right_Knee_Femur_and_Pelvis_assessment/Right_Femur_Compression_level_exceeded_kN/@DriverValue" xmlDataType="decimal"/>
    </xmlCellPr>
  </singleXmlCell>
  <singleXmlCell id="3158" xr6:uid="{8472D618-744D-4619-8FC0-D96BD09535A7}" r="G36" connectionId="0">
    <xmlCellPr id="1" xr6:uid="{DD61C057-2ACF-4147-99F0-33C10D355D19}" uniqueName="DriverPoints">
      <xmlPr mapId="7" xpath="/MAKE/AOP/AOP_Frontal_FW/Knee_Femur_and_Pelvis_assessment/Right_Knee_Femur_and_Pelvis_assessment/Right_Femur_Compression_level_exceeded_kN/@DriverPoints" xmlDataType="decimal"/>
    </xmlCellPr>
  </singleXmlCell>
  <singleXmlCell id="3159" xr6:uid="{08880D1D-04FC-4A9E-8E87-92426D8B5F36}" r="H36" connectionId="0">
    <xmlCellPr id="1" xr6:uid="{AB632523-2F95-4376-9B57-4C345605914F}" uniqueName="PassengerValue">
      <xmlPr mapId="7" xpath="/MAKE/AOP/AOP_Frontal_FW/Knee_Femur_and_Pelvis_assessment/Right_Knee_Femur_and_Pelvis_assessment/Right_Femur_Compression_level_exceeded_kN/@PassengerValue" xmlDataType="decimal"/>
    </xmlCellPr>
  </singleXmlCell>
  <singleXmlCell id="3160" xr6:uid="{7659879B-0FD3-4B59-B2F3-BB958FFC1149}" r="I36" connectionId="0">
    <xmlCellPr id="1" xr6:uid="{FBDE6783-022C-452B-80BB-80A855FDCCBC}" uniqueName="PassengerPoints">
      <xmlPr mapId="7" xpath="/MAKE/AOP/AOP_Frontal_FW/Knee_Femur_and_Pelvis_assessment/Right_Knee_Femur_and_Pelvis_assessment/Right_Femur_Compression_level_exceeded_kN/@PassengerPoints" xmlDataType="decimal"/>
    </xmlCellPr>
  </singleXmlCell>
  <singleXmlCell id="3161" xr6:uid="{D069C534-9C31-4205-9FB1-A42F7448ACE3}" r="E37" connectionId="0">
    <xmlCellPr id="1" xr6:uid="{EE014BE6-EABE-411A-AFB8-09F0147F2E36}" uniqueName="DriverPoints">
      <xmlPr mapId="7" xpath="/MAKE/AOP/AOP_Frontal_FW/Knee_Femur_and_Pelvis_assessment/Right_Knee_Femur_and_Pelvis_assessment/Incorrect_Airbag_Deployment/@DriverPoints" xmlDataType="decimal"/>
    </xmlCellPr>
  </singleXmlCell>
  <singleXmlCell id="3162" xr6:uid="{25438063-D92F-4765-9C23-12F1308F263C}" r="I37" connectionId="0">
    <xmlCellPr id="1" xr6:uid="{5B36ECF8-2C67-4670-899F-2063C167113A}" uniqueName="PassengerPoints">
      <xmlPr mapId="7" xpath="/MAKE/AOP/AOP_Frontal_FW/Knee_Femur_and_Pelvis_assessment/Right_Knee_Femur_and_Pelvis_assessment/Incorrect_Airbag_Deployment/@PassengerPoints" xmlDataType="decimal"/>
    </xmlCellPr>
  </singleXmlCell>
  <singleXmlCell id="3163" xr6:uid="{03178DE8-C524-46FD-A3B2-D6242DC54D0A}" r="G41" connectionId="0">
    <xmlCellPr id="1" xr6:uid="{7B4A535F-76DE-4D9A-8C7F-9AF5EF283434}" uniqueName="OEM_Pass_Points">
      <xmlPr mapId="7" xpath="/MAKE/AOP/AOP_Frontal_FW/Knee_Femur_and_Pelvis_assessment/Pelvis_assessment/@OEM_Pass_Points" xmlDataType="decimal"/>
    </xmlCellPr>
  </singleXmlCell>
  <singleXmlCell id="3164" xr6:uid="{35941D2C-CFDD-4EA4-9E36-EECCC363DAA9}" r="E41" connectionId="0">
    <xmlCellPr id="1" xr6:uid="{5DB419F8-F3CD-4A6E-A58A-EA5DBE74C9E5}" uniqueName="DriverPoints">
      <xmlPr mapId="7" xpath="/MAKE/AOP/AOP_Frontal_FW/Knee_Femur_and_Pelvis_assessment/Pelvis_assessment/@DriverPoints" xmlDataType="decimal"/>
    </xmlCellPr>
  </singleXmlCell>
  <singleXmlCell id="3165" xr6:uid="{61EF6E3E-A5C4-46A0-AEC1-681B3AED0976}" r="I41" connectionId="0">
    <xmlCellPr id="1" xr6:uid="{5326F3E8-0263-47D4-98DD-4202BAE64C6E}" uniqueName="PassengerPoints">
      <xmlPr mapId="7" xpath="/MAKE/AOP/AOP_Frontal_FW/Knee_Femur_and_Pelvis_assessment/Pelvis_assessment/@PassengerPoints" xmlDataType="decimal"/>
    </xmlCellPr>
  </singleXmlCell>
  <singleXmlCell id="3166" xr6:uid="{9020AF27-4A1E-4449-B49D-C8FF5D586E48}" r="F43" connectionId="0">
    <xmlCellPr id="1" xr6:uid="{62EA4CE8-CCDA-47E4-B8BD-CD1E47671DDE}" uniqueName="OEM_Pass_Points">
      <xmlPr mapId="7" xpath="/MAKE/AOP/AOP_Frontal_FW/Knee_Femur_and_Pelvis_assessment/@OEM_Pass_Points" xmlDataType="decimal"/>
    </xmlCellPr>
  </singleXmlCell>
  <singleXmlCell id="3167" xr6:uid="{FB278835-190F-4BE1-A78F-F960F47956AD}" r="D43" connectionId="0">
    <xmlCellPr id="1" xr6:uid="{C3498A87-673B-4E18-B786-6C12EDAB22BA}" uniqueName="DriverPoints">
      <xmlPr mapId="7" xpath="/MAKE/AOP/AOP_Frontal_FW/Knee_Femur_and_Pelvis_assessment/@DriverPoints" xmlDataType="decimal"/>
    </xmlCellPr>
  </singleXmlCell>
  <singleXmlCell id="3168" xr6:uid="{46A0799E-6DA7-430B-957B-360D6B487A4C}" r="H43" connectionId="0">
    <xmlCellPr id="1" xr6:uid="{ABCFE426-057D-4725-BB48-F2B43272CEE8}" uniqueName="PassengerPoints">
      <xmlPr mapId="7" xpath="/MAKE/AOP/AOP_Frontal_FW/Knee_Femur_and_Pelvis_assessment/@PassengerPoints" xmlDataType="decimal"/>
    </xmlCellPr>
  </singleXmlCell>
  <singleXmlCell id="3169" xr6:uid="{02A4D92C-6691-4033-BC66-FD8F00AA542D}" r="G34" connectionId="0">
    <xmlCellPr id="1" xr6:uid="{884BDA95-5ECE-4A15-BB34-ACA561E10F52}" uniqueName="OEM_Pass_Points">
      <xmlPr mapId="7" xpath="/MAKE/AOP/AOP_Frontal_FW/Knee_Femur_and_Pelvis_assessment/Left_Knee_Femur_and_Pelvis_assessment/@OEM_Pass_Points" xmlDataType="decimal"/>
    </xmlCellPr>
  </singleXmlCell>
  <singleXmlCell id="3170" xr6:uid="{529F385C-B1F4-4481-B2CC-FAA80E6A5EE3}" r="E34" connectionId="0">
    <xmlCellPr id="1" xr6:uid="{BC797F0C-F90B-43FE-B7D8-CBFD3849368F}" uniqueName="DriverPoints">
      <xmlPr mapId="7" xpath="/MAKE/AOP/AOP_Frontal_FW/Knee_Femur_and_Pelvis_assessment/Left_Knee_Femur_and_Pelvis_assessment/@DriverPoints" xmlDataType="decimal"/>
    </xmlCellPr>
  </singleXmlCell>
  <singleXmlCell id="3171" xr6:uid="{EFB0AFCD-DF14-4950-9D83-8CBAD5298221}" r="I34" connectionId="0">
    <xmlCellPr id="1" xr6:uid="{0274ADD6-3BF7-4B10-B717-D54E8D8D16E3}" uniqueName="PassengerPoints">
      <xmlPr mapId="7" xpath="/MAKE/AOP/AOP_Frontal_FW/Knee_Femur_and_Pelvis_assessment/Left_Knee_Femur_and_Pelvis_assessment/@PassengerPoints" xmlDataType="decimal"/>
    </xmlCellPr>
  </singleXmlCell>
  <singleXmlCell id="3174" xr6:uid="{76801130-1DA0-42ED-A295-7DD9CF00EB67}" r="D55" connectionId="0">
    <xmlCellPr id="1" xr6:uid="{6090617F-61C5-4793-95A5-C60298F97393}" uniqueName="DriverPoints">
      <xmlPr mapId="7" xpath="/MAKE/AOP/AOP_Frontal_FW/SUMMARY/Head_assessment/@DriverPoints" xmlDataType="decimal"/>
    </xmlCellPr>
  </singleXmlCell>
  <singleXmlCell id="3175" xr6:uid="{B5689B1E-3256-4855-BC05-686AE1142181}" r="H55" connectionId="0">
    <xmlCellPr id="1" xr6:uid="{B7A36CAD-8474-40E1-8B46-0F02E3867FA4}" uniqueName="PassengerPoints">
      <xmlPr mapId="7" xpath="/MAKE/AOP/AOP_Frontal_FW/SUMMARY/Head_assessment/@PassengerPoints" xmlDataType="decimal"/>
    </xmlCellPr>
  </singleXmlCell>
  <singleXmlCell id="3176" xr6:uid="{0D7017E1-6EDC-4357-9227-E38124C535B5}" r="D56" connectionId="0">
    <xmlCellPr id="1" xr6:uid="{9BC2F3C7-93A9-4B5B-8781-1F831319D641}" uniqueName="DriverPoints">
      <xmlPr mapId="7" xpath="/MAKE/AOP/AOP_Frontal_FW/SUMMARY/Neck_assessment/@DriverPoints" xmlDataType="decimal"/>
    </xmlCellPr>
  </singleXmlCell>
  <singleXmlCell id="3177" xr6:uid="{B94A3AC8-6E41-4F0A-9550-06924467E56E}" r="H56" connectionId="0">
    <xmlCellPr id="1" xr6:uid="{3220C2AE-752A-48CE-B3CF-8F0AA179C1C3}" uniqueName="PassengerPoints">
      <xmlPr mapId="7" xpath="/MAKE/AOP/AOP_Frontal_FW/SUMMARY/Neck_assessment/@PassengerPoints" xmlDataType="decimal"/>
    </xmlCellPr>
  </singleXmlCell>
  <singleXmlCell id="3178" xr6:uid="{C6149523-BF70-4D71-8CCC-49D105655F56}" r="D57" connectionId="0">
    <xmlCellPr id="1" xr6:uid="{AC3A98C2-2D37-4FF8-A766-57DC60F578FD}" uniqueName="DriverPoints">
      <xmlPr mapId="7" xpath="/MAKE/AOP/AOP_Frontal_FW/SUMMARY/Chest_assessment/@DriverPoints" xmlDataType="decimal"/>
    </xmlCellPr>
  </singleXmlCell>
  <singleXmlCell id="3179" xr6:uid="{67D5E616-2484-41A5-9179-8F572DA9D848}" r="H57" connectionId="0">
    <xmlCellPr id="1" xr6:uid="{F6342D9B-A980-428E-82D3-A753DEA8545C}" uniqueName="PassengerPoints">
      <xmlPr mapId="7" xpath="/MAKE/AOP/AOP_Frontal_FW/SUMMARY/Chest_assessment/@PassengerPoints" xmlDataType="decimal"/>
    </xmlCellPr>
  </singleXmlCell>
  <singleXmlCell id="3180" xr6:uid="{7F8F4437-7136-4D73-88D1-60F1A36692CD}" r="D58" connectionId="0">
    <xmlCellPr id="1" xr6:uid="{BF201BEB-7942-44A3-B495-840C4EF4A74E}" uniqueName="DriverPoints">
      <xmlPr mapId="7" xpath="/MAKE/AOP/AOP_Frontal_FW/SUMMARY/Knee_Femur_and_Pelvis_assessment/@DriverPoints" xmlDataType="decimal"/>
    </xmlCellPr>
  </singleXmlCell>
  <singleXmlCell id="3181" xr6:uid="{52942DA2-F535-4664-9A1D-2C505CB01068}" r="H58" connectionId="0">
    <xmlCellPr id="1" xr6:uid="{E415D8A5-02E1-43F2-BA39-39DA95AE71B3}" uniqueName="PassengerPoints">
      <xmlPr mapId="7" xpath="/MAKE/AOP/AOP_Frontal_FW/SUMMARY/Knee_Femur_and_Pelvis_assessment/@PassengerPoints" xmlDataType="decimal"/>
    </xmlCellPr>
  </singleXmlCell>
  <singleXmlCell id="3182" xr6:uid="{56AC0AB7-0704-4AC2-81CC-0287B2A44600}" r="D59" connectionId="0">
    <xmlCellPr id="1" xr6:uid="{E56E03EA-A571-413B-92DE-71D5C9C2D21A}" uniqueName="DriverPoints">
      <xmlPr mapId="7" xpath="/MAKE/AOP/AOP_Frontal_FW/TOTAL/@DriverPoints" xmlDataType="decimal"/>
    </xmlCellPr>
  </singleXmlCell>
  <singleXmlCell id="3183" xr6:uid="{B0DDA9F5-248D-4446-B70F-03786ED5F3D5}" r="H59" connectionId="0">
    <xmlCellPr id="1" xr6:uid="{7D04674B-C9F6-472E-81FB-28CAF04E4CFB}" uniqueName="PassengerPoints">
      <xmlPr mapId="7" xpath="/MAKE/AOP/AOP_Frontal_FW/TOTAL/@PassengerPoints" xmlDataType="decimal"/>
    </xmlCellPr>
  </singleXmlCell>
  <singleXmlCell id="3184" xr6:uid="{1FAA550C-A36E-4D90-A09F-EC01D9081CDE}" r="D61" connectionId="0">
    <xmlCellPr id="1" xr6:uid="{78F2AF2F-F7B1-4A70-9010-E4857EF7656E}" uniqueName="Door_Opening">
      <xmlPr mapId="7" xpath="/MAKE/AOP/AOP_Frontal_FW/Door_Opening" xmlDataType="integer"/>
    </xmlCellPr>
  </singleXmlCell>
  <singleXmlCell id="2146" xr6:uid="{DC66A71D-2341-4AC3-BC2B-85D60654EF4A}" r="I13" connectionId="0">
    <xmlCellPr id="1" xr6:uid="{75B34764-7789-4DA0-8875-22C043A769DB}" uniqueName="Head_Excursion">
      <xmlPr mapId="7" xpath="/MAKE/AOP/AOP_Frontal_FW/Head_Assessment/Head_Excursion" xmlDataType="integer"/>
    </xmlCellPr>
  </singleXmlCell>
  <singleXmlCell id="2147" xr6:uid="{55206C85-92B2-4442-8F6D-3C79E69B1C10}" r="E40" connectionId="0">
    <xmlCellPr id="1" xr6:uid="{D0AD22C8-7068-48BB-BF55-18B78BAD54C2}" uniqueName="DriverPoints">
      <xmlPr mapId="7" xpath="/MAKE/AOP/AOP_Frontal_FW/Knee_Femur_and_Pelvis_assessment/Pelvis_assessment/Submarining_Modifier/@DriverPoints" xmlDataType="decimal"/>
    </xmlCellPr>
  </singleXmlCell>
  <singleXmlCell id="2148" xr6:uid="{5E5E756E-7513-42D5-AD89-C349D3026B8E}" r="I40" connectionId="0">
    <xmlCellPr id="1" xr6:uid="{DE2BB55A-0BBB-47E0-9321-F6349ABAB9A3}" uniqueName="PassengerPoints">
      <xmlPr mapId="7" xpath="/MAKE/AOP/AOP_Frontal_FW/Knee_Femur_and_Pelvis_assessment/Pelvis_assessment/Submarining_Modifier/@PassengerPoints" xmlDataType="decimal"/>
    </xmlCellPr>
  </singleXmlCell>
  <singleXmlCell id="2149" xr6:uid="{FCD1DDC7-2354-4BE8-8C14-6F09DDF4483C}" r="G40" connectionId="0">
    <xmlCellPr id="1" xr6:uid="{A9422C1F-22CC-47E8-86BF-9904E8F84343}" uniqueName="OEM_Pass_Points">
      <xmlPr mapId="7" xpath="/MAKE/AOP/AOP_Frontal_FW/Knee_Femur_and_Pelvis_assessment/Pelvis_assessment/Submarining_Modifier/@OEM_Pass_Points" xmlDataType="decimal"/>
    </xmlCellPr>
  </singleXmlCell>
  <singleXmlCell id="2150" xr6:uid="{3AFB5C56-C2F8-4769-8700-E25A200BC04E}" r="D46" connectionId="0">
    <xmlCellPr id="1" xr6:uid="{4C0C796A-C879-43CC-86DA-9B9D8E099543}" uniqueName="Left_compression_kN">
      <xmlPr mapId="7" xpath="/MAKE/AOP/AOP_Frontal_FW/LOWER_LEG/Left_compression_kN" xmlDataType="decimal"/>
    </xmlCellPr>
  </singleXmlCell>
  <singleXmlCell id="2184" xr6:uid="{2A4AB822-6916-4702-B550-1BD046FA5846}" r="D47" connectionId="0">
    <xmlCellPr id="1" xr6:uid="{3B73649F-44F9-4718-804A-69350324948C}" uniqueName="Left_Upper_Tibia_Index">
      <xmlPr mapId="7" xpath="/MAKE/AOP/AOP_Frontal_FW/LOWER_LEG/Left_Upper_Tibia_Index" xmlDataType="decimal"/>
    </xmlCellPr>
  </singleXmlCell>
  <singleXmlCell id="2186" xr6:uid="{3740C8BC-3AFE-453B-AD56-0394EB5CA739}" r="D48" connectionId="0">
    <xmlCellPr id="1" xr6:uid="{8226A31B-00FB-47FD-B0F8-A1C0F4BC1601}" uniqueName="Left_Lower_Tibia_Index">
      <xmlPr mapId="7" xpath="/MAKE/AOP/AOP_Frontal_FW/LOWER_LEG/Left_Lower_Tibia_Index" xmlDataType="decimal"/>
    </xmlCellPr>
  </singleXmlCell>
  <singleXmlCell id="2195" xr6:uid="{93194F74-0F7A-4A40-8AB9-9A8DC0899D2A}" r="D50" connectionId="0">
    <xmlCellPr id="1" xr6:uid="{7EFA6D5F-32FB-4C74-BA83-7D8CE1337FC1}" uniqueName="Right_compression_kN">
      <xmlPr mapId="7" xpath="/MAKE/AOP/AOP_Frontal_FW/LOWER_LEG/Right_compression_kN" xmlDataType="decimal"/>
    </xmlCellPr>
  </singleXmlCell>
  <singleXmlCell id="2196" xr6:uid="{E3C3484D-7FE4-42D4-B717-D71CA8E3814C}" r="D51" connectionId="0">
    <xmlCellPr id="1" xr6:uid="{255972BE-616A-499C-9684-B61C191EB683}" uniqueName="Right_Upper_Tibia_Index">
      <xmlPr mapId="7" xpath="/MAKE/AOP/AOP_Frontal_FW/LOWER_LEG/Right_Upper_Tibia_Index" xmlDataType="decimal"/>
    </xmlCellPr>
  </singleXmlCell>
  <singleXmlCell id="2197" xr6:uid="{80B95D69-8BCF-4D7E-B47C-01EA610D2B9A}" r="D52" connectionId="0">
    <xmlCellPr id="1" xr6:uid="{5B676BC6-F46B-4031-9B41-15C394680C7A}" uniqueName="Right_Lower_Tibia_Index">
      <xmlPr mapId="7" xpath="/MAKE/AOP/AOP_Frontal_FW/LOWER_LEG/Right_Lower_Tibia_Index" xmlDataType="decimal"/>
    </xmlCellPr>
  </singleXmlCell>
  <singleXmlCell id="2198" xr6:uid="{69883F1D-42AC-4229-A2FC-C121DE901368}" r="F46" connectionId="0">
    <xmlCellPr id="1" xr6:uid="{52ED246F-5EA9-4461-A7CA-9C674B1A0115}" uniqueName="OEM_Pass_Value">
      <xmlPr mapId="7" xpath="/MAKE/AOP/AOP_Frontal_FW/LOWER_LEG/Left_compression_kN/@OEM_Pass_Value" xmlDataType="decimal"/>
    </xmlCellPr>
  </singleXmlCell>
  <singleXmlCell id="2199" xr6:uid="{CF86E295-C57B-485D-840A-BFFE3C56538E}" r="F47" connectionId="0">
    <xmlCellPr id="1" xr6:uid="{57DA55AA-7CCE-4F70-8E9A-AB4DCF53C8A4}" uniqueName="OEM_Pass_Value">
      <xmlPr mapId="7" xpath="/MAKE/AOP/AOP_Frontal_FW/LOWER_LEG/Left_Upper_Tibia_Index/@OEM_Pass_Value" xmlDataType="decimal"/>
    </xmlCellPr>
  </singleXmlCell>
  <singleXmlCell id="2200" xr6:uid="{A0A5E475-2911-4A81-B999-B3E06892E572}" r="F48" connectionId="0">
    <xmlCellPr id="1" xr6:uid="{878EBB05-818A-4145-91D2-3F911A696CA0}" uniqueName="OEM_Pass_Value">
      <xmlPr mapId="7" xpath="/MAKE/AOP/AOP_Frontal_FW/LOWER_LEG/Left_Lower_Tibia_Index/@OEM_Pass_Value" xmlDataType="decimal"/>
    </xmlCellPr>
  </singleXmlCell>
  <singleXmlCell id="2203" xr6:uid="{A0E68CCF-F33E-4FF3-9FE4-BA29E0E19A98}" r="F50" connectionId="0">
    <xmlCellPr id="1" xr6:uid="{1EF47C46-0895-4F80-AC7D-EE6BE7264D94}" uniqueName="OEM_Pass_Value">
      <xmlPr mapId="7" xpath="/MAKE/AOP/AOP_Frontal_FW/LOWER_LEG/Right_compression_kN/@OEM_Pass_Value" xmlDataType="decimal"/>
    </xmlCellPr>
  </singleXmlCell>
  <singleXmlCell id="2204" xr6:uid="{C86F14FD-9C15-4606-853B-35A6D3F7752B}" r="F51" connectionId="0">
    <xmlCellPr id="1" xr6:uid="{2A957299-0638-4A5C-A95E-710884962EC1}" uniqueName="OEM_Pass_Value">
      <xmlPr mapId="7" xpath="/MAKE/AOP/AOP_Frontal_FW/LOWER_LEG/Right_Upper_Tibia_Index/@OEM_Pass_Value" xmlDataType="decimal"/>
    </xmlCellPr>
  </singleXmlCell>
  <singleXmlCell id="2205" xr6:uid="{3CB53B71-CF42-411F-AC69-828EFFFAA482}" r="F52" connectionId="0">
    <xmlCellPr id="1" xr6:uid="{AA1114D2-43C8-45CD-B317-A429E3A378FF}" uniqueName="OEM_Pass_Value">
      <xmlPr mapId="7" xpath="/MAKE/AOP/AOP_Frontal_FW/LOWER_LEG/Right_Lower_Tibia_Index/@OEM_Pass_Value" xmlDataType="decimal"/>
    </xmlCellPr>
  </singleXmlCell>
  <singleXmlCell id="2206" xr6:uid="{7752D333-5965-458C-8F8F-40608FA95C91}" r="D71" connectionId="0">
    <xmlCellPr id="1" xr6:uid="{AD3F8943-3A13-4767-9AFC-CD252190E777}" uniqueName="DriverValue">
      <xmlPr mapId="7" xpath="/MAKE/AOP/AOP_Frontal_FW/DUMMY_MEASUREMENTS/Head/Ax_Max/@DriverValue" xmlDataType="decimal"/>
    </xmlCellPr>
  </singleXmlCell>
  <singleXmlCell id="2207" xr6:uid="{5AE8D812-197E-47FF-B606-757782910EFF}" r="F71" connectionId="0">
    <xmlCellPr id="1" xr6:uid="{C6C1BFC8-3506-4273-B5FF-240841881C9C}" uniqueName="OEM_Pass_Value">
      <xmlPr mapId="7" xpath="/MAKE/AOP/AOP_Frontal_FW/DUMMY_MEASUREMENTS/Head/Ax_Max/@OEM_Pass_Value" xmlDataType="decimal"/>
    </xmlCellPr>
  </singleXmlCell>
  <singleXmlCell id="2208" xr6:uid="{7AE6B5FF-7E3E-4EAE-BAF2-B0BE97206843}" r="H71" connectionId="0">
    <xmlCellPr id="1" xr6:uid="{AA1B2B14-D98A-4804-802E-B2FD99DE67A8}" uniqueName="PassengerValue">
      <xmlPr mapId="7" xpath="/MAKE/AOP/AOP_Frontal_FW/DUMMY_MEASUREMENTS/Head/Ax_Max/@PassengerValue" xmlDataType="decimal"/>
    </xmlCellPr>
  </singleXmlCell>
  <singleXmlCell id="2209" xr6:uid="{72A46669-C476-4B97-A9E8-F08EBF6646CE}" r="D72" connectionId="0">
    <xmlCellPr id="1" xr6:uid="{012971CC-FA4E-4D06-A458-91A78F0F659D}" uniqueName="DriverValue">
      <xmlPr mapId="7" xpath="/MAKE/AOP/AOP_Frontal_FW/DUMMY_MEASUREMENTS/Head/Ax_Min/@DriverValue" xmlDataType="decimal"/>
    </xmlCellPr>
  </singleXmlCell>
  <singleXmlCell id="2210" xr6:uid="{577F5829-5CE2-40E7-9CF9-328A55AA8426}" r="F72" connectionId="0">
    <xmlCellPr id="1" xr6:uid="{219026A6-573D-484D-99B7-C63D0389F599}" uniqueName="OEM_Pass_Value">
      <xmlPr mapId="7" xpath="/MAKE/AOP/AOP_Frontal_FW/DUMMY_MEASUREMENTS/Head/Ax_Min/@OEM_Pass_Value" xmlDataType="decimal"/>
    </xmlCellPr>
  </singleXmlCell>
  <singleXmlCell id="2212" xr6:uid="{0D3ED846-C13C-40D7-9530-C706BD49F662}" r="H72" connectionId="0">
    <xmlCellPr id="1" xr6:uid="{141915DF-4422-468D-8B24-223738AB65B1}" uniqueName="PassengerValue">
      <xmlPr mapId="7" xpath="/MAKE/AOP/AOP_Frontal_FW/DUMMY_MEASUREMENTS/Head/Ax_Min/@PassengerValue" xmlDataType="decimal"/>
    </xmlCellPr>
  </singleXmlCell>
  <singleXmlCell id="2251" xr6:uid="{EDA2728B-443A-4C75-B590-EABCB30EA4B3}" r="D73" connectionId="0">
    <xmlCellPr id="1" xr6:uid="{88D31F21-E0F0-424E-8C5C-C657CAA58A14}" uniqueName="DriverValue">
      <xmlPr mapId="7" xpath="/MAKE/AOP/AOP_Frontal_FW/DUMMY_MEASUREMENTS/Head/Ay_Max/@DriverValue" xmlDataType="decimal"/>
    </xmlCellPr>
  </singleXmlCell>
  <singleXmlCell id="2254" xr6:uid="{6B347C4E-16C6-4464-BC6C-2AFD91641C7C}" r="F73" connectionId="0">
    <xmlCellPr id="1" xr6:uid="{A3F4228F-3783-4DEA-92F9-BBC0CC5D1E78}" uniqueName="OEM_Pass_Value">
      <xmlPr mapId="7" xpath="/MAKE/AOP/AOP_Frontal_FW/DUMMY_MEASUREMENTS/Head/Ay_Max/@OEM_Pass_Value" xmlDataType="decimal"/>
    </xmlCellPr>
  </singleXmlCell>
  <singleXmlCell id="2257" xr6:uid="{765360B5-89D9-4329-82C6-76D95FF98AC4}" r="H73" connectionId="0">
    <xmlCellPr id="1" xr6:uid="{A74BC0CF-61BE-44DC-8956-2FD374711EFA}" uniqueName="PassengerValue">
      <xmlPr mapId="7" xpath="/MAKE/AOP/AOP_Frontal_FW/DUMMY_MEASUREMENTS/Head/Ay_Max/@PassengerValue" xmlDataType="decimal"/>
    </xmlCellPr>
  </singleXmlCell>
  <singleXmlCell id="2260" xr6:uid="{F3113DD9-C778-4CCE-B4A9-F1E4E08B9FAD}" r="D74" connectionId="0">
    <xmlCellPr id="1" xr6:uid="{657F871A-FC7A-478E-9FB6-8663E5E5090A}" uniqueName="DriverValue">
      <xmlPr mapId="7" xpath="/MAKE/AOP/AOP_Frontal_FW/DUMMY_MEASUREMENTS/Head/Ay_Min/@DriverValue" xmlDataType="decimal"/>
    </xmlCellPr>
  </singleXmlCell>
  <singleXmlCell id="2263" xr6:uid="{96F94C97-9E6E-491D-94DE-B9DE3E6BFF14}" r="F74" connectionId="0">
    <xmlCellPr id="1" xr6:uid="{2AF679FE-F287-48B3-ADA1-B659FAB5F113}" uniqueName="OEM_Pass_Value">
      <xmlPr mapId="7" xpath="/MAKE/AOP/AOP_Frontal_FW/DUMMY_MEASUREMENTS/Head/Ay_Min/@OEM_Pass_Value" xmlDataType="decimal"/>
    </xmlCellPr>
  </singleXmlCell>
  <singleXmlCell id="2266" xr6:uid="{AA007268-3A3B-4672-933C-F0414C8FC8C4}" r="H74" connectionId="0">
    <xmlCellPr id="1" xr6:uid="{21A7314F-5CDE-4C1A-B9B5-CEE2C4981D8C}" uniqueName="PassengerValue">
      <xmlPr mapId="7" xpath="/MAKE/AOP/AOP_Frontal_FW/DUMMY_MEASUREMENTS/Head/Ay_Min/@PassengerValue" xmlDataType="decimal"/>
    </xmlCellPr>
  </singleXmlCell>
  <singleXmlCell id="2269" xr6:uid="{56084751-CEF7-46AB-938D-9F44693EA867}" r="D75" connectionId="0">
    <xmlCellPr id="1" xr6:uid="{D2A025F0-2B15-466E-B4F6-B7E7C750CCCA}" uniqueName="DriverValue">
      <xmlPr mapId="7" xpath="/MAKE/AOP/AOP_Frontal_FW/DUMMY_MEASUREMENTS/Head/Az_Max/@DriverValue" xmlDataType="decimal"/>
    </xmlCellPr>
  </singleXmlCell>
  <singleXmlCell id="2310" xr6:uid="{5DEE7440-A071-4450-90EA-8EECEE851D7B}" r="F75" connectionId="0">
    <xmlCellPr id="1" xr6:uid="{EF6FB1FB-A031-4D12-9665-089472C4A0BE}" uniqueName="OEM_Pass_Value">
      <xmlPr mapId="7" xpath="/MAKE/AOP/AOP_Frontal_FW/DUMMY_MEASUREMENTS/Head/Az_Max/@OEM_Pass_Value" xmlDataType="decimal"/>
    </xmlCellPr>
  </singleXmlCell>
  <singleXmlCell id="2313" xr6:uid="{79F9A082-D36F-40EE-A942-B7C2C1AB47DB}" r="H75" connectionId="0">
    <xmlCellPr id="1" xr6:uid="{FFCF9FC5-7DEC-400C-8215-837E93448F2B}" uniqueName="PassengerValue">
      <xmlPr mapId="7" xpath="/MAKE/AOP/AOP_Frontal_FW/DUMMY_MEASUREMENTS/Head/Az_Max/@PassengerValue" xmlDataType="decimal"/>
    </xmlCellPr>
  </singleXmlCell>
  <singleXmlCell id="2316" xr6:uid="{3631E3A8-D464-457C-83D7-764A69F7E34C}" r="D76" connectionId="0">
    <xmlCellPr id="1" xr6:uid="{0C3ED4B5-4082-4F76-9FCA-A9C5DE8951F2}" uniqueName="DriverValue">
      <xmlPr mapId="7" xpath="/MAKE/AOP/AOP_Frontal_FW/DUMMY_MEASUREMENTS/Head/Az_Min/@DriverValue" xmlDataType="decimal"/>
    </xmlCellPr>
  </singleXmlCell>
  <singleXmlCell id="2319" xr6:uid="{799A9E9B-2037-4461-B085-6DC4D58C246B}" r="F76" connectionId="0">
    <xmlCellPr id="1" xr6:uid="{A3A85D3D-932C-4EE5-B3EB-61542495E39B}" uniqueName="OEM_Pass_Value">
      <xmlPr mapId="7" xpath="/MAKE/AOP/AOP_Frontal_FW/DUMMY_MEASUREMENTS/Head/Az_Min/@OEM_Pass_Value" xmlDataType="decimal"/>
    </xmlCellPr>
  </singleXmlCell>
  <singleXmlCell id="2322" xr6:uid="{E7EEFE8E-4392-49E1-9B05-F858512B2747}" r="H76" connectionId="0">
    <xmlCellPr id="1" xr6:uid="{90730697-55C6-4651-925E-0BAC4135B976}" uniqueName="PassengerValue">
      <xmlPr mapId="7" xpath="/MAKE/AOP/AOP_Frontal_FW/DUMMY_MEASUREMENTS/Head/Az_Min/@PassengerValue" xmlDataType="decimal"/>
    </xmlCellPr>
  </singleXmlCell>
  <singleXmlCell id="2325" xr6:uid="{EF2504F1-8A5F-4238-9652-41A5939C2073}" r="D78" connectionId="0">
    <xmlCellPr id="1" xr6:uid="{FD6480D3-C2A2-438B-B7FF-7BB0683C5998}" uniqueName="DriverValue">
      <xmlPr mapId="7" xpath="/MAKE/AOP/AOP_Frontal_FW/DUMMY_MEASUREMENTS/Neck/Fx_Max/@DriverValue" xmlDataType="decimal"/>
    </xmlCellPr>
  </singleXmlCell>
  <singleXmlCell id="2328" xr6:uid="{C900FA62-6B63-4C04-9B4C-2C51C36EECC1}" r="F78" connectionId="0">
    <xmlCellPr id="1" xr6:uid="{6A84A75E-2CE9-42FF-AF13-45FA221B93A6}" uniqueName="OEM_Pass_Value">
      <xmlPr mapId="7" xpath="/MAKE/AOP/AOP_Frontal_FW/DUMMY_MEASUREMENTS/Neck/Fx_Max/@OEM_Pass_Value" xmlDataType="decimal"/>
    </xmlCellPr>
  </singleXmlCell>
  <singleXmlCell id="2331" xr6:uid="{B6D7461C-2CE5-4548-AD95-A9382FE36FA9}" r="H78" connectionId="0">
    <xmlCellPr id="1" xr6:uid="{575BD09A-6CB6-40CF-80D4-175EF57204AF}" uniqueName="PassengerValue">
      <xmlPr mapId="7" xpath="/MAKE/AOP/AOP_Frontal_FW/DUMMY_MEASUREMENTS/Neck/Fx_Max/@PassengerValue" xmlDataType="decimal"/>
    </xmlCellPr>
  </singleXmlCell>
  <singleXmlCell id="2334" xr6:uid="{65248B17-BF2E-48A7-9DD7-B16F01E0F6BF}" r="D79" connectionId="0">
    <xmlCellPr id="1" xr6:uid="{50F7A823-9DED-4040-8BA1-D9B183F64ADE}" uniqueName="DriverValue">
      <xmlPr mapId="7" xpath="/MAKE/AOP/AOP_Frontal_FW/DUMMY_MEASUREMENTS/Neck/Fx_Min/@DriverValue" xmlDataType="decimal"/>
    </xmlCellPr>
  </singleXmlCell>
  <singleXmlCell id="2337" xr6:uid="{02D5E19A-9F61-43D5-831B-D2AFFF5C373E}" r="F79" connectionId="0">
    <xmlCellPr id="1" xr6:uid="{78E894A8-F52C-4D0C-867E-8B4FB7969116}" uniqueName="OEM_Pass_Value">
      <xmlPr mapId="7" xpath="/MAKE/AOP/AOP_Frontal_FW/DUMMY_MEASUREMENTS/Neck/Fx_Min/@OEM_Pass_Value" xmlDataType="decimal"/>
    </xmlCellPr>
  </singleXmlCell>
  <singleXmlCell id="2340" xr6:uid="{F803C4F4-CBD2-465D-A5A2-C18F4A30AC53}" r="H79" connectionId="0">
    <xmlCellPr id="1" xr6:uid="{11B9DE9C-323A-47A2-AD1D-7B0429E0DE95}" uniqueName="PassengerValue">
      <xmlPr mapId="7" xpath="/MAKE/AOP/AOP_Frontal_FW/DUMMY_MEASUREMENTS/Neck/Fx_Min/@PassengerValue" xmlDataType="decimal"/>
    </xmlCellPr>
  </singleXmlCell>
  <singleXmlCell id="2343" xr6:uid="{355F1641-F606-4A20-AD93-BB7AC05ED17D}" r="D80" connectionId="0">
    <xmlCellPr id="1" xr6:uid="{39EBCEA1-6C05-4969-B259-77184BE7558B}" uniqueName="DriverValue">
      <xmlPr mapId="7" xpath="/MAKE/AOP/AOP_Frontal_FW/DUMMY_MEASUREMENTS/Neck/Fy_Max/@DriverValue" xmlDataType="decimal"/>
    </xmlCellPr>
  </singleXmlCell>
  <singleXmlCell id="2346" xr6:uid="{A20B1237-CCBE-4740-9E43-7EA2B15FA511}" r="F80" connectionId="0">
    <xmlCellPr id="1" xr6:uid="{26989AE0-B7DD-48B1-88F3-9B93FDFC295E}" uniqueName="OEM_Pass_Value">
      <xmlPr mapId="7" xpath="/MAKE/AOP/AOP_Frontal_FW/DUMMY_MEASUREMENTS/Neck/Fy_Max/@OEM_Pass_Value" xmlDataType="decimal"/>
    </xmlCellPr>
  </singleXmlCell>
  <singleXmlCell id="2349" xr6:uid="{ADEC3D56-5233-4670-9ECA-9DF11F629A75}" r="H80" connectionId="0">
    <xmlCellPr id="1" xr6:uid="{094E6A99-2090-4652-9319-071B86C0D2B3}" uniqueName="PassengerValue">
      <xmlPr mapId="7" xpath="/MAKE/AOP/AOP_Frontal_FW/DUMMY_MEASUREMENTS/Neck/Fy_Max/@PassengerValue" xmlDataType="decimal"/>
    </xmlCellPr>
  </singleXmlCell>
  <singleXmlCell id="2352" xr6:uid="{477D685B-2655-44A5-8E88-49FF90961A86}" r="D81" connectionId="0">
    <xmlCellPr id="1" xr6:uid="{6E0D53D2-2288-4E9B-A16C-0EC945377CF5}" uniqueName="DriverValue">
      <xmlPr mapId="7" xpath="/MAKE/AOP/AOP_Frontal_FW/DUMMY_MEASUREMENTS/Neck/Fy_Min/@DriverValue" xmlDataType="decimal"/>
    </xmlCellPr>
  </singleXmlCell>
  <singleXmlCell id="2355" xr6:uid="{C050A25A-B44F-4660-9B8A-2E5254EE9358}" r="F81" connectionId="0">
    <xmlCellPr id="1" xr6:uid="{50E180D8-48CE-4F43-9A36-681CC381F031}" uniqueName="OEM_Pass_Value">
      <xmlPr mapId="7" xpath="/MAKE/AOP/AOP_Frontal_FW/DUMMY_MEASUREMENTS/Neck/Fy_Min/@OEM_Pass_Value" xmlDataType="decimal"/>
    </xmlCellPr>
  </singleXmlCell>
  <singleXmlCell id="2358" xr6:uid="{3C1B076B-C810-42A6-ADCA-69100B8D9BE8}" r="H81" connectionId="0">
    <xmlCellPr id="1" xr6:uid="{C52CC710-B7B0-4A1E-8125-082C22C7F829}" uniqueName="PassengerValue">
      <xmlPr mapId="7" xpath="/MAKE/AOP/AOP_Frontal_FW/DUMMY_MEASUREMENTS/Neck/Fy_Min/@PassengerValue" xmlDataType="decimal"/>
    </xmlCellPr>
  </singleXmlCell>
  <singleXmlCell id="2361" xr6:uid="{7A8E3746-D27B-4242-8D9C-B2A05BAFBA57}" r="D82" connectionId="0">
    <xmlCellPr id="1" xr6:uid="{F43613BD-8B02-4C34-A8B1-75F85D440E64}" uniqueName="DriverValue">
      <xmlPr mapId="7" xpath="/MAKE/AOP/AOP_Frontal_FW/DUMMY_MEASUREMENTS/Neck/Fz_Max/@DriverValue" xmlDataType="decimal"/>
    </xmlCellPr>
  </singleXmlCell>
  <singleXmlCell id="2364" xr6:uid="{716EFA5B-1053-42DF-9E69-6EB589FCAFAB}" r="F82" connectionId="0">
    <xmlCellPr id="1" xr6:uid="{280A11EB-6A4B-44E0-9683-FF07B4A726F0}" uniqueName="OEM_Pass_Value">
      <xmlPr mapId="7" xpath="/MAKE/AOP/AOP_Frontal_FW/DUMMY_MEASUREMENTS/Neck/Fz_Max/@OEM_Pass_Value" xmlDataType="decimal"/>
    </xmlCellPr>
  </singleXmlCell>
  <singleXmlCell id="2367" xr6:uid="{FFFC1C94-6D24-4A63-AF7E-265E5E907C5E}" r="H82" connectionId="0">
    <xmlCellPr id="1" xr6:uid="{F3A7DA57-2686-4380-832B-11F5DA9DB8FD}" uniqueName="PassengerValue">
      <xmlPr mapId="7" xpath="/MAKE/AOP/AOP_Frontal_FW/DUMMY_MEASUREMENTS/Neck/Fz_Max/@PassengerValue" xmlDataType="decimal"/>
    </xmlCellPr>
  </singleXmlCell>
  <singleXmlCell id="2370" xr6:uid="{F09C7AF6-65C5-4DA1-8085-5CEFF11F11D9}" r="D83" connectionId="0">
    <xmlCellPr id="1" xr6:uid="{D64B9E7E-ADC5-46EA-AFF2-53DB042F08CA}" uniqueName="DriverValue">
      <xmlPr mapId="7" xpath="/MAKE/AOP/AOP_Frontal_FW/DUMMY_MEASUREMENTS/Neck/Fz_Min/@DriverValue" xmlDataType="decimal"/>
    </xmlCellPr>
  </singleXmlCell>
  <singleXmlCell id="2373" xr6:uid="{2354D9E8-1570-4487-96D2-8ED67F30C3FB}" r="F83" connectionId="0">
    <xmlCellPr id="1" xr6:uid="{5C9CCB99-D515-47B7-84BF-3ECF93B9460F}" uniqueName="OEM_Pass_Value">
      <xmlPr mapId="7" xpath="/MAKE/AOP/AOP_Frontal_FW/DUMMY_MEASUREMENTS/Neck/Fz_Min/@OEM_Pass_Value" xmlDataType="decimal"/>
    </xmlCellPr>
  </singleXmlCell>
  <singleXmlCell id="2376" xr6:uid="{9DDF6F89-B070-4263-89A6-C9AEF2819B73}" r="H83" connectionId="0">
    <xmlCellPr id="1" xr6:uid="{89FDCB22-7A5A-453E-92E3-D2B243CBEBD7}" uniqueName="PassengerValue">
      <xmlPr mapId="7" xpath="/MAKE/AOP/AOP_Frontal_FW/DUMMY_MEASUREMENTS/Neck/Fz_Min/@PassengerValue" xmlDataType="decimal"/>
    </xmlCellPr>
  </singleXmlCell>
  <singleXmlCell id="2379" xr6:uid="{F8F98121-C471-4317-96C8-E7C075746BF5}" r="D84" connectionId="0">
    <xmlCellPr id="1" xr6:uid="{61349B0E-F11C-4789-B91D-4BB858A0DE96}" uniqueName="DriverValue">
      <xmlPr mapId="7" xpath="/MAKE/AOP/AOP_Frontal_FW/DUMMY_MEASUREMENTS/Neck/Mx_Max/@DriverValue" xmlDataType="decimal"/>
    </xmlCellPr>
  </singleXmlCell>
  <singleXmlCell id="2382" xr6:uid="{417FEA61-FF15-4C95-B0D2-81F8E70CB25D}" r="F84" connectionId="0">
    <xmlCellPr id="1" xr6:uid="{240F682C-76DE-4F04-91B8-64B904495E12}" uniqueName="OEM_Pass_Value">
      <xmlPr mapId="7" xpath="/MAKE/AOP/AOP_Frontal_FW/DUMMY_MEASUREMENTS/Neck/Mx_Max/@OEM_Pass_Value" xmlDataType="decimal"/>
    </xmlCellPr>
  </singleXmlCell>
  <singleXmlCell id="2385" xr6:uid="{078AC76C-E71D-49C6-86B7-D6AB1DAB782C}" r="H84" connectionId="0">
    <xmlCellPr id="1" xr6:uid="{CCFED792-6230-4823-8942-5B95EFE49E48}" uniqueName="PassengerValue">
      <xmlPr mapId="7" xpath="/MAKE/AOP/AOP_Frontal_FW/DUMMY_MEASUREMENTS/Neck/Mx_Max/@PassengerValue" xmlDataType="decimal"/>
    </xmlCellPr>
  </singleXmlCell>
  <singleXmlCell id="2388" xr6:uid="{463F8045-34A1-4987-8304-A8A096FDDCAA}" r="D85" connectionId="0">
    <xmlCellPr id="1" xr6:uid="{1F88463C-026E-4D3F-BE83-3E244A8364C6}" uniqueName="DriverValue">
      <xmlPr mapId="7" xpath="/MAKE/AOP/AOP_Frontal_FW/DUMMY_MEASUREMENTS/Neck/Mx_Min/@DriverValue" xmlDataType="decimal"/>
    </xmlCellPr>
  </singleXmlCell>
  <singleXmlCell id="2391" xr6:uid="{F1FC5279-F326-4009-B45D-F29DCAF75EEE}" r="F85" connectionId="0">
    <xmlCellPr id="1" xr6:uid="{E5744C20-7F4E-4BAE-8DC0-80FEBC335691}" uniqueName="OEM_Pass_Value">
      <xmlPr mapId="7" xpath="/MAKE/AOP/AOP_Frontal_FW/DUMMY_MEASUREMENTS/Neck/Mx_Min/@OEM_Pass_Value" xmlDataType="decimal"/>
    </xmlCellPr>
  </singleXmlCell>
  <singleXmlCell id="2394" xr6:uid="{43BC2721-EA9B-443E-8B7B-6F6924BF1A32}" r="H85" connectionId="0">
    <xmlCellPr id="1" xr6:uid="{B5A94A55-B4E0-44F5-B9F2-C9EB181F749E}" uniqueName="PassengerValue">
      <xmlPr mapId="7" xpath="/MAKE/AOP/AOP_Frontal_FW/DUMMY_MEASUREMENTS/Neck/Mx_Min/@PassengerValue" xmlDataType="decimal"/>
    </xmlCellPr>
  </singleXmlCell>
  <singleXmlCell id="2397" xr6:uid="{CA75B7AC-BC47-475C-AC4D-FE7E9663FCCB}" r="D86" connectionId="0">
    <xmlCellPr id="1" xr6:uid="{E1272465-6454-4A1E-805E-5B06B46CCEC8}" uniqueName="DriverValue">
      <xmlPr mapId="7" xpath="/MAKE/AOP/AOP_Frontal_FW/DUMMY_MEASUREMENTS/Neck/My_Max/@DriverValue" xmlDataType="decimal"/>
    </xmlCellPr>
  </singleXmlCell>
  <singleXmlCell id="2400" xr6:uid="{BAF14CEC-4D6F-45A7-909E-A7A6249B5C1E}" r="F86" connectionId="0">
    <xmlCellPr id="1" xr6:uid="{FA4047E2-D648-48AB-9038-774FCF3D6479}" uniqueName="OEM_Pass_Value">
      <xmlPr mapId="7" xpath="/MAKE/AOP/AOP_Frontal_FW/DUMMY_MEASUREMENTS/Neck/My_Max/@OEM_Pass_Value" xmlDataType="decimal"/>
    </xmlCellPr>
  </singleXmlCell>
  <singleXmlCell id="2403" xr6:uid="{6EEB54E4-A87A-4880-8113-6C2B854C8442}" r="H86" connectionId="0">
    <xmlCellPr id="1" xr6:uid="{2FDC0176-C31F-4402-8D97-74CFBF280F6D}" uniqueName="PassengerValue">
      <xmlPr mapId="7" xpath="/MAKE/AOP/AOP_Frontal_FW/DUMMY_MEASUREMENTS/Neck/My_Max/@PassengerValue" xmlDataType="decimal"/>
    </xmlCellPr>
  </singleXmlCell>
  <singleXmlCell id="2406" xr6:uid="{8675F62E-F5FC-499F-B075-DBCA76F5C7AA}" r="D87" connectionId="0">
    <xmlCellPr id="1" xr6:uid="{B7FFCAE0-8DB8-4D6E-913F-9BF679DC976C}" uniqueName="DriverValue">
      <xmlPr mapId="7" xpath="/MAKE/AOP/AOP_Frontal_FW/DUMMY_MEASUREMENTS/Neck/My_Min/@DriverValue" xmlDataType="decimal"/>
    </xmlCellPr>
  </singleXmlCell>
  <singleXmlCell id="2409" xr6:uid="{AFA72DB2-144D-4700-8EE9-2A2DEA628232}" r="F87" connectionId="0">
    <xmlCellPr id="1" xr6:uid="{D757FA20-CD6C-4D62-989F-E19180E3530C}" uniqueName="OEM_Pass_Value">
      <xmlPr mapId="7" xpath="/MAKE/AOP/AOP_Frontal_FW/DUMMY_MEASUREMENTS/Neck/My_Min/@OEM_Pass_Value" xmlDataType="decimal"/>
    </xmlCellPr>
  </singleXmlCell>
  <singleXmlCell id="2412" xr6:uid="{47AFF129-927A-45A2-A28A-A9318BACAF2D}" r="H87" connectionId="0">
    <xmlCellPr id="1" xr6:uid="{BC9D2FDB-3FF5-4599-8E11-50DBCA8E3B97}" uniqueName="PassengerValue">
      <xmlPr mapId="7" xpath="/MAKE/AOP/AOP_Frontal_FW/DUMMY_MEASUREMENTS/Neck/My_Min/@PassengerValue" xmlDataType="decimal"/>
    </xmlCellPr>
  </singleXmlCell>
  <singleXmlCell id="2415" xr6:uid="{74BA89AA-F62E-415D-B907-CDE17BE55117}" r="D88" connectionId="0">
    <xmlCellPr id="1" xr6:uid="{F92950EE-4E88-4D70-9C9C-CC58092AC3AF}" uniqueName="DriverValue">
      <xmlPr mapId="7" xpath="/MAKE/AOP/AOP_Frontal_FW/DUMMY_MEASUREMENTS/Neck/Mz_Max/@DriverValue" xmlDataType="decimal"/>
    </xmlCellPr>
  </singleXmlCell>
  <singleXmlCell id="2418" xr6:uid="{369D4CD8-52FE-42E4-BCC0-EDC2851B21EF}" r="F88" connectionId="0">
    <xmlCellPr id="1" xr6:uid="{E048D24F-F3C4-465A-A146-FDCAC529C84C}" uniqueName="OEM_Pass_Value">
      <xmlPr mapId="7" xpath="/MAKE/AOP/AOP_Frontal_FW/DUMMY_MEASUREMENTS/Neck/Mz_Max/@OEM_Pass_Value" xmlDataType="decimal"/>
    </xmlCellPr>
  </singleXmlCell>
  <singleXmlCell id="2421" xr6:uid="{3970F1C4-132A-42E9-A76B-E126D86862E5}" r="H88" connectionId="0">
    <xmlCellPr id="1" xr6:uid="{F8442A6F-C544-414E-B5A1-C76A3427EBE3}" uniqueName="PassengerValue">
      <xmlPr mapId="7" xpath="/MAKE/AOP/AOP_Frontal_FW/DUMMY_MEASUREMENTS/Neck/Mz_Max/@PassengerValue" xmlDataType="decimal"/>
    </xmlCellPr>
  </singleXmlCell>
  <singleXmlCell id="2424" xr6:uid="{FB7236E4-FAF2-4EE3-9BF0-6989CB6EBB3A}" r="D89" connectionId="0">
    <xmlCellPr id="1" xr6:uid="{C10BB29C-FE38-4E12-8A5F-98823A5FC331}" uniqueName="DriverValue">
      <xmlPr mapId="7" xpath="/MAKE/AOP/AOP_Frontal_FW/DUMMY_MEASUREMENTS/Neck/Mz_Min/@DriverValue" xmlDataType="decimal"/>
    </xmlCellPr>
  </singleXmlCell>
  <singleXmlCell id="2427" xr6:uid="{66185E35-5C85-4333-B334-5532F55F3EBA}" r="F89" connectionId="0">
    <xmlCellPr id="1" xr6:uid="{7782E44F-189D-493B-BD3C-ECE03C629050}" uniqueName="OEM_Pass_Value">
      <xmlPr mapId="7" xpath="/MAKE/AOP/AOP_Frontal_FW/DUMMY_MEASUREMENTS/Neck/Mz_Min/@OEM_Pass_Value" xmlDataType="decimal"/>
    </xmlCellPr>
  </singleXmlCell>
  <singleXmlCell id="2430" xr6:uid="{4CCEB479-7DED-412E-9EDB-D503F76CFFD3}" r="H89" connectionId="0">
    <xmlCellPr id="1" xr6:uid="{D5CBDED0-4DB5-4495-9194-81112C9FD669}" uniqueName="PassengerValue">
      <xmlPr mapId="7" xpath="/MAKE/AOP/AOP_Frontal_FW/DUMMY_MEASUREMENTS/Neck/Mz_Min/@PassengerValue" xmlDataType="decimal"/>
    </xmlCellPr>
  </singleXmlCell>
  <singleXmlCell id="2433" xr6:uid="{C6129A1D-06B6-4381-A63C-FF0832610305}" r="D91" connectionId="0">
    <xmlCellPr id="1" xr6:uid="{9AAC4BD5-1347-4B50-8452-C990F87697B9}" uniqueName="DriverValue">
      <xmlPr mapId="7" xpath="/MAKE/AOP/AOP_Frontal_FW/DUMMY_MEASUREMENTS/Chest/Ax_Max/@DriverValue" xmlDataType="decimal"/>
    </xmlCellPr>
  </singleXmlCell>
  <singleXmlCell id="2436" xr6:uid="{7788EE56-153C-47B9-B865-3EED928DE232}" r="F91" connectionId="0">
    <xmlCellPr id="1" xr6:uid="{9BA61580-FED7-423B-B908-410C5F777BFA}" uniqueName="OEM_Pass_Value">
      <xmlPr mapId="7" xpath="/MAKE/AOP/AOP_Frontal_FW/DUMMY_MEASUREMENTS/Chest/Ax_Max/@OEM_Pass_Value" xmlDataType="decimal"/>
    </xmlCellPr>
  </singleXmlCell>
  <singleXmlCell id="2439" xr6:uid="{43AB5D44-7675-40EA-91FC-CA2F52B36044}" r="H91" connectionId="0">
    <xmlCellPr id="1" xr6:uid="{702F0A3A-EA85-4E7B-BFB5-99C6985A93BA}" uniqueName="PassengerValue">
      <xmlPr mapId="7" xpath="/MAKE/AOP/AOP_Frontal_FW/DUMMY_MEASUREMENTS/Chest/Ax_Max/@PassengerValue" xmlDataType="decimal"/>
    </xmlCellPr>
  </singleXmlCell>
  <singleXmlCell id="2442" xr6:uid="{F82411F6-B0D0-412D-8A9C-3A728B8434D5}" r="D92" connectionId="0">
    <xmlCellPr id="1" xr6:uid="{DE68C89C-348A-411A-8881-93E310589FA7}" uniqueName="DriverValue">
      <xmlPr mapId="7" xpath="/MAKE/AOP/AOP_Frontal_FW/DUMMY_MEASUREMENTS/Chest/Ax_Min/@DriverValue" xmlDataType="decimal"/>
    </xmlCellPr>
  </singleXmlCell>
  <singleXmlCell id="2445" xr6:uid="{C2C5F3F5-8EBE-4A15-8D94-3F70634CCDC2}" r="F92" connectionId="0">
    <xmlCellPr id="1" xr6:uid="{92588AA3-CC99-49A8-BDB6-E1F77F5BCB6F}" uniqueName="OEM_Pass_Value">
      <xmlPr mapId="7" xpath="/MAKE/AOP/AOP_Frontal_FW/DUMMY_MEASUREMENTS/Chest/Ax_Min/@OEM_Pass_Value" xmlDataType="decimal"/>
    </xmlCellPr>
  </singleXmlCell>
  <singleXmlCell id="2448" xr6:uid="{B64F10F2-89B2-4011-A0D2-634B69467397}" r="H92" connectionId="0">
    <xmlCellPr id="1" xr6:uid="{261E97DE-5042-4001-85DF-C0D32C5E18BD}" uniqueName="PassengerValue">
      <xmlPr mapId="7" xpath="/MAKE/AOP/AOP_Frontal_FW/DUMMY_MEASUREMENTS/Chest/Ax_Min/@PassengerValue" xmlDataType="decimal"/>
    </xmlCellPr>
  </singleXmlCell>
  <singleXmlCell id="2451" xr6:uid="{7D51A260-0CA1-4635-8BF7-EB1B5B90717E}" r="D93" connectionId="0">
    <xmlCellPr id="1" xr6:uid="{29A26E32-8986-4961-9768-433109A7F078}" uniqueName="DriverValue">
      <xmlPr mapId="7" xpath="/MAKE/AOP/AOP_Frontal_FW/DUMMY_MEASUREMENTS/Chest/Ay_Max/@DriverValue" xmlDataType="decimal"/>
    </xmlCellPr>
  </singleXmlCell>
  <singleXmlCell id="2454" xr6:uid="{5A0A2921-7120-46B5-8348-3D9E8928D1D6}" r="F93" connectionId="0">
    <xmlCellPr id="1" xr6:uid="{2384053F-9138-4830-BF74-57FC5FC44629}" uniqueName="OEM_Pass_Value">
      <xmlPr mapId="7" xpath="/MAKE/AOP/AOP_Frontal_FW/DUMMY_MEASUREMENTS/Chest/Ay_Max/@OEM_Pass_Value" xmlDataType="decimal"/>
    </xmlCellPr>
  </singleXmlCell>
  <singleXmlCell id="2457" xr6:uid="{5EC7A315-92AA-4D0A-9F3E-8646551CD09F}" r="H93" connectionId="0">
    <xmlCellPr id="1" xr6:uid="{26278881-1A1A-4377-99FA-7DC9EA54A11C}" uniqueName="PassengerValue">
      <xmlPr mapId="7" xpath="/MAKE/AOP/AOP_Frontal_FW/DUMMY_MEASUREMENTS/Chest/Ay_Max/@PassengerValue" xmlDataType="decimal"/>
    </xmlCellPr>
  </singleXmlCell>
  <singleXmlCell id="2460" xr6:uid="{40CE9805-356A-4EF6-BD88-9EDD374B43C1}" r="D94" connectionId="0">
    <xmlCellPr id="1" xr6:uid="{0D7C4ECB-BC2A-4FEA-BB94-C6386185FB98}" uniqueName="DriverValue">
      <xmlPr mapId="7" xpath="/MAKE/AOP/AOP_Frontal_FW/DUMMY_MEASUREMENTS/Chest/Ay_Min/@DriverValue" xmlDataType="decimal"/>
    </xmlCellPr>
  </singleXmlCell>
  <singleXmlCell id="2463" xr6:uid="{8E14062B-B8A2-4847-9912-9CE8B2E1CB0A}" r="F94" connectionId="0">
    <xmlCellPr id="1" xr6:uid="{1C2EF943-24C6-4D56-9F66-93D2182C160D}" uniqueName="OEM_Pass_Value">
      <xmlPr mapId="7" xpath="/MAKE/AOP/AOP_Frontal_FW/DUMMY_MEASUREMENTS/Chest/Ay_Min/@OEM_Pass_Value" xmlDataType="decimal"/>
    </xmlCellPr>
  </singleXmlCell>
  <singleXmlCell id="2466" xr6:uid="{C247B31A-29A4-469E-93A5-E0B66C8EB0B5}" r="H94" connectionId="0">
    <xmlCellPr id="1" xr6:uid="{5045F7BB-0673-40AE-A1FE-012C88C89712}" uniqueName="PassengerValue">
      <xmlPr mapId="7" xpath="/MAKE/AOP/AOP_Frontal_FW/DUMMY_MEASUREMENTS/Chest/Ay_Min/@PassengerValue" xmlDataType="decimal"/>
    </xmlCellPr>
  </singleXmlCell>
  <singleXmlCell id="2469" xr6:uid="{C4F25C89-4C1F-4A30-8AAD-10A5D050EE5A}" r="D95" connectionId="0">
    <xmlCellPr id="1" xr6:uid="{E459BE27-9D3A-4277-BEB6-E6D50BD394C6}" uniqueName="DriverValue">
      <xmlPr mapId="7" xpath="/MAKE/AOP/AOP_Frontal_FW/DUMMY_MEASUREMENTS/Chest/Az_Max/@DriverValue" xmlDataType="decimal"/>
    </xmlCellPr>
  </singleXmlCell>
  <singleXmlCell id="2472" xr6:uid="{598B9679-DE24-4BF9-B832-23FBAF85BE7A}" r="F95" connectionId="0">
    <xmlCellPr id="1" xr6:uid="{D509D474-83FD-4FF7-A16A-75A3F74C8BA1}" uniqueName="OEM_Pass_Value">
      <xmlPr mapId="7" xpath="/MAKE/AOP/AOP_Frontal_FW/DUMMY_MEASUREMENTS/Chest/Az_Max/@OEM_Pass_Value" xmlDataType="decimal"/>
    </xmlCellPr>
  </singleXmlCell>
  <singleXmlCell id="2475" xr6:uid="{417C8DB7-AAC7-483E-9E8B-A0CC21DF6432}" r="H95" connectionId="0">
    <xmlCellPr id="1" xr6:uid="{0ED6C39E-F4C8-4686-AE13-69730EFD6885}" uniqueName="PassengerValue">
      <xmlPr mapId="7" xpath="/MAKE/AOP/AOP_Frontal_FW/DUMMY_MEASUREMENTS/Chest/Az_Max/@PassengerValue" xmlDataType="decimal"/>
    </xmlCellPr>
  </singleXmlCell>
  <singleXmlCell id="2478" xr6:uid="{99D7D2BF-EBDB-4CE4-AC3C-4FEA77F126A1}" r="D96" connectionId="0">
    <xmlCellPr id="1" xr6:uid="{B107D5FD-AA6C-4D25-898B-840CC2EE4B79}" uniqueName="DriverValue">
      <xmlPr mapId="7" xpath="/MAKE/AOP/AOP_Frontal_FW/DUMMY_MEASUREMENTS/Chest/Az_Min/@DriverValue" xmlDataType="decimal"/>
    </xmlCellPr>
  </singleXmlCell>
  <singleXmlCell id="2481" xr6:uid="{1868D563-CB36-4F62-9454-5567778B6932}" r="F96" connectionId="0">
    <xmlCellPr id="1" xr6:uid="{62EC995B-B7D8-4955-9A70-2D5C3F70FC09}" uniqueName="OEM_Pass_Value">
      <xmlPr mapId="7" xpath="/MAKE/AOP/AOP_Frontal_FW/DUMMY_MEASUREMENTS/Chest/Az_Min/@OEM_Pass_Value" xmlDataType="decimal"/>
    </xmlCellPr>
  </singleXmlCell>
  <singleXmlCell id="2484" xr6:uid="{E51F043F-18F3-47B9-B690-EBA5F7D60248}" r="H96" connectionId="0">
    <xmlCellPr id="1" xr6:uid="{D17C00FA-CD45-4629-A0AA-4B90ACC2C38B}" uniqueName="PassengerValue">
      <xmlPr mapId="7" xpath="/MAKE/AOP/AOP_Frontal_FW/DUMMY_MEASUREMENTS/Chest/Az_Min/@PassengerValue" xmlDataType="decimal"/>
    </xmlCellPr>
  </singleXmlCell>
  <singleXmlCell id="2487" xr6:uid="{8D5519E7-9720-4C00-A983-8DEA16556EE1}" r="D97" connectionId="0">
    <xmlCellPr id="1" xr6:uid="{A720F594-A362-4E53-956F-C4BF038A935C}" uniqueName="DriverValue">
      <xmlPr mapId="7" xpath="/MAKE/AOP/AOP_Frontal_FW/DUMMY_MEASUREMENTS/Chest/Dchest_Max/@DriverValue" xmlDataType="decimal"/>
    </xmlCellPr>
  </singleXmlCell>
  <singleXmlCell id="2490" xr6:uid="{E6ED512A-37C1-492B-BE6B-A37C63DD1CBC}" r="F97" connectionId="0">
    <xmlCellPr id="1" xr6:uid="{97B66DB9-0C98-47B7-BB9B-012C13FCAA16}" uniqueName="OEM_Pass_Value">
      <xmlPr mapId="7" xpath="/MAKE/AOP/AOP_Frontal_FW/DUMMY_MEASUREMENTS/Chest/Dchest_Max/@OEM_Pass_Value" xmlDataType="decimal"/>
    </xmlCellPr>
  </singleXmlCell>
  <singleXmlCell id="2493" xr6:uid="{454D17CB-CED2-477A-A18A-2F88BED4C5FD}" r="H97" connectionId="0">
    <xmlCellPr id="1" xr6:uid="{864C8D1C-E4DE-4762-8AB8-C4EB2A3B100F}" uniqueName="PassengerValue">
      <xmlPr mapId="7" xpath="/MAKE/AOP/AOP_Frontal_FW/DUMMY_MEASUREMENTS/Chest/Dchest_Max/@PassengerValue" xmlDataType="decimal"/>
    </xmlCellPr>
  </singleXmlCell>
  <singleXmlCell id="2496" xr6:uid="{00BC39C1-74A0-4B25-8F75-CB298680DC94}" r="D98" connectionId="0">
    <xmlCellPr id="1" xr6:uid="{F6E80702-2C57-4B6A-AC22-DE36F78B4E1B}" uniqueName="DriverValue">
      <xmlPr mapId="7" xpath="/MAKE/AOP/AOP_Frontal_FW/DUMMY_MEASUREMENTS/Chest/Dchest_Min/@DriverValue" xmlDataType="decimal"/>
    </xmlCellPr>
  </singleXmlCell>
  <singleXmlCell id="2499" xr6:uid="{2BACB59C-B1CF-4988-8A75-394A99BB96E4}" r="F98" connectionId="0">
    <xmlCellPr id="1" xr6:uid="{54598578-1E23-43A3-8C2E-D9382BE8CBC6}" uniqueName="OEM_Pass_Value">
      <xmlPr mapId="7" xpath="/MAKE/AOP/AOP_Frontal_FW/DUMMY_MEASUREMENTS/Chest/Dchest_Min/@OEM_Pass_Value" xmlDataType="decimal"/>
    </xmlCellPr>
  </singleXmlCell>
  <singleXmlCell id="2502" xr6:uid="{62B830EC-B24A-4E40-B5C2-748B3051628E}" r="H98" connectionId="0">
    <xmlCellPr id="1" xr6:uid="{2A1332C3-6235-4027-A105-0D14A6035F2C}" uniqueName="PassengerValue">
      <xmlPr mapId="7" xpath="/MAKE/AOP/AOP_Frontal_FW/DUMMY_MEASUREMENTS/Chest/Dchest_Min/@PassengerValue" xmlDataType="decimal"/>
    </xmlCellPr>
  </singleXmlCell>
  <singleXmlCell id="2505" xr6:uid="{A7D67863-4D1E-4C0D-A662-E119CBF07277}" r="D100" connectionId="0">
    <xmlCellPr id="1" xr6:uid="{6ACF3EF9-6D2E-4E35-89DF-A8F960372FED}" uniqueName="DriverValue">
      <xmlPr mapId="7" xpath="/MAKE/AOP/AOP_Frontal_FW/DUMMY_MEASUREMENTS/Pelvis/Ax_Max/@DriverValue" xmlDataType="decimal"/>
    </xmlCellPr>
  </singleXmlCell>
  <singleXmlCell id="2508" xr6:uid="{EF0133E4-78B2-4C76-8B1A-15F52A1A7AA4}" r="F100" connectionId="0">
    <xmlCellPr id="1" xr6:uid="{612003E4-D496-484E-AE21-976B8668B00A}" uniqueName="OEM_Pass_Value">
      <xmlPr mapId="7" xpath="/MAKE/AOP/AOP_Frontal_FW/DUMMY_MEASUREMENTS/Pelvis/Ax_Max/@OEM_Pass_Value" xmlDataType="decimal"/>
    </xmlCellPr>
  </singleXmlCell>
  <singleXmlCell id="2511" xr6:uid="{2ED0B9E5-D19F-44BA-A915-4F2902F5BFDC}" r="H100" connectionId="0">
    <xmlCellPr id="1" xr6:uid="{EC6AA51E-3C62-446E-A82E-203DE94EE658}" uniqueName="PassengerValue">
      <xmlPr mapId="7" xpath="/MAKE/AOP/AOP_Frontal_FW/DUMMY_MEASUREMENTS/Pelvis/Ax_Max/@PassengerValue" xmlDataType="decimal"/>
    </xmlCellPr>
  </singleXmlCell>
  <singleXmlCell id="2514" xr6:uid="{190A3156-76C8-47F3-B936-35EE227EB04B}" r="D101" connectionId="0">
    <xmlCellPr id="1" xr6:uid="{B2FA4706-F6DA-4DF9-B7D3-CE6EBD100CAC}" uniqueName="DriverValue">
      <xmlPr mapId="7" xpath="/MAKE/AOP/AOP_Frontal_FW/DUMMY_MEASUREMENTS/Pelvis/Ax_Min/@DriverValue" xmlDataType="decimal"/>
    </xmlCellPr>
  </singleXmlCell>
  <singleXmlCell id="2517" xr6:uid="{C1645115-5A8D-497D-A4F3-4C078CA67C9A}" r="F101" connectionId="0">
    <xmlCellPr id="1" xr6:uid="{AE0646E4-21FE-446C-845F-41EBFA41C036}" uniqueName="OEM_Pass_Value">
      <xmlPr mapId="7" xpath="/MAKE/AOP/AOP_Frontal_FW/DUMMY_MEASUREMENTS/Pelvis/Ax_Min/@OEM_Pass_Value" xmlDataType="decimal"/>
    </xmlCellPr>
  </singleXmlCell>
  <singleXmlCell id="2520" xr6:uid="{2912AB52-D330-4E31-8C72-16B008ABE0F2}" r="H101" connectionId="0">
    <xmlCellPr id="1" xr6:uid="{2163E5C2-C7FE-4DA0-882D-69394273B23A}" uniqueName="PassengerValue">
      <xmlPr mapId="7" xpath="/MAKE/AOP/AOP_Frontal_FW/DUMMY_MEASUREMENTS/Pelvis/Ax_Min/@PassengerValue" xmlDataType="decimal"/>
    </xmlCellPr>
  </singleXmlCell>
  <singleXmlCell id="2532" xr6:uid="{528D7A96-687E-4702-996D-588E760E0ADE}" r="D102" connectionId="0">
    <xmlCellPr id="1" xr6:uid="{0CD6389B-3DC2-48F8-9205-616CEFDC69D7}" uniqueName="DriverValue">
      <xmlPr mapId="7" xpath="/MAKE/AOP/AOP_Frontal_FW/DUMMY_MEASUREMENTS/Pelvis/Ay_Max/@DriverValue" xmlDataType="decimal"/>
    </xmlCellPr>
  </singleXmlCell>
  <singleXmlCell id="2535" xr6:uid="{6707911C-0D67-4A17-B7B9-EEACB7FEB759}" r="F102" connectionId="0">
    <xmlCellPr id="1" xr6:uid="{F2A7AADD-BE73-4584-AC3E-105B22D65D1C}" uniqueName="OEM_Pass_Value">
      <xmlPr mapId="7" xpath="/MAKE/AOP/AOP_Frontal_FW/DUMMY_MEASUREMENTS/Pelvis/Ay_Max/@OEM_Pass_Value" xmlDataType="decimal"/>
    </xmlCellPr>
  </singleXmlCell>
  <singleXmlCell id="2538" xr6:uid="{8C13C676-ACCD-4E6D-B26F-4D87A3D96DE9}" r="H102" connectionId="0">
    <xmlCellPr id="1" xr6:uid="{E78A24A8-61BE-44BD-AA83-C8DD37C272FC}" uniqueName="PassengerValue">
      <xmlPr mapId="7" xpath="/MAKE/AOP/AOP_Frontal_FW/DUMMY_MEASUREMENTS/Pelvis/Ay_Max/@PassengerValue" xmlDataType="decimal"/>
    </xmlCellPr>
  </singleXmlCell>
  <singleXmlCell id="2541" xr6:uid="{60F21CD7-50CC-4804-AC3C-13B41369DE50}" r="D103" connectionId="0">
    <xmlCellPr id="1" xr6:uid="{7D1CEEF0-06CF-41A3-B4A1-331CBFBA8C01}" uniqueName="DriverValue">
      <xmlPr mapId="7" xpath="/MAKE/AOP/AOP_Frontal_FW/DUMMY_MEASUREMENTS/Pelvis/Ay_Min/@DriverValue" xmlDataType="decimal"/>
    </xmlCellPr>
  </singleXmlCell>
  <singleXmlCell id="2544" xr6:uid="{471EB5E0-2482-43C8-ABC0-8AC6CB316ACD}" r="F103" connectionId="0">
    <xmlCellPr id="1" xr6:uid="{33CA0595-851A-4E66-BB0D-7DD75AF01CCD}" uniqueName="OEM_Pass_Value">
      <xmlPr mapId="7" xpath="/MAKE/AOP/AOP_Frontal_FW/DUMMY_MEASUREMENTS/Pelvis/Ay_Min/@OEM_Pass_Value" xmlDataType="decimal"/>
    </xmlCellPr>
  </singleXmlCell>
  <singleXmlCell id="2547" xr6:uid="{849F2CB6-1860-4B37-BF4C-D4AF29EC16C9}" r="H103" connectionId="0">
    <xmlCellPr id="1" xr6:uid="{0B31C1DE-C706-47BC-8A8E-B40AD9F20D8C}" uniqueName="PassengerValue">
      <xmlPr mapId="7" xpath="/MAKE/AOP/AOP_Frontal_FW/DUMMY_MEASUREMENTS/Pelvis/Ay_Min/@PassengerValue" xmlDataType="decimal"/>
    </xmlCellPr>
  </singleXmlCell>
  <singleXmlCell id="2550" xr6:uid="{B60E3296-14A8-46AA-8C69-8C45F42278D0}" r="D104" connectionId="0">
    <xmlCellPr id="1" xr6:uid="{96023FC9-AE02-4052-AF11-6BFF154F5A3C}" uniqueName="DriverValue">
      <xmlPr mapId="7" xpath="/MAKE/AOP/AOP_Frontal_FW/DUMMY_MEASUREMENTS/Pelvis/Az_Max/@DriverValue" xmlDataType="decimal"/>
    </xmlCellPr>
  </singleXmlCell>
  <singleXmlCell id="2553" xr6:uid="{3C7A0D2F-0BF3-4A5F-8FC1-C9D748C1FC35}" r="F104" connectionId="0">
    <xmlCellPr id="1" xr6:uid="{BFFD18A1-4580-4B20-9180-70321C77D051}" uniqueName="OEM_Pass_Value">
      <xmlPr mapId="7" xpath="/MAKE/AOP/AOP_Frontal_FW/DUMMY_MEASUREMENTS/Pelvis/Az_Max/@OEM_Pass_Value" xmlDataType="decimal"/>
    </xmlCellPr>
  </singleXmlCell>
  <singleXmlCell id="2556" xr6:uid="{AA4D1FA8-02CF-4CB8-BFD8-0AA27D1702EB}" r="H104" connectionId="0">
    <xmlCellPr id="1" xr6:uid="{B8BAB3BA-3DAB-4519-A374-5E66224935C3}" uniqueName="PassengerValue">
      <xmlPr mapId="7" xpath="/MAKE/AOP/AOP_Frontal_FW/DUMMY_MEASUREMENTS/Pelvis/Az_Max/@PassengerValue" xmlDataType="decimal"/>
    </xmlCellPr>
  </singleXmlCell>
  <singleXmlCell id="2559" xr6:uid="{C6A39554-F071-4607-9CE1-94D69FFF1E85}" r="D105" connectionId="0">
    <xmlCellPr id="1" xr6:uid="{B12B822D-5BE2-4190-A238-7651A839FD66}" uniqueName="DriverValue">
      <xmlPr mapId="7" xpath="/MAKE/AOP/AOP_Frontal_FW/DUMMY_MEASUREMENTS/Pelvis/Az_Min/@DriverValue" xmlDataType="decimal"/>
    </xmlCellPr>
  </singleXmlCell>
  <singleXmlCell id="2562" xr6:uid="{A2E750E4-A77C-4688-A324-5D25A18378B4}" r="F105" connectionId="0">
    <xmlCellPr id="1" xr6:uid="{BC72D1B8-F5C3-4923-A6B1-FF635D31C6CD}" uniqueName="OEM_Pass_Value">
      <xmlPr mapId="7" xpath="/MAKE/AOP/AOP_Frontal_FW/DUMMY_MEASUREMENTS/Pelvis/Az_Min/@OEM_Pass_Value" xmlDataType="decimal"/>
    </xmlCellPr>
  </singleXmlCell>
  <singleXmlCell id="2565" xr6:uid="{060D3D60-15F7-4431-AC5B-243A6AF75DDC}" r="H105" connectionId="0">
    <xmlCellPr id="1" xr6:uid="{5FA4F246-9CA1-4786-A4D3-09EC291F3339}" uniqueName="PassengerValue">
      <xmlPr mapId="7" xpath="/MAKE/AOP/AOP_Frontal_FW/DUMMY_MEASUREMENTS/Pelvis/Az_Min/@PassengerValue" xmlDataType="decimal"/>
    </xmlCellPr>
  </singleXmlCell>
  <singleXmlCell id="2568" xr6:uid="{530798BA-2A9E-4EAD-94CB-59831FF48E9A}" r="D107" connectionId="0">
    <xmlCellPr id="1" xr6:uid="{B8FCE915-932F-4C4A-9DE1-D4138800A011}" uniqueName="DriverValue">
      <xmlPr mapId="7" xpath="/MAKE/AOP/AOP_Frontal_FW/DUMMY_MEASUREMENTS/Iliac_left/Fx_Max/@DriverValue" xmlDataType="decimal"/>
    </xmlCellPr>
  </singleXmlCell>
  <singleXmlCell id="2571" xr6:uid="{BA9B525E-1B08-48C0-9C64-D493A2AFAD42}" r="F107" connectionId="0">
    <xmlCellPr id="1" xr6:uid="{75075EAC-0902-4B3A-8914-1DE2340B2440}" uniqueName="OEM_Pass_Value">
      <xmlPr mapId="7" xpath="/MAKE/AOP/AOP_Frontal_FW/DUMMY_MEASUREMENTS/Iliac_left/Fx_Max/@OEM_Pass_Value" xmlDataType="decimal"/>
    </xmlCellPr>
  </singleXmlCell>
  <singleXmlCell id="2574" xr6:uid="{FF33A13E-9B76-4E00-A89D-6B71082F4C52}" r="H107" connectionId="0">
    <xmlCellPr id="1" xr6:uid="{D0CC89A4-72D9-4576-9373-6D3326FEE1E4}" uniqueName="PassengerValue">
      <xmlPr mapId="7" xpath="/MAKE/AOP/AOP_Frontal_FW/DUMMY_MEASUREMENTS/Iliac_left/Fx_Max/@PassengerValue" xmlDataType="decimal"/>
    </xmlCellPr>
  </singleXmlCell>
  <singleXmlCell id="2577" xr6:uid="{92800D92-1BAA-4FEC-8573-80EBE5D67758}" r="D108" connectionId="0">
    <xmlCellPr id="1" xr6:uid="{ACB88893-4ABE-4B09-97C5-440AB189A026}" uniqueName="DriverValue">
      <xmlPr mapId="7" xpath="/MAKE/AOP/AOP_Frontal_FW/DUMMY_MEASUREMENTS/Iliac_left/Fx_Min/@DriverValue" xmlDataType="decimal"/>
    </xmlCellPr>
  </singleXmlCell>
  <singleXmlCell id="2579" xr6:uid="{6AC32F4D-EFA7-4A46-A55F-E1748E8E1342}" r="F108" connectionId="0">
    <xmlCellPr id="1" xr6:uid="{C494F545-B4ED-4190-A196-349855035143}" uniqueName="OEM_Pass_Value">
      <xmlPr mapId="7" xpath="/MAKE/AOP/AOP_Frontal_FW/DUMMY_MEASUREMENTS/Iliac_left/Fx_Min/@OEM_Pass_Value" xmlDataType="decimal"/>
    </xmlCellPr>
  </singleXmlCell>
  <singleXmlCell id="2580" xr6:uid="{340F250B-387F-4756-90AC-01AF4914BE0D}" r="H108" connectionId="0">
    <xmlCellPr id="1" xr6:uid="{DBB1CE62-E1C6-40C7-A480-3DDE4D17D6EB}" uniqueName="PassengerValue">
      <xmlPr mapId="7" xpath="/MAKE/AOP/AOP_Frontal_FW/DUMMY_MEASUREMENTS/Iliac_left/Fx_Min/@PassengerValue" xmlDataType="decimal"/>
    </xmlCellPr>
  </singleXmlCell>
  <singleXmlCell id="2581" xr6:uid="{7E924190-33DB-4861-98C9-8408F8651602}" r="D109" connectionId="0">
    <xmlCellPr id="1" xr6:uid="{121D5B1A-3E37-4D5A-8C5A-5837F77460D6}" uniqueName="DriverValue">
      <xmlPr mapId="7" xpath="/MAKE/AOP/AOP_Frontal_FW/DUMMY_MEASUREMENTS/Iliac_left/My_Max/@DriverValue" xmlDataType="decimal"/>
    </xmlCellPr>
  </singleXmlCell>
  <singleXmlCell id="2583" xr6:uid="{446E637F-DE6E-45D5-88A7-128DB98FA416}" r="F109" connectionId="0">
    <xmlCellPr id="1" xr6:uid="{FC6F77E5-186F-4869-AB7E-D0F451B6D8F5}" uniqueName="OEM_Pass_Value">
      <xmlPr mapId="7" xpath="/MAKE/AOP/AOP_Frontal_FW/DUMMY_MEASUREMENTS/Iliac_left/My_Max/@OEM_Pass_Value" xmlDataType="decimal"/>
    </xmlCellPr>
  </singleXmlCell>
  <singleXmlCell id="2586" xr6:uid="{71711DCB-22F9-40B1-A8E0-9E0FAC36D0AE}" r="H109" connectionId="0">
    <xmlCellPr id="1" xr6:uid="{87D70AD1-7429-483F-B6AE-D035F6917127}" uniqueName="PassengerValue">
      <xmlPr mapId="7" xpath="/MAKE/AOP/AOP_Frontal_FW/DUMMY_MEASUREMENTS/Iliac_left/My_Max/@PassengerValue" xmlDataType="decimal"/>
    </xmlCellPr>
  </singleXmlCell>
  <singleXmlCell id="2589" xr6:uid="{90B83735-7EF8-458F-846F-8A13BDDCC5AA}" r="D110" connectionId="0">
    <xmlCellPr id="1" xr6:uid="{C7E7D36F-2E0A-490A-AF32-58D1499ABB2F}" uniqueName="DriverValue">
      <xmlPr mapId="7" xpath="/MAKE/AOP/AOP_Frontal_FW/DUMMY_MEASUREMENTS/Iliac_left/My_Min/@DriverValue" xmlDataType="decimal"/>
    </xmlCellPr>
  </singleXmlCell>
  <singleXmlCell id="2592" xr6:uid="{5D6CD3E7-E772-4E05-AEC3-81182592E720}" r="F110" connectionId="0">
    <xmlCellPr id="1" xr6:uid="{4CF62677-4B89-4013-9ACD-BF8A2F695B03}" uniqueName="OEM_Pass_Value">
      <xmlPr mapId="7" xpath="/MAKE/AOP/AOP_Frontal_FW/DUMMY_MEASUREMENTS/Iliac_left/My_Min/@OEM_Pass_Value" xmlDataType="decimal"/>
    </xmlCellPr>
  </singleXmlCell>
  <singleXmlCell id="2595" xr6:uid="{87C36D07-30DF-458B-A50F-BB40826F4D80}" r="H110" connectionId="0">
    <xmlCellPr id="1" xr6:uid="{3D951AE3-2EF9-48FD-9991-9C5540519CE0}" uniqueName="PassengerValue">
      <xmlPr mapId="7" xpath="/MAKE/AOP/AOP_Frontal_FW/DUMMY_MEASUREMENTS/Iliac_left/My_Min/@PassengerValue" xmlDataType="decimal"/>
    </xmlCellPr>
  </singleXmlCell>
  <singleXmlCell id="2598" xr6:uid="{D1A4B01D-5CF4-46D1-AFC8-ECFBAD8E2C9B}" r="D112" connectionId="0">
    <xmlCellPr id="1" xr6:uid="{EBBC60C3-4D88-44D5-9AC9-FFB965154E53}" uniqueName="DriverValue">
      <xmlPr mapId="7" xpath="/MAKE/AOP/AOP_Frontal_FW/DUMMY_MEASUREMENTS/Iliac_right/Fx_Max/@DriverValue" xmlDataType="decimal"/>
    </xmlCellPr>
  </singleXmlCell>
  <singleXmlCell id="2601" xr6:uid="{CE6A559A-0F62-4169-A12C-79CFD8ACD39D}" r="F112" connectionId="0">
    <xmlCellPr id="1" xr6:uid="{7370C41A-3F1E-4B49-A769-FC64E46226F1}" uniqueName="OEM_Pass_Value">
      <xmlPr mapId="7" xpath="/MAKE/AOP/AOP_Frontal_FW/DUMMY_MEASUREMENTS/Iliac_right/Fx_Max/@OEM_Pass_Value" xmlDataType="decimal"/>
    </xmlCellPr>
  </singleXmlCell>
  <singleXmlCell id="2604" xr6:uid="{B8E4A627-6028-4816-9538-2371AC016CF8}" r="H112" connectionId="0">
    <xmlCellPr id="1" xr6:uid="{A7A1937B-9800-46DA-AA4F-2044C8C631FE}" uniqueName="PassengerValue">
      <xmlPr mapId="7" xpath="/MAKE/AOP/AOP_Frontal_FW/DUMMY_MEASUREMENTS/Iliac_right/Fx_Max/@PassengerValue" xmlDataType="decimal"/>
    </xmlCellPr>
  </singleXmlCell>
  <singleXmlCell id="2607" xr6:uid="{3E9FEECA-AC03-404F-B3F0-DD3F19E0259B}" r="D113" connectionId="0">
    <xmlCellPr id="1" xr6:uid="{F77395B6-3E6C-4C14-A539-F8470325BBD2}" uniqueName="DriverValue">
      <xmlPr mapId="7" xpath="/MAKE/AOP/AOP_Frontal_FW/DUMMY_MEASUREMENTS/Iliac_right/Fx_Min/@DriverValue" xmlDataType="decimal"/>
    </xmlCellPr>
  </singleXmlCell>
  <singleXmlCell id="2610" xr6:uid="{234669C0-9323-4D12-82D5-2F5BF310FD25}" r="F113" connectionId="0">
    <xmlCellPr id="1" xr6:uid="{6092E44A-40B8-4653-9B82-F697CC14D712}" uniqueName="OEM_Pass_Value">
      <xmlPr mapId="7" xpath="/MAKE/AOP/AOP_Frontal_FW/DUMMY_MEASUREMENTS/Iliac_right/Fx_Min/@OEM_Pass_Value" xmlDataType="decimal"/>
    </xmlCellPr>
  </singleXmlCell>
  <singleXmlCell id="2613" xr6:uid="{20E66132-DA8E-4BCE-AE0C-6A2AB46868D1}" r="H113" connectionId="0">
    <xmlCellPr id="1" xr6:uid="{83FA9F3A-7348-4369-A202-5B9CD705F868}" uniqueName="PassengerValue">
      <xmlPr mapId="7" xpath="/MAKE/AOP/AOP_Frontal_FW/DUMMY_MEASUREMENTS/Iliac_right/Fx_Min/@PassengerValue" xmlDataType="decimal"/>
    </xmlCellPr>
  </singleXmlCell>
  <singleXmlCell id="2616" xr6:uid="{2A49F0D7-6AB8-4607-A0D8-2A7D38C3CB49}" r="D114" connectionId="0">
    <xmlCellPr id="1" xr6:uid="{2FC50648-C1EA-44B4-A037-5EAA83C95456}" uniqueName="DriverValue">
      <xmlPr mapId="7" xpath="/MAKE/AOP/AOP_Frontal_FW/DUMMY_MEASUREMENTS/Iliac_right/My_Max/@DriverValue" xmlDataType="decimal"/>
    </xmlCellPr>
  </singleXmlCell>
  <singleXmlCell id="2619" xr6:uid="{05E79C27-98A0-4D35-AD18-BAEAF1F62020}" r="F114" connectionId="0">
    <xmlCellPr id="1" xr6:uid="{97E9ACB6-8237-4430-A8AA-7C6313BB2AB9}" uniqueName="OEM_Pass_Value">
      <xmlPr mapId="7" xpath="/MAKE/AOP/AOP_Frontal_FW/DUMMY_MEASUREMENTS/Iliac_right/My_Max/@OEM_Pass_Value" xmlDataType="decimal"/>
    </xmlCellPr>
  </singleXmlCell>
  <singleXmlCell id="2622" xr6:uid="{28E1589E-D80F-4F16-A44C-7C7405E5A9D0}" r="H114" connectionId="0">
    <xmlCellPr id="1" xr6:uid="{1718363C-987E-48AF-8828-7416F4CFF91B}" uniqueName="PassengerValue">
      <xmlPr mapId="7" xpath="/MAKE/AOP/AOP_Frontal_FW/DUMMY_MEASUREMENTS/Iliac_right/My_Max/@PassengerValue" xmlDataType="decimal"/>
    </xmlCellPr>
  </singleXmlCell>
  <singleXmlCell id="2625" xr6:uid="{2D208295-96B8-4E2F-9BBC-5DA5A5505999}" r="D115" connectionId="0">
    <xmlCellPr id="1" xr6:uid="{B1949BFA-057D-46FF-8A33-B66336DD038F}" uniqueName="DriverValue">
      <xmlPr mapId="7" xpath="/MAKE/AOP/AOP_Frontal_FW/DUMMY_MEASUREMENTS/Iliac_right/My_Min/@DriverValue" xmlDataType="decimal"/>
    </xmlCellPr>
  </singleXmlCell>
  <singleXmlCell id="2628" xr6:uid="{C9A8CB10-0F9E-4357-BB19-530A7DAA9063}" r="F115" connectionId="0">
    <xmlCellPr id="1" xr6:uid="{60AC87C8-BB07-4C31-8FE8-F16F51D45C8C}" uniqueName="OEM_Pass_Value">
      <xmlPr mapId="7" xpath="/MAKE/AOP/AOP_Frontal_FW/DUMMY_MEASUREMENTS/Iliac_right/My_Min/@OEM_Pass_Value" xmlDataType="decimal"/>
    </xmlCellPr>
  </singleXmlCell>
  <singleXmlCell id="2631" xr6:uid="{2EBD95A9-C719-4C1F-8F7D-766C25C53E1B}" r="H115" connectionId="0">
    <xmlCellPr id="1" xr6:uid="{8C979372-F0DD-421C-A5D5-169EB66660FC}" uniqueName="PassengerValue">
      <xmlPr mapId="7" xpath="/MAKE/AOP/AOP_Frontal_FW/DUMMY_MEASUREMENTS/Iliac_right/My_Min/@PassengerValue" xmlDataType="decimal"/>
    </xmlCellPr>
  </singleXmlCell>
  <singleXmlCell id="2634" xr6:uid="{C379913C-B226-41EE-B8CA-E0EC8BE75C22}" r="D117" connectionId="0">
    <xmlCellPr id="1" xr6:uid="{049DE0C8-7901-4E3B-A7FD-B8EE8A4B75EB}" uniqueName="DriverValue">
      <xmlPr mapId="7" xpath="/MAKE/AOP/AOP_Frontal_FW/DUMMY_MEASUREMENTS/Lumbar_Spine/Fx_Max/@DriverValue" xmlDataType="decimal"/>
    </xmlCellPr>
  </singleXmlCell>
  <singleXmlCell id="2637" xr6:uid="{2326D77B-B251-4C06-B131-8D8CF78D2F86}" r="F117" connectionId="0">
    <xmlCellPr id="1" xr6:uid="{B17863C2-D004-4A69-B439-E223DD8A60C6}" uniqueName="OEM_Pass_Value">
      <xmlPr mapId="7" xpath="/MAKE/AOP/AOP_Frontal_FW/DUMMY_MEASUREMENTS/Lumbar_Spine/Fx_Max/@OEM_Pass_Value" xmlDataType="decimal"/>
    </xmlCellPr>
  </singleXmlCell>
  <singleXmlCell id="2640" xr6:uid="{C79AF258-C033-4C01-B220-20B342EF11F1}" r="H117" connectionId="0">
    <xmlCellPr id="1" xr6:uid="{28E6AB4F-3F96-4B6D-8706-8594A7DB7153}" uniqueName="PassengerValue">
      <xmlPr mapId="7" xpath="/MAKE/AOP/AOP_Frontal_FW/DUMMY_MEASUREMENTS/Lumbar_Spine/Fx_Max/@PassengerValue" xmlDataType="decimal"/>
    </xmlCellPr>
  </singleXmlCell>
  <singleXmlCell id="2643" xr6:uid="{D5E6BBA0-B285-4678-B6D2-3FE717FC855C}" r="D118" connectionId="0">
    <xmlCellPr id="1" xr6:uid="{4A65FF6B-5BFE-4BB7-B19F-D30C2003E5B6}" uniqueName="DriverValue">
      <xmlPr mapId="7" xpath="/MAKE/AOP/AOP_Frontal_FW/DUMMY_MEASUREMENTS/Lumbar_Spine/Fx_Min/@DriverValue" xmlDataType="decimal"/>
    </xmlCellPr>
  </singleXmlCell>
  <singleXmlCell id="2646" xr6:uid="{DBBC1FBB-06DF-4BFC-A98C-E1DD7CB2B8A5}" r="F118" connectionId="0">
    <xmlCellPr id="1" xr6:uid="{A900D27D-7B78-4F72-AA1D-2C4FBAD521E9}" uniqueName="OEM_Pass_Value">
      <xmlPr mapId="7" xpath="/MAKE/AOP/AOP_Frontal_FW/DUMMY_MEASUREMENTS/Lumbar_Spine/Fx_Min/@OEM_Pass_Value" xmlDataType="decimal"/>
    </xmlCellPr>
  </singleXmlCell>
  <singleXmlCell id="2649" xr6:uid="{55194CB1-968F-413E-89B5-65965DB53B0C}" r="H118" connectionId="0">
    <xmlCellPr id="1" xr6:uid="{C08BFCC4-E1D4-4F99-A701-B20EC0F6A882}" uniqueName="PassengerValue">
      <xmlPr mapId="7" xpath="/MAKE/AOP/AOP_Frontal_FW/DUMMY_MEASUREMENTS/Lumbar_Spine/Fx_Min/@PassengerValue" xmlDataType="decimal"/>
    </xmlCellPr>
  </singleXmlCell>
  <singleXmlCell id="2652" xr6:uid="{CBC5DE49-1E41-4C4D-B5DE-1416E72BF5A5}" r="D119" connectionId="0">
    <xmlCellPr id="1" xr6:uid="{EE38375F-57BD-4DA2-927C-E59D8222B826}" uniqueName="DriverValue">
      <xmlPr mapId="7" xpath="/MAKE/AOP/AOP_Frontal_FW/DUMMY_MEASUREMENTS/Lumbar_Spine/Fz_Max/@DriverValue" xmlDataType="decimal"/>
    </xmlCellPr>
  </singleXmlCell>
  <singleXmlCell id="2655" xr6:uid="{0B21FD5B-AFC4-4EC2-BE60-6B4653B290F3}" r="F119" connectionId="0">
    <xmlCellPr id="1" xr6:uid="{3B85879D-253C-4FE4-A32F-9769B434791D}" uniqueName="OEM_Pass_Value">
      <xmlPr mapId="7" xpath="/MAKE/AOP/AOP_Frontal_FW/DUMMY_MEASUREMENTS/Lumbar_Spine/Fz_Max/@OEM_Pass_Value" xmlDataType="decimal"/>
    </xmlCellPr>
  </singleXmlCell>
  <singleXmlCell id="2658" xr6:uid="{91BB10DD-4022-49EF-A344-8C16D5547D96}" r="H119" connectionId="0">
    <xmlCellPr id="1" xr6:uid="{1CFA6AD0-26FE-4742-8C1C-0802B628195D}" uniqueName="PassengerValue">
      <xmlPr mapId="7" xpath="/MAKE/AOP/AOP_Frontal_FW/DUMMY_MEASUREMENTS/Lumbar_Spine/Fz_Max/@PassengerValue" xmlDataType="decimal"/>
    </xmlCellPr>
  </singleXmlCell>
  <singleXmlCell id="2661" xr6:uid="{03BC6B89-95AC-47BE-A178-D5F1B07AC2C2}" r="D120" connectionId="0">
    <xmlCellPr id="1" xr6:uid="{9F0C52F2-2B23-4519-B346-07A4EEF8723D}" uniqueName="DriverValue">
      <xmlPr mapId="7" xpath="/MAKE/AOP/AOP_Frontal_FW/DUMMY_MEASUREMENTS/Lumbar_Spine/Fz_Min/@DriverValue" xmlDataType="decimal"/>
    </xmlCellPr>
  </singleXmlCell>
  <singleXmlCell id="2664" xr6:uid="{C90882F9-88A5-4285-BDB7-8430E08C7141}" r="F120" connectionId="0">
    <xmlCellPr id="1" xr6:uid="{3FE97583-3DA9-4C6E-9FB8-3BDC15D698D5}" uniqueName="OEM_Pass_Value">
      <xmlPr mapId="7" xpath="/MAKE/AOP/AOP_Frontal_FW/DUMMY_MEASUREMENTS/Lumbar_Spine/Fz_Min/@OEM_Pass_Value" xmlDataType="decimal"/>
    </xmlCellPr>
  </singleXmlCell>
  <singleXmlCell id="2667" xr6:uid="{FBEA05BB-3234-4FDC-B201-198418D76F63}" r="H120" connectionId="0">
    <xmlCellPr id="1" xr6:uid="{C49A6223-1A18-4ED3-BE9D-E3F43AF9455C}" uniqueName="PassengerValue">
      <xmlPr mapId="7" xpath="/MAKE/AOP/AOP_Frontal_FW/DUMMY_MEASUREMENTS/Lumbar_Spine/Fz_Min/@PassengerValue" xmlDataType="decimal"/>
    </xmlCellPr>
  </singleXmlCell>
  <singleXmlCell id="2670" xr6:uid="{D5A20C15-F2B8-4B16-85D6-7EA243DACD2B}" r="D121" connectionId="0">
    <xmlCellPr id="1" xr6:uid="{0611F555-30F1-4B04-80DB-6C1C1C47D5BA}" uniqueName="DriverValue">
      <xmlPr mapId="7" xpath="/MAKE/AOP/AOP_Frontal_FW/DUMMY_MEASUREMENTS/Lumbar_Spine/My_Max/@DriverValue" xmlDataType="decimal"/>
    </xmlCellPr>
  </singleXmlCell>
  <singleXmlCell id="2673" xr6:uid="{0F507ECD-8B1D-4651-9512-E386B9B7FF31}" r="F121" connectionId="0">
    <xmlCellPr id="1" xr6:uid="{935F0956-F702-4EBC-966C-1F1D879AF11D}" uniqueName="OEM_Pass_Value">
      <xmlPr mapId="7" xpath="/MAKE/AOP/AOP_Frontal_FW/DUMMY_MEASUREMENTS/Lumbar_Spine/My_Max/@OEM_Pass_Value" xmlDataType="decimal"/>
    </xmlCellPr>
  </singleXmlCell>
  <singleXmlCell id="2676" xr6:uid="{C2686B29-049E-48D6-BF83-4586E1294B25}" r="H121" connectionId="0">
    <xmlCellPr id="1" xr6:uid="{3D677469-F870-4937-ACCD-7B734777C129}" uniqueName="PassengerValue">
      <xmlPr mapId="7" xpath="/MAKE/AOP/AOP_Frontal_FW/DUMMY_MEASUREMENTS/Lumbar_Spine/My_Max/@PassengerValue" xmlDataType="decimal"/>
    </xmlCellPr>
  </singleXmlCell>
  <singleXmlCell id="2679" xr6:uid="{31D3C5E0-1F44-4CEE-B30A-961E61CFE3F1}" r="D122" connectionId="0">
    <xmlCellPr id="1" xr6:uid="{4E557C57-6B7E-43AA-8B02-36A840C1D89B}" uniqueName="DriverValue">
      <xmlPr mapId="7" xpath="/MAKE/AOP/AOP_Frontal_FW/DUMMY_MEASUREMENTS/Lumbar_Spine/My_Min/@DriverValue" xmlDataType="decimal"/>
    </xmlCellPr>
  </singleXmlCell>
  <singleXmlCell id="2682" xr6:uid="{CD2EE729-8E6A-415C-8EFD-568082E80EDE}" r="F122" connectionId="0">
    <xmlCellPr id="1" xr6:uid="{9908E1DB-94B5-4D08-BEEA-38DE0758450D}" uniqueName="OEM_Pass_Value">
      <xmlPr mapId="7" xpath="/MAKE/AOP/AOP_Frontal_FW/DUMMY_MEASUREMENTS/Lumbar_Spine/My_Min/@OEM_Pass_Value" xmlDataType="decimal"/>
    </xmlCellPr>
  </singleXmlCell>
  <singleXmlCell id="2685" xr6:uid="{67258507-797F-48FF-AE29-E3E214720B66}" r="H122" connectionId="0">
    <xmlCellPr id="1" xr6:uid="{96A00F12-26EC-4CB8-A52A-CE9EE9DA7502}" uniqueName="PassengerValue">
      <xmlPr mapId="7" xpath="/MAKE/AOP/AOP_Frontal_FW/DUMMY_MEASUREMENTS/Lumbar_Spine/My_Min/@PassengerValue" xmlDataType="decimal"/>
    </xmlCellPr>
  </singleXmlCell>
  <singleXmlCell id="2688" xr6:uid="{EF819BC0-D09B-4441-8EDA-B65CEB69F7BE}" r="D124" connectionId="0">
    <xmlCellPr id="1" xr6:uid="{2248CCEE-E3E5-4997-BFC4-EA3181F97CEC}" uniqueName="DriverValue">
      <xmlPr mapId="7" xpath="/MAKE/AOP/AOP_Frontal_FW/DUMMY_MEASUREMENTS/Femur_left/Fz_Max/@DriverValue" xmlDataType="decimal"/>
    </xmlCellPr>
  </singleXmlCell>
  <singleXmlCell id="2691" xr6:uid="{3790190D-AC44-4C59-9306-C9E9BCF41F3C}" r="F124" connectionId="0">
    <xmlCellPr id="1" xr6:uid="{CEC1E0E9-90B4-4C35-8A63-7709EA5B990A}" uniqueName="OEM_Pass_Value">
      <xmlPr mapId="7" xpath="/MAKE/AOP/AOP_Frontal_FW/DUMMY_MEASUREMENTS/Femur_left/Fz_Max/@OEM_Pass_Value" xmlDataType="decimal"/>
    </xmlCellPr>
  </singleXmlCell>
  <singleXmlCell id="2694" xr6:uid="{6E1A2197-338A-4451-8C2A-722F24FD5A16}" r="H124" connectionId="0">
    <xmlCellPr id="1" xr6:uid="{76EF3428-B465-43C8-B630-5D19AD89E3A7}" uniqueName="PassengerValue">
      <xmlPr mapId="7" xpath="/MAKE/AOP/AOP_Frontal_FW/DUMMY_MEASUREMENTS/Femur_left/Fz_Max/@PassengerValue" xmlDataType="decimal"/>
    </xmlCellPr>
  </singleXmlCell>
  <singleXmlCell id="2697" xr6:uid="{A68B9F4E-601E-47DD-93F6-99DE68A5E434}" r="D125" connectionId="0">
    <xmlCellPr id="1" xr6:uid="{F2AB1789-AC68-459E-B70C-CFA715535BC5}" uniqueName="DriverValue">
      <xmlPr mapId="7" xpath="/MAKE/AOP/AOP_Frontal_FW/DUMMY_MEASUREMENTS/Femur_left/Fz_Min/@DriverValue" xmlDataType="decimal"/>
    </xmlCellPr>
  </singleXmlCell>
  <singleXmlCell id="2700" xr6:uid="{432A599F-1A2D-45DB-B57B-B28803757F23}" r="F125" connectionId="0">
    <xmlCellPr id="1" xr6:uid="{1B1DEEC0-22AD-4281-9591-5D0025BE2493}" uniqueName="OEM_Pass_Value">
      <xmlPr mapId="7" xpath="/MAKE/AOP/AOP_Frontal_FW/DUMMY_MEASUREMENTS/Femur_left/Fz_Min/@OEM_Pass_Value" xmlDataType="decimal"/>
    </xmlCellPr>
  </singleXmlCell>
  <singleXmlCell id="2703" xr6:uid="{A48AF349-712A-4D3C-9E2F-CFAD3C015F1D}" r="H125" connectionId="0">
    <xmlCellPr id="1" xr6:uid="{7A4755F4-ECC4-47ED-9652-40540C4B1860}" uniqueName="PassengerValue">
      <xmlPr mapId="7" xpath="/MAKE/AOP/AOP_Frontal_FW/DUMMY_MEASUREMENTS/Femur_left/Fz_Min/@PassengerValue" xmlDataType="decimal"/>
    </xmlCellPr>
  </singleXmlCell>
  <singleXmlCell id="2706" xr6:uid="{55D4ED2F-6399-4F44-8BC0-239670EF4A23}" r="D127" connectionId="0">
    <xmlCellPr id="1" xr6:uid="{EE8EC1D8-E616-432E-B59F-DC15422F9833}" uniqueName="DriverValue">
      <xmlPr mapId="7" xpath="/MAKE/AOP/AOP_Frontal_FW/DUMMY_MEASUREMENTS/Femur_right/Fz_Max/@DriverValue" xmlDataType="decimal"/>
    </xmlCellPr>
  </singleXmlCell>
  <singleXmlCell id="2709" xr6:uid="{937204F3-D3C6-4C11-B40F-1DE528357833}" r="F127" connectionId="0">
    <xmlCellPr id="1" xr6:uid="{B6B743DE-8BF9-4EF2-8B08-86207D2C5481}" uniqueName="OEM_Pass_Value">
      <xmlPr mapId="7" xpath="/MAKE/AOP/AOP_Frontal_FW/DUMMY_MEASUREMENTS/Femur_right/Fz_Max/@OEM_Pass_Value" xmlDataType="decimal"/>
    </xmlCellPr>
  </singleXmlCell>
  <singleXmlCell id="2712" xr6:uid="{5A05B934-007E-44CA-9687-83680A9A720B}" r="H127" connectionId="0">
    <xmlCellPr id="1" xr6:uid="{7BF4A26C-A5C4-4174-B2ED-9797E634C6B4}" uniqueName="PassengerValue">
      <xmlPr mapId="7" xpath="/MAKE/AOP/AOP_Frontal_FW/DUMMY_MEASUREMENTS/Femur_right/Fz_Max/@PassengerValue" xmlDataType="decimal"/>
    </xmlCellPr>
  </singleXmlCell>
  <singleXmlCell id="2715" xr6:uid="{184E569C-A045-449A-B59B-99510695720C}" r="D128" connectionId="0">
    <xmlCellPr id="1" xr6:uid="{77AD835A-19FB-4187-8048-38CDF09F65E4}" uniqueName="DriverValue">
      <xmlPr mapId="7" xpath="/MAKE/AOP/AOP_Frontal_FW/DUMMY_MEASUREMENTS/Femur_right/Fz_Min/@DriverValue" xmlDataType="decimal"/>
    </xmlCellPr>
  </singleXmlCell>
  <singleXmlCell id="2718" xr6:uid="{5CC680CB-14CE-4EA1-BB3F-0006DB0475D2}" r="F128" connectionId="0">
    <xmlCellPr id="1" xr6:uid="{DF47440D-2118-4CDC-9759-E60F101C3E3F}" uniqueName="OEM_Pass_Value">
      <xmlPr mapId="7" xpath="/MAKE/AOP/AOP_Frontal_FW/DUMMY_MEASUREMENTS/Femur_right/Fz_Min/@OEM_Pass_Value" xmlDataType="decimal"/>
    </xmlCellPr>
  </singleXmlCell>
  <singleXmlCell id="2721" xr6:uid="{F9BEBB59-1748-4C5E-88DD-824D2E3184FF}" r="H128" connectionId="0">
    <xmlCellPr id="1" xr6:uid="{0D92EF97-8F1D-467E-991A-7E9E9323DA68}" uniqueName="PassengerValue">
      <xmlPr mapId="7" xpath="/MAKE/AOP/AOP_Frontal_FW/DUMMY_MEASUREMENTS/Femur_right/Fz_Min/@PassengerValue" xmlDataType="decimal"/>
    </xmlCellPr>
  </singleXmlCell>
  <singleXmlCell id="2724" xr6:uid="{C1C3FF29-CB60-43AF-B37B-BC0189405505}" r="D130" connectionId="0">
    <xmlCellPr id="1" xr6:uid="{B094B888-5F0B-4D29-9F14-629B00F17337}" uniqueName="DriverValue">
      <xmlPr mapId="7" xpath="/MAKE/AOP/AOP_Frontal_FW/DUMMY_MEASUREMENTS/Knee_left/Dknee_Max/@DriverValue" xmlDataType="decimal"/>
    </xmlCellPr>
  </singleXmlCell>
  <singleXmlCell id="2727" xr6:uid="{6F05B05F-385C-4481-89CF-5AD5AB3D08CC}" r="F130" connectionId="0">
    <xmlCellPr id="1" xr6:uid="{F71256EE-44FE-4E1D-BCE3-3403F88E7D9F}" uniqueName="OEM_Pass_Value">
      <xmlPr mapId="7" xpath="/MAKE/AOP/AOP_Frontal_FW/DUMMY_MEASUREMENTS/Knee_left/Dknee_Max/@OEM_Pass_Value" xmlDataType="decimal"/>
    </xmlCellPr>
  </singleXmlCell>
  <singleXmlCell id="2730" xr6:uid="{C0A94205-0157-4273-9D43-D1A34055019F}" r="H130" connectionId="0">
    <xmlCellPr id="1" xr6:uid="{9C758A46-8FD4-4086-9288-B1C6B88E8096}" uniqueName="PassengerValue">
      <xmlPr mapId="7" xpath="/MAKE/AOP/AOP_Frontal_FW/DUMMY_MEASUREMENTS/Knee_left/Dknee_Max/@PassengerValue" xmlDataType="decimal"/>
    </xmlCellPr>
  </singleXmlCell>
  <singleXmlCell id="2733" xr6:uid="{EEBC1C5F-5FFC-4F5D-BED4-6C2425723BFD}" r="D131" connectionId="0">
    <xmlCellPr id="1" xr6:uid="{B11F12F3-013E-4715-B8D4-1FF2BF12E497}" uniqueName="DriverValue">
      <xmlPr mapId="7" xpath="/MAKE/AOP/AOP_Frontal_FW/DUMMY_MEASUREMENTS/Knee_left/Dknee_Min/@DriverValue" xmlDataType="decimal"/>
    </xmlCellPr>
  </singleXmlCell>
  <singleXmlCell id="2736" xr6:uid="{5233D574-ED21-4995-9246-FF6B8BD0A437}" r="F131" connectionId="0">
    <xmlCellPr id="1" xr6:uid="{BEB1A1FF-9B18-4B21-9A7D-F0C4A910A7BF}" uniqueName="OEM_Pass_Value">
      <xmlPr mapId="7" xpath="/MAKE/AOP/AOP_Frontal_FW/DUMMY_MEASUREMENTS/Knee_left/Dknee_Min/@OEM_Pass_Value" xmlDataType="decimal"/>
    </xmlCellPr>
  </singleXmlCell>
  <singleXmlCell id="2739" xr6:uid="{CE5B7F35-8561-4644-92E1-E6E10C1AEDE9}" r="H131" connectionId="0">
    <xmlCellPr id="1" xr6:uid="{C5A702B6-E6F9-461A-AE27-9D7F59A01297}" uniqueName="PassengerValue">
      <xmlPr mapId="7" xpath="/MAKE/AOP/AOP_Frontal_FW/DUMMY_MEASUREMENTS/Knee_left/Dknee_Min/@PassengerValue" xmlDataType="decimal"/>
    </xmlCellPr>
  </singleXmlCell>
  <singleXmlCell id="2742" xr6:uid="{737C47F4-2978-4FF7-AF1E-2B7D076F5E92}" r="D133" connectionId="0">
    <xmlCellPr id="1" xr6:uid="{343CC43F-B619-495E-99AA-8CF055EF7C8D}" uniqueName="DriverValue">
      <xmlPr mapId="7" xpath="/MAKE/AOP/AOP_Frontal_FW/DUMMY_MEASUREMENTS/Knee_right/Dknee_Max/@DriverValue" xmlDataType="decimal"/>
    </xmlCellPr>
  </singleXmlCell>
  <singleXmlCell id="2745" xr6:uid="{DBD75240-D977-4437-80B7-9CF64D14D04C}" r="F133" connectionId="0">
    <xmlCellPr id="1" xr6:uid="{78D1B873-3931-4119-A3CC-B30345FA7CF8}" uniqueName="OEM_Pass_Value">
      <xmlPr mapId="7" xpath="/MAKE/AOP/AOP_Frontal_FW/DUMMY_MEASUREMENTS/Knee_right/Dknee_Max/@OEM_Pass_Value" xmlDataType="decimal"/>
    </xmlCellPr>
  </singleXmlCell>
  <singleXmlCell id="2748" xr6:uid="{1C27FC73-A10A-4B66-BA09-699E5E6E88F6}" r="H133" connectionId="0">
    <xmlCellPr id="1" xr6:uid="{18C0ED2A-B6A5-46D8-9802-6E3E58A2B624}" uniqueName="PassengerValue">
      <xmlPr mapId="7" xpath="/MAKE/AOP/AOP_Frontal_FW/DUMMY_MEASUREMENTS/Knee_right/Dknee_Max/@PassengerValue" xmlDataType="decimal"/>
    </xmlCellPr>
  </singleXmlCell>
  <singleXmlCell id="2751" xr6:uid="{CAD9C6B8-A776-46C4-A19B-67CB22176C93}" r="D134" connectionId="0">
    <xmlCellPr id="1" xr6:uid="{EA5A8D3B-FFDF-4290-8288-9F59032A81F5}" uniqueName="DriverValue">
      <xmlPr mapId="7" xpath="/MAKE/AOP/AOP_Frontal_FW/DUMMY_MEASUREMENTS/Knee_right/Dknee_Min/@DriverValue" xmlDataType="decimal"/>
    </xmlCellPr>
  </singleXmlCell>
  <singleXmlCell id="2754" xr6:uid="{468444C7-92BA-4634-9ADE-1E6B1474C5FD}" r="F134" connectionId="0">
    <xmlCellPr id="1" xr6:uid="{B9D43005-0A88-4615-9D72-99CE6E28B38A}" uniqueName="OEM_Pass_Value">
      <xmlPr mapId="7" xpath="/MAKE/AOP/AOP_Frontal_FW/DUMMY_MEASUREMENTS/Knee_right/Dknee_Min/@OEM_Pass_Value" xmlDataType="decimal"/>
    </xmlCellPr>
  </singleXmlCell>
  <singleXmlCell id="2757" xr6:uid="{E43276FF-A970-45A8-833D-4F4D1AE13689}" r="H134" connectionId="0">
    <xmlCellPr id="1" xr6:uid="{E62D79A9-A359-43F5-A54C-68C5B40CE0AD}" uniqueName="PassengerValue">
      <xmlPr mapId="7" xpath="/MAKE/AOP/AOP_Frontal_FW/DUMMY_MEASUREMENTS/Knee_right/Dknee_Min/@PassengerValue" xmlDataType="decimal"/>
    </xmlCellPr>
  </singleXmlCell>
  <singleXmlCell id="2760" xr6:uid="{A1A04EA8-EBA0-4D42-AE5E-F2769D3E858A}" r="D136" connectionId="0">
    <xmlCellPr id="1" xr6:uid="{61F1793F-7047-4511-BD56-A99E0F2EA741}" uniqueName="DriverValue">
      <xmlPr mapId="7" xpath="/MAKE/AOP/AOP_Frontal_FW/DUMMY_MEASUREMENTS/Upper_Tibia_left/Fx_Max/@DriverValue" xmlDataType="decimal"/>
    </xmlCellPr>
  </singleXmlCell>
  <singleXmlCell id="2763" xr6:uid="{87CC7B89-42EC-47F2-8230-DEA1C1736835}" r="F136" connectionId="0">
    <xmlCellPr id="1" xr6:uid="{0A3546B8-D7BA-4CDE-B16F-625CB2E4D7DF}" uniqueName="OEM_Pass_Value">
      <xmlPr mapId="7" xpath="/MAKE/AOP/AOP_Frontal_FW/DUMMY_MEASUREMENTS/Upper_Tibia_left/Fx_Max/@OEM_Pass_Value" xmlDataType="decimal"/>
    </xmlCellPr>
  </singleXmlCell>
  <singleXmlCell id="2766" xr6:uid="{AB39D539-FA25-4FF7-9194-90DE1613F7B1}" r="H136" connectionId="0">
    <xmlCellPr id="1" xr6:uid="{CE42BC01-B338-4F44-B653-43A5D6F1781F}" uniqueName="PassengerValue">
      <xmlPr mapId="7" xpath="/MAKE/AOP/AOP_Frontal_FW/DUMMY_MEASUREMENTS/Upper_Tibia_left/Fx_Max/@PassengerValue" xmlDataType="decimal"/>
    </xmlCellPr>
  </singleXmlCell>
  <singleXmlCell id="2769" xr6:uid="{FFA0AA10-91D6-4113-8E47-2935D36C14D8}" r="D137" connectionId="0">
    <xmlCellPr id="1" xr6:uid="{1632C6E5-93B0-4867-937C-0E0945826827}" uniqueName="DriverValue">
      <xmlPr mapId="7" xpath="/MAKE/AOP/AOP_Frontal_FW/DUMMY_MEASUREMENTS/Upper_Tibia_left/Fx_Min/@DriverValue" xmlDataType="decimal"/>
    </xmlCellPr>
  </singleXmlCell>
  <singleXmlCell id="2772" xr6:uid="{8E7CE243-3B29-4D14-A144-A3F4CA773E90}" r="F137" connectionId="0">
    <xmlCellPr id="1" xr6:uid="{AC0B5EB0-2D17-42DD-A6F4-D9CBC418BEED}" uniqueName="OEM_Pass_Value">
      <xmlPr mapId="7" xpath="/MAKE/AOP/AOP_Frontal_FW/DUMMY_MEASUREMENTS/Upper_Tibia_left/Fx_Min/@OEM_Pass_Value" xmlDataType="decimal"/>
    </xmlCellPr>
  </singleXmlCell>
  <singleXmlCell id="2775" xr6:uid="{6F2C250A-F44F-4F83-B217-1319793E23E4}" r="H137" connectionId="0">
    <xmlCellPr id="1" xr6:uid="{D54374CE-A498-4A8A-B3ED-B0A5B3ABFBF0}" uniqueName="PassengerValue">
      <xmlPr mapId="7" xpath="/MAKE/AOP/AOP_Frontal_FW/DUMMY_MEASUREMENTS/Upper_Tibia_left/Fx_Min/@PassengerValue" xmlDataType="decimal"/>
    </xmlCellPr>
  </singleXmlCell>
  <singleXmlCell id="2778" xr6:uid="{1FD5C4A1-FE23-4D6C-A0B8-54C8C626FDBA}" r="D138" connectionId="0">
    <xmlCellPr id="1" xr6:uid="{DA29E1D2-6C04-4600-A485-8F098E119534}" uniqueName="DriverValue">
      <xmlPr mapId="7" xpath="/MAKE/AOP/AOP_Frontal_FW/DUMMY_MEASUREMENTS/Upper_Tibia_left/Fz_Max/@DriverValue" xmlDataType="decimal"/>
    </xmlCellPr>
  </singleXmlCell>
  <singleXmlCell id="2781" xr6:uid="{10704569-6129-4512-A490-C9187951C73E}" r="F138" connectionId="0">
    <xmlCellPr id="1" xr6:uid="{4207E384-0A98-4F19-8D9B-9B1965C0116B}" uniqueName="OEM_Pass_Value">
      <xmlPr mapId="7" xpath="/MAKE/AOP/AOP_Frontal_FW/DUMMY_MEASUREMENTS/Upper_Tibia_left/Fz_Max/@OEM_Pass_Value" xmlDataType="decimal"/>
    </xmlCellPr>
  </singleXmlCell>
  <singleXmlCell id="2784" xr6:uid="{CD9E0943-C420-4AC4-9DDF-36A9C2E5C213}" r="H138" connectionId="0">
    <xmlCellPr id="1" xr6:uid="{C6B1C7B5-9207-4002-864A-0FBDC5771E8E}" uniqueName="PassengerValue">
      <xmlPr mapId="7" xpath="/MAKE/AOP/AOP_Frontal_FW/DUMMY_MEASUREMENTS/Upper_Tibia_left/Fz_Max/@PassengerValue" xmlDataType="decimal"/>
    </xmlCellPr>
  </singleXmlCell>
  <singleXmlCell id="2787" xr6:uid="{D8F1CFDC-ECAC-48DA-99F9-732493EBF8EE}" r="D139" connectionId="0">
    <xmlCellPr id="1" xr6:uid="{3DA1147B-5AE2-4B58-90BF-DF65C3369B2B}" uniqueName="DriverValue">
      <xmlPr mapId="7" xpath="/MAKE/AOP/AOP_Frontal_FW/DUMMY_MEASUREMENTS/Upper_Tibia_left/Fz_Min/@DriverValue" xmlDataType="decimal"/>
    </xmlCellPr>
  </singleXmlCell>
  <singleXmlCell id="2790" xr6:uid="{46A4AE4F-4197-4787-A4E4-8341434961DC}" r="F139" connectionId="0">
    <xmlCellPr id="1" xr6:uid="{F89734BA-7058-4BA6-A2D9-3897BA400467}" uniqueName="OEM_Pass_Value">
      <xmlPr mapId="7" xpath="/MAKE/AOP/AOP_Frontal_FW/DUMMY_MEASUREMENTS/Upper_Tibia_left/Fz_Min/@OEM_Pass_Value" xmlDataType="decimal"/>
    </xmlCellPr>
  </singleXmlCell>
  <singleXmlCell id="2793" xr6:uid="{8EE7ACD7-2B93-4289-A58C-262047425876}" r="H139" connectionId="0">
    <xmlCellPr id="1" xr6:uid="{8E87920B-1186-4EDE-B60E-27AB8E3A639B}" uniqueName="PassengerValue">
      <xmlPr mapId="7" xpath="/MAKE/AOP/AOP_Frontal_FW/DUMMY_MEASUREMENTS/Upper_Tibia_left/Fz_Min/@PassengerValue" xmlDataType="decimal"/>
    </xmlCellPr>
  </singleXmlCell>
  <singleXmlCell id="2796" xr6:uid="{11350172-9ACD-4BA2-9408-504D2D87A26E}" r="D140" connectionId="0">
    <xmlCellPr id="1" xr6:uid="{97903985-D498-4B5B-8984-3C24D732767A}" uniqueName="DriverValue">
      <xmlPr mapId="7" xpath="/MAKE/AOP/AOP_Frontal_FW/DUMMY_MEASUREMENTS/Upper_Tibia_left/Mx_Max/@DriverValue" xmlDataType="decimal"/>
    </xmlCellPr>
  </singleXmlCell>
  <singleXmlCell id="2799" xr6:uid="{77ACBE77-E4E2-473B-B2A4-434856010D4C}" r="F140" connectionId="0">
    <xmlCellPr id="1" xr6:uid="{42AEF81B-A8AC-414E-B633-B08DE12EBBA4}" uniqueName="OEM_Pass_Value">
      <xmlPr mapId="7" xpath="/MAKE/AOP/AOP_Frontal_FW/DUMMY_MEASUREMENTS/Upper_Tibia_left/Mx_Max/@OEM_Pass_Value" xmlDataType="decimal"/>
    </xmlCellPr>
  </singleXmlCell>
  <singleXmlCell id="2802" xr6:uid="{A69A719B-90F3-4990-86A3-CE5F25F4A804}" r="H140" connectionId="0">
    <xmlCellPr id="1" xr6:uid="{E78CB9C2-9BC3-4B34-861A-10CD2524E1BB}" uniqueName="PassengerValue">
      <xmlPr mapId="7" xpath="/MAKE/AOP/AOP_Frontal_FW/DUMMY_MEASUREMENTS/Upper_Tibia_left/Mx_Max/@PassengerValue" xmlDataType="decimal"/>
    </xmlCellPr>
  </singleXmlCell>
  <singleXmlCell id="2805" xr6:uid="{BDFDDF76-A224-47DF-B7E8-8D0C0B9E559F}" r="D141" connectionId="0">
    <xmlCellPr id="1" xr6:uid="{9FA0FC04-CB72-429B-B15C-B6E06D9D2DA1}" uniqueName="DriverValue">
      <xmlPr mapId="7" xpath="/MAKE/AOP/AOP_Frontal_FW/DUMMY_MEASUREMENTS/Upper_Tibia_left/Mx_Min/@DriverValue" xmlDataType="decimal"/>
    </xmlCellPr>
  </singleXmlCell>
  <singleXmlCell id="2808" xr6:uid="{32AEC445-27DF-44A3-906A-94CD056FF4FD}" r="F141" connectionId="0">
    <xmlCellPr id="1" xr6:uid="{B44E29E6-4130-4611-9842-1BA1D860EB28}" uniqueName="OEM_Pass_Value">
      <xmlPr mapId="7" xpath="/MAKE/AOP/AOP_Frontal_FW/DUMMY_MEASUREMENTS/Upper_Tibia_left/Mx_Min/@OEM_Pass_Value" xmlDataType="decimal"/>
    </xmlCellPr>
  </singleXmlCell>
  <singleXmlCell id="2811" xr6:uid="{4587CE22-F0CA-4E5A-9E8D-72A3A718E966}" r="H141" connectionId="0">
    <xmlCellPr id="1" xr6:uid="{4F4B46AE-7606-4559-8C02-8FB9EDA1F702}" uniqueName="PassengerValue">
      <xmlPr mapId="7" xpath="/MAKE/AOP/AOP_Frontal_FW/DUMMY_MEASUREMENTS/Upper_Tibia_left/Mx_Min/@PassengerValue" xmlDataType="decimal"/>
    </xmlCellPr>
  </singleXmlCell>
  <singleXmlCell id="2814" xr6:uid="{32753EA1-66C0-4CDB-B90F-5CE340B9E81F}" r="D142" connectionId="0">
    <xmlCellPr id="1" xr6:uid="{E25738E6-3A85-49D6-BA67-33FF50244F37}" uniqueName="DriverValue">
      <xmlPr mapId="7" xpath="/MAKE/AOP/AOP_Frontal_FW/DUMMY_MEASUREMENTS/Upper_Tibia_left/My_Max/@DriverValue" xmlDataType="decimal"/>
    </xmlCellPr>
  </singleXmlCell>
  <singleXmlCell id="2817" xr6:uid="{1C63C9FE-D039-4767-87CF-D2BF21D1997D}" r="F142" connectionId="0">
    <xmlCellPr id="1" xr6:uid="{352912E4-002A-4C42-A757-1AA57E1EE3FB}" uniqueName="OEM_Pass_Value">
      <xmlPr mapId="7" xpath="/MAKE/AOP/AOP_Frontal_FW/DUMMY_MEASUREMENTS/Upper_Tibia_left/My_Max/@OEM_Pass_Value" xmlDataType="decimal"/>
    </xmlCellPr>
  </singleXmlCell>
  <singleXmlCell id="2820" xr6:uid="{31B32439-3F1A-4345-8F0B-904BBA1CB663}" r="H142" connectionId="0">
    <xmlCellPr id="1" xr6:uid="{2D89EEAB-BD98-46FE-BEB5-E50FAC5FB56F}" uniqueName="PassengerValue">
      <xmlPr mapId="7" xpath="/MAKE/AOP/AOP_Frontal_FW/DUMMY_MEASUREMENTS/Upper_Tibia_left/My_Max/@PassengerValue" xmlDataType="decimal"/>
    </xmlCellPr>
  </singleXmlCell>
  <singleXmlCell id="2823" xr6:uid="{7C3F8645-2526-4C61-A612-548DFAFCFE92}" r="D143" connectionId="0">
    <xmlCellPr id="1" xr6:uid="{8E9C19C1-720D-4151-9636-C089B14D859D}" uniqueName="DriverValue">
      <xmlPr mapId="7" xpath="/MAKE/AOP/AOP_Frontal_FW/DUMMY_MEASUREMENTS/Upper_Tibia_left/My_Min/@DriverValue" xmlDataType="decimal"/>
    </xmlCellPr>
  </singleXmlCell>
  <singleXmlCell id="2826" xr6:uid="{E48F75C1-E639-4AAE-B113-01143BB7D08F}" r="F143" connectionId="0">
    <xmlCellPr id="1" xr6:uid="{C025FA8A-5A99-4542-B42D-F099A692EB16}" uniqueName="OEM_Pass_Value">
      <xmlPr mapId="7" xpath="/MAKE/AOP/AOP_Frontal_FW/DUMMY_MEASUREMENTS/Upper_Tibia_left/My_Min/@OEM_Pass_Value" xmlDataType="decimal"/>
    </xmlCellPr>
  </singleXmlCell>
  <singleXmlCell id="2829" xr6:uid="{7988DE9E-C374-4065-9385-900B3EB56B21}" r="H143" connectionId="0">
    <xmlCellPr id="1" xr6:uid="{E944BA2D-55E9-4256-A50D-51B7C6998FF9}" uniqueName="PassengerValue">
      <xmlPr mapId="7" xpath="/MAKE/AOP/AOP_Frontal_FW/DUMMY_MEASUREMENTS/Upper_Tibia_left/My_Min/@PassengerValue" xmlDataType="decimal"/>
    </xmlCellPr>
  </singleXmlCell>
  <singleXmlCell id="2832" xr6:uid="{6459D0A0-A5DE-47A4-9C82-56DC332ED956}" r="D145" connectionId="0">
    <xmlCellPr id="1" xr6:uid="{C457ACC6-3706-41EA-AB0E-55ECD9DC5DDC}" uniqueName="DriverValue">
      <xmlPr mapId="7" xpath="/MAKE/AOP/AOP_Frontal_FW/DUMMY_MEASUREMENTS/Upper_Tibia_right/Fx_Max/@DriverValue" xmlDataType="decimal"/>
    </xmlCellPr>
  </singleXmlCell>
  <singleXmlCell id="2835" xr6:uid="{66FF79D4-4AB1-4359-B75C-314DEBB2C23D}" r="F145" connectionId="0">
    <xmlCellPr id="1" xr6:uid="{884E9263-C38D-4512-A33C-CFE0566C69A7}" uniqueName="OEM_Pass_Value">
      <xmlPr mapId="7" xpath="/MAKE/AOP/AOP_Frontal_FW/DUMMY_MEASUREMENTS/Upper_Tibia_right/Fx_Max/@OEM_Pass_Value" xmlDataType="decimal"/>
    </xmlCellPr>
  </singleXmlCell>
  <singleXmlCell id="2838" xr6:uid="{46E648AD-A01B-4C8D-9655-1A32C8438BC8}" r="H145" connectionId="0">
    <xmlCellPr id="1" xr6:uid="{2D79A3D5-3838-4330-A9DB-3A4E1C66F6FD}" uniqueName="PassengerValue">
      <xmlPr mapId="7" xpath="/MAKE/AOP/AOP_Frontal_FW/DUMMY_MEASUREMENTS/Upper_Tibia_right/Fx_Max/@PassengerValue" xmlDataType="decimal"/>
    </xmlCellPr>
  </singleXmlCell>
  <singleXmlCell id="2840" xr6:uid="{42956D4A-D136-43D6-8D94-3A76C75C8C5F}" r="D146" connectionId="0">
    <xmlCellPr id="1" xr6:uid="{F97EBFE8-C9BF-4874-97AB-BBB64ECB9746}" uniqueName="DriverValue">
      <xmlPr mapId="7" xpath="/MAKE/AOP/AOP_Frontal_FW/DUMMY_MEASUREMENTS/Upper_Tibia_right/Fx_Min/@DriverValue" xmlDataType="decimal"/>
    </xmlCellPr>
  </singleXmlCell>
  <singleXmlCell id="2841" xr6:uid="{DBB595A8-B356-47BF-863E-B3B9F2C1F938}" r="F146" connectionId="0">
    <xmlCellPr id="1" xr6:uid="{73E4E8EF-A19D-4BA8-8B8F-D87E470172FF}" uniqueName="OEM_Pass_Value">
      <xmlPr mapId="7" xpath="/MAKE/AOP/AOP_Frontal_FW/DUMMY_MEASUREMENTS/Upper_Tibia_right/Fx_Min/@OEM_Pass_Value" xmlDataType="decimal"/>
    </xmlCellPr>
  </singleXmlCell>
  <singleXmlCell id="2842" xr6:uid="{01CE6923-BA9D-4D65-A820-7B779F3CCFAC}" r="H146" connectionId="0">
    <xmlCellPr id="1" xr6:uid="{08D132CE-8CD4-47D1-A9AB-86818FEBC292}" uniqueName="PassengerValue">
      <xmlPr mapId="7" xpath="/MAKE/AOP/AOP_Frontal_FW/DUMMY_MEASUREMENTS/Upper_Tibia_right/Fx_Min/@PassengerValue" xmlDataType="decimal"/>
    </xmlCellPr>
  </singleXmlCell>
  <singleXmlCell id="2844" xr6:uid="{969F8021-C6CA-48EE-B1B8-31BF9CCFAE9D}" r="D147" connectionId="0">
    <xmlCellPr id="1" xr6:uid="{CC976626-13DB-43C7-9732-C38887F99813}" uniqueName="DriverValue">
      <xmlPr mapId="7" xpath="/MAKE/AOP/AOP_Frontal_FW/DUMMY_MEASUREMENTS/Upper_Tibia_right/Fz_Max/@DriverValue" xmlDataType="decimal"/>
    </xmlCellPr>
  </singleXmlCell>
  <singleXmlCell id="2847" xr6:uid="{F19B12CC-1B2D-46EC-88BA-3350B3C54242}" r="F147" connectionId="0">
    <xmlCellPr id="1" xr6:uid="{141501FC-C0F8-4B6C-A2BF-DDBC4B0FB448}" uniqueName="OEM_Pass_Value">
      <xmlPr mapId="7" xpath="/MAKE/AOP/AOP_Frontal_FW/DUMMY_MEASUREMENTS/Upper_Tibia_right/Fz_Max/@OEM_Pass_Value" xmlDataType="decimal"/>
    </xmlCellPr>
  </singleXmlCell>
  <singleXmlCell id="2850" xr6:uid="{6DF7D919-4742-4205-917D-F8CB9BA313CC}" r="H147" connectionId="0">
    <xmlCellPr id="1" xr6:uid="{01547941-13DC-4192-BF44-DD3BFE7E879F}" uniqueName="PassengerValue">
      <xmlPr mapId="7" xpath="/MAKE/AOP/AOP_Frontal_FW/DUMMY_MEASUREMENTS/Upper_Tibia_right/Fz_Max/@PassengerValue" xmlDataType="decimal"/>
    </xmlCellPr>
  </singleXmlCell>
  <singleXmlCell id="2853" xr6:uid="{D5F2EB9E-2512-40A0-A742-1A378E3D0CCC}" r="D148" connectionId="0">
    <xmlCellPr id="1" xr6:uid="{10C97AFF-0A66-4398-8DD6-1FF63AF25B06}" uniqueName="DriverValue">
      <xmlPr mapId="7" xpath="/MAKE/AOP/AOP_Frontal_FW/DUMMY_MEASUREMENTS/Upper_Tibia_right/Fz_Min/@DriverValue" xmlDataType="decimal"/>
    </xmlCellPr>
  </singleXmlCell>
  <singleXmlCell id="2856" xr6:uid="{A5441521-8879-4CAE-B776-BAF382E653E1}" r="F148" connectionId="0">
    <xmlCellPr id="1" xr6:uid="{3F383A04-0A50-4570-90E7-7C33CC7F17B0}" uniqueName="OEM_Pass_Value">
      <xmlPr mapId="7" xpath="/MAKE/AOP/AOP_Frontal_FW/DUMMY_MEASUREMENTS/Upper_Tibia_right/Fz_Min/@OEM_Pass_Value" xmlDataType="decimal"/>
    </xmlCellPr>
  </singleXmlCell>
  <singleXmlCell id="2859" xr6:uid="{24266C5C-C224-4B2E-9789-92429AE2BD04}" r="H148" connectionId="0">
    <xmlCellPr id="1" xr6:uid="{DDA6E52A-0216-469B-BEDB-FBFF36B1B167}" uniqueName="PassengerValue">
      <xmlPr mapId="7" xpath="/MAKE/AOP/AOP_Frontal_FW/DUMMY_MEASUREMENTS/Upper_Tibia_right/Fz_Min/@PassengerValue" xmlDataType="decimal"/>
    </xmlCellPr>
  </singleXmlCell>
  <singleXmlCell id="2862" xr6:uid="{51DCC05D-0028-4915-89B8-A6BDBA6B6BEA}" r="D149" connectionId="0">
    <xmlCellPr id="1" xr6:uid="{2D26FBB5-E467-4B7D-9725-2CB0B71603FD}" uniqueName="DriverValue">
      <xmlPr mapId="7" xpath="/MAKE/AOP/AOP_Frontal_FW/DUMMY_MEASUREMENTS/Upper_Tibia_right/Mx_Max/@DriverValue" xmlDataType="decimal"/>
    </xmlCellPr>
  </singleXmlCell>
  <singleXmlCell id="2865" xr6:uid="{1C077F67-B47D-46C7-9855-CB78BAA921F3}" r="F149" connectionId="0">
    <xmlCellPr id="1" xr6:uid="{7ECDB0F6-C08E-48D5-9955-918EF26847C0}" uniqueName="OEM_Pass_Value">
      <xmlPr mapId="7" xpath="/MAKE/AOP/AOP_Frontal_FW/DUMMY_MEASUREMENTS/Upper_Tibia_right/Mx_Max/@OEM_Pass_Value" xmlDataType="decimal"/>
    </xmlCellPr>
  </singleXmlCell>
  <singleXmlCell id="2868" xr6:uid="{37A76B09-C0C3-4BE1-AEF0-7C84B4CE7E97}" r="H149" connectionId="0">
    <xmlCellPr id="1" xr6:uid="{FF4C180B-2962-43F0-8349-71342F308DD4}" uniqueName="PassengerValue">
      <xmlPr mapId="7" xpath="/MAKE/AOP/AOP_Frontal_FW/DUMMY_MEASUREMENTS/Upper_Tibia_right/Mx_Max/@PassengerValue" xmlDataType="decimal"/>
    </xmlCellPr>
  </singleXmlCell>
  <singleXmlCell id="2871" xr6:uid="{92108B69-05F7-4DA9-AB36-745A33092FFD}" r="D150" connectionId="0">
    <xmlCellPr id="1" xr6:uid="{0601D447-B43E-4B09-BF45-64555AB1B052}" uniqueName="DriverValue">
      <xmlPr mapId="7" xpath="/MAKE/AOP/AOP_Frontal_FW/DUMMY_MEASUREMENTS/Upper_Tibia_right/Mx_Min/@DriverValue" xmlDataType="decimal"/>
    </xmlCellPr>
  </singleXmlCell>
  <singleXmlCell id="2874" xr6:uid="{FB713452-696D-4DAF-A41C-076816AE4F28}" r="F150" connectionId="0">
    <xmlCellPr id="1" xr6:uid="{2746BCE7-CA6C-4327-BFC3-6C9673B5D606}" uniqueName="OEM_Pass_Value">
      <xmlPr mapId="7" xpath="/MAKE/AOP/AOP_Frontal_FW/DUMMY_MEASUREMENTS/Upper_Tibia_right/Mx_Min/@OEM_Pass_Value" xmlDataType="decimal"/>
    </xmlCellPr>
  </singleXmlCell>
  <singleXmlCell id="2877" xr6:uid="{2FA7CD7B-E87D-4F68-B992-D0CB0ACEFCEF}" r="H150" connectionId="0">
    <xmlCellPr id="1" xr6:uid="{3CF36FB4-57C0-476F-B6E0-7FDF327D3CB7}" uniqueName="PassengerValue">
      <xmlPr mapId="7" xpath="/MAKE/AOP/AOP_Frontal_FW/DUMMY_MEASUREMENTS/Upper_Tibia_right/Mx_Min/@PassengerValue" xmlDataType="decimal"/>
    </xmlCellPr>
  </singleXmlCell>
  <singleXmlCell id="2880" xr6:uid="{0D9709B7-DDB9-4618-88AF-7A722758ED63}" r="D151" connectionId="0">
    <xmlCellPr id="1" xr6:uid="{5CC89439-26F6-4A72-B06A-C73BDE07684F}" uniqueName="DriverValue">
      <xmlPr mapId="7" xpath="/MAKE/AOP/AOP_Frontal_FW/DUMMY_MEASUREMENTS/Upper_Tibia_right/My_Max/@DriverValue" xmlDataType="decimal"/>
    </xmlCellPr>
  </singleXmlCell>
  <singleXmlCell id="2883" xr6:uid="{E4BA3713-2841-4C9F-A696-0F0FF10F4533}" r="F151" connectionId="0">
    <xmlCellPr id="1" xr6:uid="{EC664D4E-8D1E-4215-89B0-22C4C23E6BCF}" uniqueName="OEM_Pass_Value">
      <xmlPr mapId="7" xpath="/MAKE/AOP/AOP_Frontal_FW/DUMMY_MEASUREMENTS/Upper_Tibia_right/My_Max/@OEM_Pass_Value" xmlDataType="decimal"/>
    </xmlCellPr>
  </singleXmlCell>
  <singleXmlCell id="2886" xr6:uid="{63B01A02-3442-47ED-84B5-FD1240829514}" r="H151" connectionId="0">
    <xmlCellPr id="1" xr6:uid="{AEDEF145-28D5-4E1E-9064-7B9429D87323}" uniqueName="PassengerValue">
      <xmlPr mapId="7" xpath="/MAKE/AOP/AOP_Frontal_FW/DUMMY_MEASUREMENTS/Upper_Tibia_right/My_Max/@PassengerValue" xmlDataType="decimal"/>
    </xmlCellPr>
  </singleXmlCell>
  <singleXmlCell id="2889" xr6:uid="{78B7AF5C-8B03-4260-9BBB-4AAA32602D82}" r="D152" connectionId="0">
    <xmlCellPr id="1" xr6:uid="{7D5C8237-24B3-4BE3-8C6B-EDEDA6A308E0}" uniqueName="DriverValue">
      <xmlPr mapId="7" xpath="/MAKE/AOP/AOP_Frontal_FW/DUMMY_MEASUREMENTS/Upper_Tibia_right/My_Min/@DriverValue" xmlDataType="decimal"/>
    </xmlCellPr>
  </singleXmlCell>
  <singleXmlCell id="2892" xr6:uid="{2BB78087-DD62-4419-95E6-9960126DA63E}" r="F152" connectionId="0">
    <xmlCellPr id="1" xr6:uid="{CC0544F6-CF1E-4811-8009-705A4EA2253F}" uniqueName="OEM_Pass_Value">
      <xmlPr mapId="7" xpath="/MAKE/AOP/AOP_Frontal_FW/DUMMY_MEASUREMENTS/Upper_Tibia_right/My_Min/@OEM_Pass_Value" xmlDataType="decimal"/>
    </xmlCellPr>
  </singleXmlCell>
  <singleXmlCell id="2895" xr6:uid="{B2F7AEDF-EDAE-43C6-908A-DBD8A0494945}" r="H152" connectionId="0">
    <xmlCellPr id="1" xr6:uid="{7B7CA7FB-0AC7-4DFD-B938-B1DD5FC36C23}" uniqueName="PassengerValue">
      <xmlPr mapId="7" xpath="/MAKE/AOP/AOP_Frontal_FW/DUMMY_MEASUREMENTS/Upper_Tibia_right/My_Min/@PassengerValue" xmlDataType="decimal"/>
    </xmlCellPr>
  </singleXmlCell>
  <singleXmlCell id="2898" xr6:uid="{94031004-815B-456A-8479-7D92AEE0BABB}" r="D154" connectionId="0">
    <xmlCellPr id="1" xr6:uid="{56E9F046-DE7D-4130-B755-B76C4E6C9893}" uniqueName="DriverValue">
      <xmlPr mapId="7" xpath="/MAKE/AOP/AOP_Frontal_FW/DUMMY_MEASUREMENTS/Lower_Tibia_left/Fx_Max/@DriverValue" xmlDataType="decimal"/>
    </xmlCellPr>
  </singleXmlCell>
  <singleXmlCell id="2901" xr6:uid="{280F3A1D-79E6-4EE7-B7C6-9480A3B3C5F9}" r="F154" connectionId="0">
    <xmlCellPr id="1" xr6:uid="{689C27B3-68DC-4E10-A82C-1F20DFB7E93D}" uniqueName="OEM_Pass_Value">
      <xmlPr mapId="7" xpath="/MAKE/AOP/AOP_Frontal_FW/DUMMY_MEASUREMENTS/Lower_Tibia_left/Fx_Max/@OEM_Pass_Value" xmlDataType="decimal"/>
    </xmlCellPr>
  </singleXmlCell>
  <singleXmlCell id="2904" xr6:uid="{C178F4A7-5183-4074-93E0-B65EAA81C808}" r="H154" connectionId="0">
    <xmlCellPr id="1" xr6:uid="{1AE03DE7-4211-4B11-AD0E-169668C7AA31}" uniqueName="PassengerValue">
      <xmlPr mapId="7" xpath="/MAKE/AOP/AOP_Frontal_FW/DUMMY_MEASUREMENTS/Lower_Tibia_left/Fx_Max/@PassengerValue" xmlDataType="decimal"/>
    </xmlCellPr>
  </singleXmlCell>
  <singleXmlCell id="2907" xr6:uid="{EC1D5032-9620-4D9A-95FF-AA372BEE9D09}" r="D155" connectionId="0">
    <xmlCellPr id="1" xr6:uid="{A4D3AFF7-BC9F-47A0-B203-E31381FAEC45}" uniqueName="DriverValue">
      <xmlPr mapId="7" xpath="/MAKE/AOP/AOP_Frontal_FW/DUMMY_MEASUREMENTS/Lower_Tibia_left/Fx_Min/@DriverValue" xmlDataType="decimal"/>
    </xmlCellPr>
  </singleXmlCell>
  <singleXmlCell id="2910" xr6:uid="{37492B28-51A5-485D-8172-B98F51EA36FB}" r="F155" connectionId="0">
    <xmlCellPr id="1" xr6:uid="{D074DAF5-4023-4BC3-A45B-B350DBE18119}" uniqueName="OEM_Pass_Value">
      <xmlPr mapId="7" xpath="/MAKE/AOP/AOP_Frontal_FW/DUMMY_MEASUREMENTS/Lower_Tibia_left/Fx_Min/@OEM_Pass_Value" xmlDataType="decimal"/>
    </xmlCellPr>
  </singleXmlCell>
  <singleXmlCell id="2913" xr6:uid="{39737926-84AF-4C13-8EDA-00B50C5534A7}" r="H155" connectionId="0">
    <xmlCellPr id="1" xr6:uid="{E576672A-D02C-485A-941B-B38CC4ACCE25}" uniqueName="PassengerValue">
      <xmlPr mapId="7" xpath="/MAKE/AOP/AOP_Frontal_FW/DUMMY_MEASUREMENTS/Lower_Tibia_left/Fx_Min/@PassengerValue" xmlDataType="decimal"/>
    </xmlCellPr>
  </singleXmlCell>
  <singleXmlCell id="2916" xr6:uid="{21F879F5-9DF0-4F14-BE9E-C053D32EBEC5}" r="D156" connectionId="0">
    <xmlCellPr id="1" xr6:uid="{9BA09738-8E65-416E-8C93-A2BD65C34789}" uniqueName="DriverValue">
      <xmlPr mapId="7" xpath="/MAKE/AOP/AOP_Frontal_FW/DUMMY_MEASUREMENTS/Lower_Tibia_left/Fy_Max/@DriverValue" xmlDataType="decimal"/>
    </xmlCellPr>
  </singleXmlCell>
  <singleXmlCell id="2919" xr6:uid="{21479529-719F-40A5-AE7C-DCDB764D535C}" r="F156" connectionId="0">
    <xmlCellPr id="1" xr6:uid="{9B453A96-3EA8-4C35-9514-04411A756E4B}" uniqueName="OEM_Pass_Value">
      <xmlPr mapId="7" xpath="/MAKE/AOP/AOP_Frontal_FW/DUMMY_MEASUREMENTS/Lower_Tibia_left/Fy_Max/@OEM_Pass_Value" xmlDataType="decimal"/>
    </xmlCellPr>
  </singleXmlCell>
  <singleXmlCell id="2922" xr6:uid="{72D80519-BD10-416D-94A7-23DC8315FD40}" r="H156" connectionId="0">
    <xmlCellPr id="1" xr6:uid="{2CAD2D64-5AA6-4D4A-AED7-2F7356E2D85F}" uniqueName="PassengerValue">
      <xmlPr mapId="7" xpath="/MAKE/AOP/AOP_Frontal_FW/DUMMY_MEASUREMENTS/Lower_Tibia_left/Fy_Max/@PassengerValue" xmlDataType="decimal"/>
    </xmlCellPr>
  </singleXmlCell>
  <singleXmlCell id="2925" xr6:uid="{55C6C4B6-434F-4975-8C4E-20630E4383DB}" r="D157" connectionId="0">
    <xmlCellPr id="1" xr6:uid="{1BBFD981-9322-4831-B1F9-EBA7F406917C}" uniqueName="DriverValue">
      <xmlPr mapId="7" xpath="/MAKE/AOP/AOP_Frontal_FW/DUMMY_MEASUREMENTS/Lower_Tibia_left/Fy_Min/@DriverValue" xmlDataType="decimal"/>
    </xmlCellPr>
  </singleXmlCell>
  <singleXmlCell id="2928" xr6:uid="{BFEFBD6E-0B3D-4370-86A5-C1C28C17C7B1}" r="F157" connectionId="0">
    <xmlCellPr id="1" xr6:uid="{C4464DDA-65E1-4EDA-B647-530BCE2513B8}" uniqueName="OEM_Pass_Value">
      <xmlPr mapId="7" xpath="/MAKE/AOP/AOP_Frontal_FW/DUMMY_MEASUREMENTS/Lower_Tibia_left/Fy_Min/@OEM_Pass_Value" xmlDataType="decimal"/>
    </xmlCellPr>
  </singleXmlCell>
  <singleXmlCell id="2931" xr6:uid="{C9515B73-0B80-4F5C-9EB3-1F4609005047}" r="H157" connectionId="0">
    <xmlCellPr id="1" xr6:uid="{197C51F6-ED1F-4C57-B3BC-337F283AD571}" uniqueName="PassengerValue">
      <xmlPr mapId="7" xpath="/MAKE/AOP/AOP_Frontal_FW/DUMMY_MEASUREMENTS/Lower_Tibia_left/Fy_Min/@PassengerValue" xmlDataType="decimal"/>
    </xmlCellPr>
  </singleXmlCell>
  <singleXmlCell id="2934" xr6:uid="{66BF943A-DAF4-4563-928F-9E64CA0036F3}" r="D158" connectionId="0">
    <xmlCellPr id="1" xr6:uid="{C874A5EA-0811-47F2-B575-9D8FAE0F8F5A}" uniqueName="DriverValue">
      <xmlPr mapId="7" xpath="/MAKE/AOP/AOP_Frontal_FW/DUMMY_MEASUREMENTS/Lower_Tibia_left/Fz_Max/@DriverValue" xmlDataType="decimal"/>
    </xmlCellPr>
  </singleXmlCell>
  <singleXmlCell id="2937" xr6:uid="{3A1DD7DD-EA1C-422E-88A9-BCA25CCBFAAC}" r="F158" connectionId="0">
    <xmlCellPr id="1" xr6:uid="{E02187D4-2882-421D-902E-2A4D4C539A87}" uniqueName="OEM_Pass_Value">
      <xmlPr mapId="7" xpath="/MAKE/AOP/AOP_Frontal_FW/DUMMY_MEASUREMENTS/Lower_Tibia_left/Fz_Max/@OEM_Pass_Value" xmlDataType="decimal"/>
    </xmlCellPr>
  </singleXmlCell>
  <singleXmlCell id="2940" xr6:uid="{E16CC870-7201-484E-9242-8492C9B75B2A}" r="H158" connectionId="0">
    <xmlCellPr id="1" xr6:uid="{E117CA51-8B07-4544-8387-5540E9207E5D}" uniqueName="PassengerValue">
      <xmlPr mapId="7" xpath="/MAKE/AOP/AOP_Frontal_FW/DUMMY_MEASUREMENTS/Lower_Tibia_left/Fz_Max/@PassengerValue" xmlDataType="decimal"/>
    </xmlCellPr>
  </singleXmlCell>
  <singleXmlCell id="2943" xr6:uid="{BF335002-FFC9-4628-9D56-B8B1E0FBCD35}" r="D159" connectionId="0">
    <xmlCellPr id="1" xr6:uid="{AB3D953A-8370-4A4A-84B8-A421BC91AE41}" uniqueName="DriverValue">
      <xmlPr mapId="7" xpath="/MAKE/AOP/AOP_Frontal_FW/DUMMY_MEASUREMENTS/Lower_Tibia_left/Fz_Min/@DriverValue" xmlDataType="decimal"/>
    </xmlCellPr>
  </singleXmlCell>
  <singleXmlCell id="2946" xr6:uid="{1C8CCC7B-2B38-4C95-AEAF-5059D0B152F7}" r="F159" connectionId="0">
    <xmlCellPr id="1" xr6:uid="{3FD8AD26-764E-4B32-B985-4F254C370CF9}" uniqueName="OEM_Pass_Value">
      <xmlPr mapId="7" xpath="/MAKE/AOP/AOP_Frontal_FW/DUMMY_MEASUREMENTS/Lower_Tibia_left/Fz_Min/@OEM_Pass_Value" xmlDataType="decimal"/>
    </xmlCellPr>
  </singleXmlCell>
  <singleXmlCell id="2949" xr6:uid="{EC385C11-DB91-4440-B027-B20227CFCC4A}" r="H159" connectionId="0">
    <xmlCellPr id="1" xr6:uid="{FD15E978-AD95-4114-BD06-4486A48E4AA7}" uniqueName="PassengerValue">
      <xmlPr mapId="7" xpath="/MAKE/AOP/AOP_Frontal_FW/DUMMY_MEASUREMENTS/Lower_Tibia_left/Fz_Min/@PassengerValue" xmlDataType="decimal"/>
    </xmlCellPr>
  </singleXmlCell>
  <singleXmlCell id="2952" xr6:uid="{1E40DC1F-E290-41CF-8A22-3521F6E64491}" r="D160" connectionId="0">
    <xmlCellPr id="1" xr6:uid="{3D1D1E97-BA0C-4DD0-BFD5-8A9E374D55FB}" uniqueName="DriverValue">
      <xmlPr mapId="7" xpath="/MAKE/AOP/AOP_Frontal_FW/DUMMY_MEASUREMENTS/Lower_Tibia_left/Mx_Max/@DriverValue" xmlDataType="decimal"/>
    </xmlCellPr>
  </singleXmlCell>
  <singleXmlCell id="2955" xr6:uid="{DD40E0C6-0115-4B0F-B981-AB966F0EBC3B}" r="F160" connectionId="0">
    <xmlCellPr id="1" xr6:uid="{049CF8C2-E4F6-4417-9B46-8A3D5E0342FE}" uniqueName="OEM_Pass_Value">
      <xmlPr mapId="7" xpath="/MAKE/AOP/AOP_Frontal_FW/DUMMY_MEASUREMENTS/Lower_Tibia_left/Mx_Max/@OEM_Pass_Value" xmlDataType="decimal"/>
    </xmlCellPr>
  </singleXmlCell>
  <singleXmlCell id="2958" xr6:uid="{7E7BA754-DCA1-462B-ADCA-E39C8B405AF8}" r="H160" connectionId="0">
    <xmlCellPr id="1" xr6:uid="{7D5DDD97-932B-4E51-8127-85D0F308219C}" uniqueName="PassengerValue">
      <xmlPr mapId="7" xpath="/MAKE/AOP/AOP_Frontal_FW/DUMMY_MEASUREMENTS/Lower_Tibia_left/Mx_Max/@PassengerValue" xmlDataType="decimal"/>
    </xmlCellPr>
  </singleXmlCell>
  <singleXmlCell id="2961" xr6:uid="{A80BA68B-94BD-4E53-85C4-99956192DD07}" r="D161" connectionId="0">
    <xmlCellPr id="1" xr6:uid="{E0E0E7DF-B713-4EA7-A8BE-A488B9F7C9AF}" uniqueName="DriverValue">
      <xmlPr mapId="7" xpath="/MAKE/AOP/AOP_Frontal_FW/DUMMY_MEASUREMENTS/Lower_Tibia_left/Mx_Min/@DriverValue" xmlDataType="decimal"/>
    </xmlCellPr>
  </singleXmlCell>
  <singleXmlCell id="2964" xr6:uid="{E7FCF989-46A0-495B-AF1A-F59CF0AD9370}" r="F161" connectionId="0">
    <xmlCellPr id="1" xr6:uid="{E48DBA71-811B-4ABE-8F16-0EF91AA0A165}" uniqueName="OEM_Pass_Value">
      <xmlPr mapId="7" xpath="/MAKE/AOP/AOP_Frontal_FW/DUMMY_MEASUREMENTS/Lower_Tibia_left/Mx_Min/@OEM_Pass_Value" xmlDataType="decimal"/>
    </xmlCellPr>
  </singleXmlCell>
  <singleXmlCell id="2967" xr6:uid="{BD08BDEC-B357-43A9-A97D-7331D4892757}" r="H161" connectionId="0">
    <xmlCellPr id="1" xr6:uid="{C8C3C43C-21B6-4C3B-AE0D-A7FF5A2D81FE}" uniqueName="PassengerValue">
      <xmlPr mapId="7" xpath="/MAKE/AOP/AOP_Frontal_FW/DUMMY_MEASUREMENTS/Lower_Tibia_left/Mx_Min/@PassengerValue" xmlDataType="decimal"/>
    </xmlCellPr>
  </singleXmlCell>
  <singleXmlCell id="2970" xr6:uid="{6071484E-B8D3-4734-9E6C-8F77B72D65E1}" r="D162" connectionId="0">
    <xmlCellPr id="1" xr6:uid="{A1896CAD-9C5B-4590-9947-9F5F57F9F27F}" uniqueName="DriverValue">
      <xmlPr mapId="7" xpath="/MAKE/AOP/AOP_Frontal_FW/DUMMY_MEASUREMENTS/Lower_Tibia_left/My_Max/@DriverValue" xmlDataType="decimal"/>
    </xmlCellPr>
  </singleXmlCell>
  <singleXmlCell id="2973" xr6:uid="{F6455A9A-C704-4C3A-93FB-990DD0EC5FBE}" r="F162" connectionId="0">
    <xmlCellPr id="1" xr6:uid="{96DD3D64-D931-45B5-9722-7392BFA1FDED}" uniqueName="OEM_Pass_Value">
      <xmlPr mapId="7" xpath="/MAKE/AOP/AOP_Frontal_FW/DUMMY_MEASUREMENTS/Lower_Tibia_left/My_Max/@OEM_Pass_Value" xmlDataType="decimal"/>
    </xmlCellPr>
  </singleXmlCell>
  <singleXmlCell id="2976" xr6:uid="{8509A1A3-FE2F-4BBB-AE2D-A5EA09AC7F16}" r="H162" connectionId="0">
    <xmlCellPr id="1" xr6:uid="{7A5AE0E4-FB96-4270-9979-0566DCB157AE}" uniqueName="PassengerValue">
      <xmlPr mapId="7" xpath="/MAKE/AOP/AOP_Frontal_FW/DUMMY_MEASUREMENTS/Lower_Tibia_left/My_Max/@PassengerValue" xmlDataType="decimal"/>
    </xmlCellPr>
  </singleXmlCell>
  <singleXmlCell id="2979" xr6:uid="{C3727460-244D-45EA-9C5A-60530C92A70B}" r="D163" connectionId="0">
    <xmlCellPr id="1" xr6:uid="{3E3A4CE3-6285-4EA1-86CB-30549F93C076}" uniqueName="DriverValue">
      <xmlPr mapId="7" xpath="/MAKE/AOP/AOP_Frontal_FW/DUMMY_MEASUREMENTS/Lower_Tibia_left/My_Min/@DriverValue" xmlDataType="decimal"/>
    </xmlCellPr>
  </singleXmlCell>
  <singleXmlCell id="3065" xr6:uid="{0324F6C0-494F-4313-9699-6D00B80163E9}" r="F163" connectionId="0">
    <xmlCellPr id="1" xr6:uid="{5DA21427-6572-4F49-BFB9-BD331ECAAE3A}" uniqueName="OEM_Pass_Value">
      <xmlPr mapId="7" xpath="/MAKE/AOP/AOP_Frontal_FW/DUMMY_MEASUREMENTS/Lower_Tibia_left/My_Min/@OEM_Pass_Value" xmlDataType="decimal"/>
    </xmlCellPr>
  </singleXmlCell>
  <singleXmlCell id="3066" xr6:uid="{A95A75E8-EB38-4D18-B00B-5E8737DA551C}" r="H163" connectionId="0">
    <xmlCellPr id="1" xr6:uid="{20B10A57-C65E-4E9B-9656-464CF8629398}" uniqueName="PassengerValue">
      <xmlPr mapId="7" xpath="/MAKE/AOP/AOP_Frontal_FW/DUMMY_MEASUREMENTS/Lower_Tibia_left/My_Min/@PassengerValue" xmlDataType="decimal"/>
    </xmlCellPr>
  </singleXmlCell>
  <singleXmlCell id="3067" xr6:uid="{571F09CD-7506-47CD-B129-F7C322CBCEB4}" r="D165" connectionId="0">
    <xmlCellPr id="1" xr6:uid="{BDCBE2C2-157C-41F6-837B-DF19A655DB96}" uniqueName="DriverValue">
      <xmlPr mapId="7" xpath="/MAKE/AOP/AOP_Frontal_FW/DUMMY_MEASUREMENTS/Lower_Tibia_right/Fx_Max/@DriverValue" xmlDataType="decimal"/>
    </xmlCellPr>
  </singleXmlCell>
  <singleXmlCell id="3068" xr6:uid="{7AE36481-25F9-4EE0-B11E-CD5E42C282F0}" r="F165" connectionId="0">
    <xmlCellPr id="1" xr6:uid="{D0524062-AAFD-4C9E-AA26-CB7E32E06F2F}" uniqueName="OEM_Pass_Value">
      <xmlPr mapId="7" xpath="/MAKE/AOP/AOP_Frontal_FW/DUMMY_MEASUREMENTS/Lower_Tibia_right/Fx_Max/@OEM_Pass_Value" xmlDataType="decimal"/>
    </xmlCellPr>
  </singleXmlCell>
  <singleXmlCell id="3111" xr6:uid="{D7366D1A-D4B9-4F94-8706-3648C11DAA91}" r="H165" connectionId="0">
    <xmlCellPr id="1" xr6:uid="{B14BD00F-9832-47BD-BB4E-7A47A9051451}" uniqueName="PassengerValue">
      <xmlPr mapId="7" xpath="/MAKE/AOP/AOP_Frontal_FW/DUMMY_MEASUREMENTS/Lower_Tibia_right/Fx_Max/@PassengerValue" xmlDataType="decimal"/>
    </xmlCellPr>
  </singleXmlCell>
  <singleXmlCell id="3127" xr6:uid="{D6F7B8FE-7FA7-4B7B-AB01-8F3DC98DCD65}" r="D166" connectionId="0">
    <xmlCellPr id="1" xr6:uid="{5E45BC7D-FCC9-46B2-B638-47697733F891}" uniqueName="DriverValue">
      <xmlPr mapId="7" xpath="/MAKE/AOP/AOP_Frontal_FW/DUMMY_MEASUREMENTS/Lower_Tibia_right/Fx_Min/@DriverValue" xmlDataType="decimal"/>
    </xmlCellPr>
  </singleXmlCell>
  <singleXmlCell id="3128" xr6:uid="{8CE396B9-736B-4A91-B546-87766AF6B901}" r="F166" connectionId="0">
    <xmlCellPr id="1" xr6:uid="{F312DC23-2793-49C5-BF04-40EF65650E02}" uniqueName="OEM_Pass_Value">
      <xmlPr mapId="7" xpath="/MAKE/AOP/AOP_Frontal_FW/DUMMY_MEASUREMENTS/Lower_Tibia_right/Fx_Min/@OEM_Pass_Value" xmlDataType="decimal"/>
    </xmlCellPr>
  </singleXmlCell>
  <singleXmlCell id="3129" xr6:uid="{2456789B-4CE6-4D72-AAEF-848F466D9D38}" r="H166" connectionId="0">
    <xmlCellPr id="1" xr6:uid="{3E84788B-31D0-422A-993F-8CD58D94E9E4}" uniqueName="PassengerValue">
      <xmlPr mapId="7" xpath="/MAKE/AOP/AOP_Frontal_FW/DUMMY_MEASUREMENTS/Lower_Tibia_right/Fx_Min/@PassengerValue" xmlDataType="decimal"/>
    </xmlCellPr>
  </singleXmlCell>
  <singleXmlCell id="3131" xr6:uid="{F6B71F51-5093-450F-8B57-506C2BB3A19E}" r="D167" connectionId="0">
    <xmlCellPr id="1" xr6:uid="{0827EC53-4720-4D19-8E1C-51644F3335C9}" uniqueName="DriverValue">
      <xmlPr mapId="7" xpath="/MAKE/AOP/AOP_Frontal_FW/DUMMY_MEASUREMENTS/Lower_Tibia_right/Fy_Max/@DriverValue" xmlDataType="decimal"/>
    </xmlCellPr>
  </singleXmlCell>
  <singleXmlCell id="3133" xr6:uid="{2ED7DEB8-76A0-4BCF-82D0-ECFE3F3BB28F}" r="F167" connectionId="0">
    <xmlCellPr id="1" xr6:uid="{325D020F-DD73-439F-B88B-2F6956576228}" uniqueName="OEM_Pass_Value">
      <xmlPr mapId="7" xpath="/MAKE/AOP/AOP_Frontal_FW/DUMMY_MEASUREMENTS/Lower_Tibia_right/Fy_Max/@OEM_Pass_Value" xmlDataType="decimal"/>
    </xmlCellPr>
  </singleXmlCell>
  <singleXmlCell id="3135" xr6:uid="{FBBD82AF-72A7-477F-87B9-99DC5CAA2445}" r="H167" connectionId="0">
    <xmlCellPr id="1" xr6:uid="{285EFB64-CD86-4A89-95FC-B0B71ADB3A74}" uniqueName="PassengerValue">
      <xmlPr mapId="7" xpath="/MAKE/AOP/AOP_Frontal_FW/DUMMY_MEASUREMENTS/Lower_Tibia_right/Fy_Max/@PassengerValue" xmlDataType="decimal"/>
    </xmlCellPr>
  </singleXmlCell>
  <singleXmlCell id="3142" xr6:uid="{8D1787E7-BEDC-4762-8C24-0416EF7E009C}" r="D168" connectionId="0">
    <xmlCellPr id="1" xr6:uid="{C6FA404E-DE0A-41F8-BEE7-FF20E658CB8E}" uniqueName="DriverValue">
      <xmlPr mapId="7" xpath="/MAKE/AOP/AOP_Frontal_FW/DUMMY_MEASUREMENTS/Lower_Tibia_right/Fy_Min/@DriverValue" xmlDataType="decimal"/>
    </xmlCellPr>
  </singleXmlCell>
  <singleXmlCell id="3143" xr6:uid="{53C2785D-EF07-432E-8F11-10D404090138}" r="F168" connectionId="0">
    <xmlCellPr id="1" xr6:uid="{A38A8A4C-C66C-472B-B060-50522D73084A}" uniqueName="OEM_Pass_Value">
      <xmlPr mapId="7" xpath="/MAKE/AOP/AOP_Frontal_FW/DUMMY_MEASUREMENTS/Lower_Tibia_right/Fy_Min/@OEM_Pass_Value" xmlDataType="decimal"/>
    </xmlCellPr>
  </singleXmlCell>
  <singleXmlCell id="3150" xr6:uid="{E5A2ACC3-3EDE-4380-87DA-E4842B4A29BA}" r="H168" connectionId="0">
    <xmlCellPr id="1" xr6:uid="{C3F0CEAA-9F07-48FF-B5E5-C20513BE592C}" uniqueName="PassengerValue">
      <xmlPr mapId="7" xpath="/MAKE/AOP/AOP_Frontal_FW/DUMMY_MEASUREMENTS/Lower_Tibia_right/Fy_Min/@PassengerValue" xmlDataType="decimal"/>
    </xmlCellPr>
  </singleXmlCell>
  <singleXmlCell id="3152" xr6:uid="{08ED4598-B772-41D6-B477-270CADAA1EA1}" r="D169" connectionId="0">
    <xmlCellPr id="1" xr6:uid="{02294A3F-034C-4921-8A25-4AEA63F2832B}" uniqueName="DriverValue">
      <xmlPr mapId="7" xpath="/MAKE/AOP/AOP_Frontal_FW/DUMMY_MEASUREMENTS/Lower_Tibia_right/Fz_Max/@DriverValue" xmlDataType="decimal"/>
    </xmlCellPr>
  </singleXmlCell>
  <singleXmlCell id="3154" xr6:uid="{E8EC2F4B-A0BE-4062-8645-F471E94D1716}" r="F169" connectionId="0">
    <xmlCellPr id="1" xr6:uid="{F68A68F9-80F4-452E-81A3-E2A42A34E7A7}" uniqueName="OEM_Pass_Value">
      <xmlPr mapId="7" xpath="/MAKE/AOP/AOP_Frontal_FW/DUMMY_MEASUREMENTS/Lower_Tibia_right/Fz_Max/@OEM_Pass_Value" xmlDataType="decimal"/>
    </xmlCellPr>
  </singleXmlCell>
  <singleXmlCell id="3172" xr6:uid="{61CEE79F-293F-4ACC-B8B6-2F5438BA7F24}" r="H169" connectionId="0">
    <xmlCellPr id="1" xr6:uid="{8AD7ACD6-A20F-4166-B90C-2FC00F12ABDF}" uniqueName="PassengerValue">
      <xmlPr mapId="7" xpath="/MAKE/AOP/AOP_Frontal_FW/DUMMY_MEASUREMENTS/Lower_Tibia_right/Fz_Max/@PassengerValue" xmlDataType="decimal"/>
    </xmlCellPr>
  </singleXmlCell>
  <singleXmlCell id="3173" xr6:uid="{455735BA-9DE6-4066-AADF-317E5A7EA4C5}" r="D170" connectionId="0">
    <xmlCellPr id="1" xr6:uid="{929E47FF-0AA2-4544-9DFE-52DA93A4EA9B}" uniqueName="DriverValue">
      <xmlPr mapId="7" xpath="/MAKE/AOP/AOP_Frontal_FW/DUMMY_MEASUREMENTS/Lower_Tibia_right/Fz_Min/@DriverValue" xmlDataType="decimal"/>
    </xmlCellPr>
  </singleXmlCell>
  <singleXmlCell id="3185" xr6:uid="{D0ABEE55-6425-4B95-B25B-76813204F984}" r="F170" connectionId="0">
    <xmlCellPr id="1" xr6:uid="{C7B16135-E4AC-4184-A336-CC8540855191}" uniqueName="OEM_Pass_Value">
      <xmlPr mapId="7" xpath="/MAKE/AOP/AOP_Frontal_FW/DUMMY_MEASUREMENTS/Lower_Tibia_right/Fz_Min/@OEM_Pass_Value" xmlDataType="decimal"/>
    </xmlCellPr>
  </singleXmlCell>
  <singleXmlCell id="3186" xr6:uid="{3112624F-F5CD-4522-BF8B-C13E6646FE4F}" r="H170" connectionId="0">
    <xmlCellPr id="1" xr6:uid="{07A8D6B4-2CF5-4B9E-A5E4-9069385D232F}" uniqueName="PassengerValue">
      <xmlPr mapId="7" xpath="/MAKE/AOP/AOP_Frontal_FW/DUMMY_MEASUREMENTS/Lower_Tibia_right/Fz_Min/@PassengerValue" xmlDataType="decimal"/>
    </xmlCellPr>
  </singleXmlCell>
  <singleXmlCell id="3187" xr6:uid="{DB2F48BF-BCFF-4F8F-B23D-2DAF775C22B8}" r="D171" connectionId="0">
    <xmlCellPr id="1" xr6:uid="{D95B10A4-1A77-499C-B168-DC3CF8B33179}" uniqueName="DriverValue">
      <xmlPr mapId="7" xpath="/MAKE/AOP/AOP_Frontal_FW/DUMMY_MEASUREMENTS/Lower_Tibia_right/Mx_Max/@DriverValue" xmlDataType="decimal"/>
    </xmlCellPr>
  </singleXmlCell>
  <singleXmlCell id="3188" xr6:uid="{CF034D95-AC13-44A5-B8C1-7C29425B6CEF}" r="F171" connectionId="0">
    <xmlCellPr id="1" xr6:uid="{3A352B8C-7804-4F06-B3C6-6F21B9C83EC7}" uniqueName="OEM_Pass_Value">
      <xmlPr mapId="7" xpath="/MAKE/AOP/AOP_Frontal_FW/DUMMY_MEASUREMENTS/Lower_Tibia_right/Mx_Max/@OEM_Pass_Value" xmlDataType="decimal"/>
    </xmlCellPr>
  </singleXmlCell>
  <singleXmlCell id="3189" xr6:uid="{07FCD9E5-9077-4707-A398-1A328AD15C92}" r="H171" connectionId="0">
    <xmlCellPr id="1" xr6:uid="{95D3F0AF-DE4B-4EB9-A1C3-8F0ED02BF5BC}" uniqueName="PassengerValue">
      <xmlPr mapId="7" xpath="/MAKE/AOP/AOP_Frontal_FW/DUMMY_MEASUREMENTS/Lower_Tibia_right/Mx_Max/@PassengerValue" xmlDataType="decimal"/>
    </xmlCellPr>
  </singleXmlCell>
  <singleXmlCell id="3190" xr6:uid="{E37A86C1-2ABA-4829-A9E5-032C892E0824}" r="D172" connectionId="0">
    <xmlCellPr id="1" xr6:uid="{3F6E104F-6076-437E-946C-3C63B7ED23B5}" uniqueName="DriverValue">
      <xmlPr mapId="7" xpath="/MAKE/AOP/AOP_Frontal_FW/DUMMY_MEASUREMENTS/Lower_Tibia_right/Mx_Min/@DriverValue" xmlDataType="decimal"/>
    </xmlCellPr>
  </singleXmlCell>
  <singleXmlCell id="3191" xr6:uid="{94530649-48B6-4D90-A76F-B17F3276298A}" r="F172" connectionId="0">
    <xmlCellPr id="1" xr6:uid="{2346351D-6760-4A26-8B17-067CB434FAAF}" uniqueName="OEM_Pass_Value">
      <xmlPr mapId="7" xpath="/MAKE/AOP/AOP_Frontal_FW/DUMMY_MEASUREMENTS/Lower_Tibia_right/Mx_Min/@OEM_Pass_Value" xmlDataType="decimal"/>
    </xmlCellPr>
  </singleXmlCell>
  <singleXmlCell id="3192" xr6:uid="{09F35E90-B279-47BA-BEE7-9CE0D0CA9785}" r="H172" connectionId="0">
    <xmlCellPr id="1" xr6:uid="{9B895706-6192-45FE-A129-F1D87E485CB9}" uniqueName="PassengerValue">
      <xmlPr mapId="7" xpath="/MAKE/AOP/AOP_Frontal_FW/DUMMY_MEASUREMENTS/Lower_Tibia_right/Mx_Min/@PassengerValue" xmlDataType="decimal"/>
    </xmlCellPr>
  </singleXmlCell>
  <singleXmlCell id="3193" xr6:uid="{A9758ECC-B959-4DF5-8ACB-5CA236907705}" r="D173" connectionId="0">
    <xmlCellPr id="1" xr6:uid="{A5FFF5D1-3DC7-4EE1-9EE4-12FDBDE105F2}" uniqueName="DriverValue">
      <xmlPr mapId="7" xpath="/MAKE/AOP/AOP_Frontal_FW/DUMMY_MEASUREMENTS/Lower_Tibia_right/My_Max/@DriverValue" xmlDataType="decimal"/>
    </xmlCellPr>
  </singleXmlCell>
  <singleXmlCell id="3194" xr6:uid="{0451DD33-E55F-426C-8009-3CE0348CF4EC}" r="F173" connectionId="0">
    <xmlCellPr id="1" xr6:uid="{52E9238A-8F39-4644-97C9-48D7A7C85ACE}" uniqueName="OEM_Pass_Value">
      <xmlPr mapId="7" xpath="/MAKE/AOP/AOP_Frontal_FW/DUMMY_MEASUREMENTS/Lower_Tibia_right/My_Max/@OEM_Pass_Value" xmlDataType="decimal"/>
    </xmlCellPr>
  </singleXmlCell>
  <singleXmlCell id="3195" xr6:uid="{6C699F4B-031E-478A-A740-E4DD7B66DB5B}" r="H173" connectionId="0">
    <xmlCellPr id="1" xr6:uid="{1346607F-8F50-4F19-840E-39030C3AA8C4}" uniqueName="PassengerValue">
      <xmlPr mapId="7" xpath="/MAKE/AOP/AOP_Frontal_FW/DUMMY_MEASUREMENTS/Lower_Tibia_right/My_Max/@PassengerValue" xmlDataType="decimal"/>
    </xmlCellPr>
  </singleXmlCell>
  <singleXmlCell id="3196" xr6:uid="{9E7F33A6-1B4A-4875-A53B-50961CBBDB71}" r="D174" connectionId="0">
    <xmlCellPr id="1" xr6:uid="{0AED2530-540F-485F-AE20-C7DC998E6871}" uniqueName="DriverValue">
      <xmlPr mapId="7" xpath="/MAKE/AOP/AOP_Frontal_FW/DUMMY_MEASUREMENTS/Lower_Tibia_right/My_Min/@DriverValue" xmlDataType="decimal"/>
    </xmlCellPr>
  </singleXmlCell>
  <singleXmlCell id="3197" xr6:uid="{9867EC41-02F0-4A58-A3CB-0B4B5480E34B}" r="F174" connectionId="0">
    <xmlCellPr id="1" xr6:uid="{0DECFED3-8E5C-4134-9B3A-4D53971063EC}" uniqueName="OEM_Pass_Value">
      <xmlPr mapId="7" xpath="/MAKE/AOP/AOP_Frontal_FW/DUMMY_MEASUREMENTS/Lower_Tibia_right/My_Min/@OEM_Pass_Value" xmlDataType="decimal"/>
    </xmlCellPr>
  </singleXmlCell>
  <singleXmlCell id="3198" xr6:uid="{B33AA497-27FF-4CB0-9B72-FD83A2AC3A91}" r="H174" connectionId="0">
    <xmlCellPr id="1" xr6:uid="{78A8C8C3-EE87-44BC-A3C3-7FCAB4C60FF9}" uniqueName="PassengerValue">
      <xmlPr mapId="7" xpath="/MAKE/AOP/AOP_Frontal_FW/DUMMY_MEASUREMENTS/Lower_Tibia_right/My_Min/@PassengerValue" xmlDataType="decimal"/>
    </xmlCellPr>
  </singleXmlCell>
  <singleXmlCell id="3199" xr6:uid="{79E602C5-A3AE-42B7-9A5B-28B1B0686C27}" r="D178" connectionId="0">
    <xmlCellPr id="1" xr6:uid="{338C03D8-41C8-422D-A7CD-1E6C887EE9C2}" uniqueName="DriverValue">
      <xmlPr mapId="7" xpath="/MAKE/AOP/AOP_Frontal_FW/VEHICLE_MEASUREMENTS/B_post/Ax_Max/@DriverValue" xmlDataType="decimal"/>
    </xmlCellPr>
  </singleXmlCell>
  <singleXmlCell id="3200" xr6:uid="{E9EBF327-18A1-440F-833B-CCA99A7AAF5F}" r="D179" connectionId="0">
    <xmlCellPr id="1" xr6:uid="{95A29EAD-D2A8-440D-91AE-6E158700D508}" uniqueName="DriverValue">
      <xmlPr mapId="7" xpath="/MAKE/AOP/AOP_Frontal_FW/VEHICLE_MEASUREMENTS/B_post/Ax_Min/@DriverValue" xmlDataType="decimal"/>
    </xmlCellPr>
  </singleXmlCell>
  <singleXmlCell id="3201" xr6:uid="{986A3E15-AFAC-47BA-A315-57D450F6BB5A}" r="D181" connectionId="0">
    <xmlCellPr id="1" xr6:uid="{939A0D91-BBB5-46F4-A7AB-BDA4FD276DCA}" uniqueName="DriverValue">
      <xmlPr mapId="7" xpath="/MAKE/AOP/AOP_Frontal_FW/VEHICLE_MEASUREMENTS/Seatbelt/Fseatbelt_Max/@DriverValue" xmlDataType="decimal"/>
    </xmlCellPr>
  </singleXmlCell>
  <singleXmlCell id="3202" xr6:uid="{31EF7BFF-02A0-44B4-AB1C-5C7EF7C6C64B}" r="D182" connectionId="0">
    <xmlCellPr id="1" xr6:uid="{21612E42-80E6-4615-B476-59F610071433}" uniqueName="DriverValue">
      <xmlPr mapId="7" xpath="/MAKE/AOP/AOP_Frontal_FW/VEHICLE_MEASUREMENTS/Seatbelt/Fseatbelt_Min/@DriverValue" xmlDataType="decimal"/>
    </xmlCellPr>
  </singleXmlCell>
  <singleXmlCell id="3203" xr6:uid="{5BF6D64E-8EBA-41D1-8360-B374A108093B}" r="D201" connectionId="0">
    <xmlCellPr id="1" xr6:uid="{B12A51C5-8F4B-40C2-AF92-5FC9F6317860}" uniqueName="VIN_number">
      <xmlPr mapId="7" xpath="/MAKE/AOP/AOP_Frontal_FW/TEST_DETAILS/Vehicle/VIN_number" xmlDataType="string"/>
    </xmlCellPr>
  </singleXmlCell>
  <singleXmlCell id="3204" xr6:uid="{4928808F-1B65-4C18-9CE1-2D77ED13FC59}" r="D202" connectionId="0">
    <xmlCellPr id="1" xr6:uid="{B0B4D541-E59D-4428-A810-A361E62ABE8C}" uniqueName="Test_weight_kg">
      <xmlPr mapId="7" xpath="/MAKE/AOP/AOP_Frontal_FW/TEST_DETAILS/Vehicle/Test_weight_kg" xmlDataType="decimal"/>
    </xmlCellPr>
  </singleXmlCell>
  <singleXmlCell id="3205" xr6:uid="{77F10ACB-88C9-4E32-9686-910CDF5C9F0B}" r="D204" connectionId="0">
    <xmlCellPr id="1" xr6:uid="{46904531-DB64-4744-813E-57E4CCFE4A8C}" uniqueName="Impact_speed_kmh">
      <xmlPr mapId="7" xpath="/MAKE/AOP/AOP_Frontal_FW/TEST_DETAILS/Test/Impact_speed_kmh" xmlDataType="decimal"/>
    </xmlCellPr>
  </singleXmlCell>
  <singleXmlCell id="3206" xr6:uid="{C26C54BD-8C0E-47D6-B7B9-8F7BF97C6458}" r="D206" connectionId="0">
    <xmlCellPr id="1" xr6:uid="{5E31409F-2FB2-43CA-9FE1-7A32672395BD}" uniqueName="Vertical">
      <xmlPr mapId="7" xpath="/MAKE/AOP/AOP_Frontal_FW/TEST_DETAILS/Test/Vertical" xmlDataType="decimal"/>
    </xmlCellPr>
  </singleXmlCell>
  <singleXmlCell id="3207" xr6:uid="{BF66FCCF-2C8B-4ED0-AF8E-7B5F22983446}" r="D207" connectionId="0">
    <xmlCellPr id="1" xr6:uid="{ACEFCA1D-CBCB-4A4A-8053-F6B6BEB22566}" uniqueName="Horizontal">
      <xmlPr mapId="7" xpath="/MAKE/AOP/AOP_Frontal_FW/TEST_DETAILS/Test/Horizontal" xmlDataType="decimal"/>
    </xmlCellPr>
  </singleXmlCell>
  <singleXmlCell id="3208" xr6:uid="{1DD8D470-84FC-4E46-A5BC-5976F43456F3}" r="D186" connectionId="0">
    <xmlCellPr id="1" xr6:uid="{EEFCEB88-4BF9-4A32-BCAC-1864FBCD5036}" uniqueName="Fore_Aft">
      <xmlPr mapId="7" xpath="/MAKE/AOP/AOP_Frontal_FW/Static_Measurements/Steering_Wheel/Fore_Aft" xmlDataType="decimal"/>
    </xmlCellPr>
  </singleXmlCell>
  <singleXmlCell id="3209" xr6:uid="{7E2B803A-2F89-4D35-836D-A8B96CA942DC}" r="D187" connectionId="0">
    <xmlCellPr id="1" xr6:uid="{BE7B0C4C-0BAE-4132-AE9B-846CF5E85333}" uniqueName="Vertical">
      <xmlPr mapId="7" xpath="/MAKE/AOP/AOP_Frontal_FW/Static_Measurements/Steering_Wheel/Vertical" xmlDataType="decimal"/>
    </xmlCellPr>
  </singleXmlCell>
  <singleXmlCell id="3210" xr6:uid="{36D5E188-8001-4506-88DB-8F4BB7F4AE88}" r="D188" connectionId="0">
    <xmlCellPr id="1" xr6:uid="{ADDF5A76-F830-45F6-A9F4-44ABDB636D74}" uniqueName="Lateral">
      <xmlPr mapId="7" xpath="/MAKE/AOP/AOP_Frontal_FW/Static_Measurements/Steering_Wheel/Lateral" xmlDataType="decimal"/>
    </xmlCellPr>
  </singleXmlCell>
  <singleXmlCell id="3211" xr6:uid="{022E2434-E875-4418-8066-A9D683DA5601}" r="D190" connectionId="0">
    <xmlCellPr id="1" xr6:uid="{26EC2B21-F77A-4FFD-A5FC-1AD8E3BB2816}" uniqueName="Displacement">
      <xmlPr mapId="7" xpath="/MAKE/AOP/AOP_Frontal_FW/Static_Measurements/A_Pillar/Displacement" xmlDataType="decimal"/>
    </xmlCellPr>
  </singleXmlCell>
  <singleXmlCell id="3212" xr6:uid="{EEF923BE-28DC-4D0F-8955-53C84C9F0956}" r="D192" connectionId="0">
    <xmlCellPr id="1" xr6:uid="{810AE3C8-CB1D-416F-AB57-C32FB759E6A9}" uniqueName="Vertical">
      <xmlPr mapId="7" xpath="/MAKE/AOP/AOP_Frontal_FW/Static_Measurements/Brake/Vertical" xmlDataType="decimal"/>
    </xmlCellPr>
  </singleXmlCell>
  <singleXmlCell id="3213" xr6:uid="{B531EFB7-1FFC-4C7B-AE01-523E2FA03BB7}" r="D193" connectionId="0">
    <xmlCellPr id="1" xr6:uid="{9C98482E-9013-471E-ACBF-C558FACCCBE6}" uniqueName="Vertical">
      <xmlPr mapId="7" xpath="/MAKE/AOP/AOP_Frontal_FW/Static_Measurements/Clutch/Vertical" xmlDataType="decimal"/>
    </xmlCellPr>
  </singleXmlCell>
  <singleXmlCell id="3214" xr6:uid="{F1036021-B6D9-4D5F-A795-A3ABC7FC3E25}" r="D194" connectionId="0">
    <xmlCellPr id="1" xr6:uid="{52722538-40EB-4FC0-AD41-086C84E48653}" uniqueName="Vertical">
      <xmlPr mapId="7" xpath="/MAKE/AOP/AOP_Frontal_FW/Static_Measurements/Accelerator/Vertical" xmlDataType="decimal"/>
    </xmlCellPr>
  </singleXmlCell>
  <singleXmlCell id="3215" xr6:uid="{0193262A-95A5-43DB-B8BF-BA62299F181D}" r="D195" connectionId="0">
    <xmlCellPr id="1" xr6:uid="{93B4ECD7-539A-4822-AD46-3B5DB38DABB0}" uniqueName="Fore_Aft">
      <xmlPr mapId="7" xpath="/MAKE/AOP/AOP_Frontal_FW/Static_Measurements/Brake/Fore_Aft" xmlDataType="decimal"/>
    </xmlCellPr>
  </singleXmlCell>
  <singleXmlCell id="3216" xr6:uid="{FBF063F7-1ED2-405C-B56E-39C64D93D5FA}" r="D196" connectionId="0">
    <xmlCellPr id="1" xr6:uid="{A23DF1BF-85A9-450E-A934-7B2929EE7BF4}" uniqueName="Fore_Aft">
      <xmlPr mapId="7" xpath="/MAKE/AOP/AOP_Frontal_FW/Static_Measurements/Clutch/Fore_Aft" xmlDataType="decimal"/>
    </xmlCellPr>
  </singleXmlCell>
  <singleXmlCell id="3217" xr6:uid="{DF62D409-DAA4-4F18-86C8-238B50D03A06}" r="D197" connectionId="0">
    <xmlCellPr id="1" xr6:uid="{8C5BF2C3-5021-45B7-A031-5F017655A847}" uniqueName="Fore_Aft">
      <xmlPr mapId="7" xpath="/MAKE/AOP/AOP_Frontal_FW/Static_Measurements/Accelerator/Fore_Aft" xmlDataType="decimal"/>
    </xmlCellPr>
  </singleXmlCell>
  <singleXmlCell id="5076" xr6:uid="{9C646638-91D1-4596-8219-FAC38D0C9172}" r="I6" connectionId="0">
    <xmlCellPr id="1" xr6:uid="{914775A6-D842-44BA-8396-2CC8112EF6E7}" uniqueName="Contact">
      <xmlPr mapId="7" xpath="/MAKE/AOP/AOP_Frontal_FW/Head_Assessment/Contact" xmlDataType="string"/>
    </xmlCellPr>
  </singleXmlCell>
  <singleXmlCell id="5239" xr6:uid="{E1DEC8A7-0852-4057-A47D-3E2815AAAA40}" r="D62" connectionId="0">
    <xmlCellPr id="1" xr6:uid="{2F178B9C-878E-4395-A71C-7623C6965B91}" uniqueName="Capping">
      <xmlPr mapId="7" xpath="/MAKE/AOP/AOP_Side_MDB/@Capping" xmlDataType="string"/>
    </xmlCellPr>
  </singleXmlCell>
</singleXmlCells>
</file>

<file path=xl/tables/tableSingleCells5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2201" xr6:uid="{A05DF4AA-2E0F-4022-86F0-90B150C18263}" r="D53" connectionId="0">
    <xmlCellPr id="1" xr6:uid="{1A28AA07-64D6-4466-9060-92440EBD4A13}" uniqueName="TOTAL_SIDE_MDB">
      <xmlPr mapId="7" xpath="/MAKE/AOP/AOP_Side_MDB/@TOTAL_SIDE_MDB" xmlDataType="decimal"/>
    </xmlCellPr>
  </singleXmlCell>
  <singleXmlCell id="3114" xr6:uid="{ABB16D35-A57F-45CB-87DF-AB1B2DD78ABB}" r="D10" connectionId="0">
    <xmlCellPr id="1" xr6:uid="{2A329A4F-0F6E-4A8B-B0E6-A6CDE9B50ED2}" uniqueName="DriverPoints">
      <xmlPr mapId="7" xpath="/MAKE/AOP/AOP_Side_MDB/Head_assessment/@DriverPoints" xmlDataType="decimal"/>
    </xmlCellPr>
  </singleXmlCell>
  <singleXmlCell id="3218" xr6:uid="{D416B477-564F-476D-9EB4-0AF691200B7A}" r="D6" connectionId="0">
    <xmlCellPr id="1" xr6:uid="{41DF8AE7-8BD9-4716-8B15-4203E08CDD53}" uniqueName="DriverValue">
      <xmlPr mapId="7" xpath="/MAKE/AOP/AOP_Side_MDB/Head_assessment/Peak_resultant_acceleration_g/@DriverValue" xmlDataType="decimal"/>
    </xmlCellPr>
  </singleXmlCell>
  <singleXmlCell id="3219" xr6:uid="{60605D8F-3C5C-4B5C-8340-F6A437A626A3}" r="D7" connectionId="0">
    <xmlCellPr id="1" xr6:uid="{A32C7852-9543-47CF-99C8-5733416AAE7F}" uniqueName="DriverValue">
      <xmlPr mapId="7" xpath="/MAKE/AOP/AOP_Side_MDB/Head_assessment/HIC15/@DriverValue" xmlDataType="decimal"/>
    </xmlCellPr>
  </singleXmlCell>
  <singleXmlCell id="3220" xr6:uid="{6ADAC4D0-2A86-4A22-A377-AD3B0FDCD88C}" r="E7" connectionId="0">
    <xmlCellPr id="1" xr6:uid="{4EEC5694-41C3-446B-BD85-BF55BCECCE10}" uniqueName="DriverPoints">
      <xmlPr mapId="7" xpath="/MAKE/AOP/AOP_Side_MDB/Head_assessment/HIC15/@DriverPoints" xmlDataType="decimal"/>
    </xmlCellPr>
  </singleXmlCell>
  <singleXmlCell id="3221" xr6:uid="{7EED5BB0-516C-4155-B239-402A3CD1D4D5}" r="D8" connectionId="0">
    <xmlCellPr id="1" xr6:uid="{30D5AA5D-ED1F-4C0A-B922-D573C2AEC871}" uniqueName="DriverValue">
      <xmlPr mapId="7" xpath="/MAKE/AOP/AOP_Side_MDB/Head_assessment/Resultant_Acc_3_msec_exeedence_g/@DriverValue" xmlDataType="decimal"/>
    </xmlCellPr>
  </singleXmlCell>
  <singleXmlCell id="3222" xr6:uid="{7A392C20-0965-4750-94AC-A9667C4EA2D2}" r="E8" connectionId="0">
    <xmlCellPr id="1" xr6:uid="{22F8FB99-8614-4E28-879D-38000766F1E4}" uniqueName="DriverPoints">
      <xmlPr mapId="7" xpath="/MAKE/AOP/AOP_Side_MDB/Head_assessment/Resultant_Acc_3_msec_exeedence_g/@DriverPoints" xmlDataType="decimal"/>
    </xmlCellPr>
  </singleXmlCell>
  <singleXmlCell id="3223" xr6:uid="{E3198FE8-2289-4715-99BA-CF43B52C0F33}" r="E9" connectionId="0">
    <xmlCellPr id="1" xr6:uid="{1EA90154-86AE-4556-942F-27C048FA38EF}" uniqueName="Incorrect_airbag_deployment_modifier">
      <xmlPr mapId="7" xpath="/MAKE/AOP/AOP_Side_MDB/Head_assessment/Incorrect_airbag_deployment_modifier" xmlDataType="integer"/>
    </xmlCellPr>
  </singleXmlCell>
  <singleXmlCell id="3224" xr6:uid="{168D645D-16C1-415B-BA24-27DAF490FEBA}" r="E18" connectionId="0">
    <xmlCellPr id="1" xr6:uid="{8CBDDAE1-BEAC-449C-B43F-B6B40C68A4EB}" uniqueName="DriverPoints">
      <xmlPr mapId="7" xpath="/MAKE/AOP/AOP_Side_MDB/Chest_assessment/Chest_rib_assessment/@DriverPoints" xmlDataType="decimal"/>
    </xmlCellPr>
  </singleXmlCell>
  <singleXmlCell id="3227" xr6:uid="{3DEFC913-4256-4CEC-811A-2D127D585315}" r="D15" connectionId="0">
    <xmlCellPr id="1" xr6:uid="{97C6F512-20D5-4693-8AD4-9BE3318E022E}" uniqueName="DriverValue">
      <xmlPr mapId="7" xpath="/MAKE/AOP/AOP_Side_MDB/Chest_assessment/Chest_rib_assessment/Lateral_compression_mm/Top/@DriverValue" xmlDataType="decimal"/>
    </xmlCellPr>
  </singleXmlCell>
  <singleXmlCell id="3228" xr6:uid="{E2224EE4-AE56-4F09-B0DD-B7671419F26C}" r="E15" connectionId="0">
    <xmlCellPr id="1" xr6:uid="{6F518E04-C0C6-4711-AA11-BE17D856724A}" uniqueName="DriverPoints">
      <xmlPr mapId="7" xpath="/MAKE/AOP/AOP_Side_MDB/Chest_assessment/Chest_rib_assessment/Lateral_compression_mm/Top/@DriverPoints" xmlDataType="decimal"/>
    </xmlCellPr>
  </singleXmlCell>
  <singleXmlCell id="3229" xr6:uid="{6857970F-B9D8-42E1-BAC1-DB10F8122B7B}" r="D16" connectionId="0">
    <xmlCellPr id="1" xr6:uid="{F2555523-4073-469E-BD40-CFAC4B4751E3}" uniqueName="DriverValue">
      <xmlPr mapId="7" xpath="/MAKE/AOP/AOP_Side_MDB/Chest_assessment/Chest_rib_assessment/Lateral_compression_mm/Middle/@DriverValue" xmlDataType="decimal"/>
    </xmlCellPr>
  </singleXmlCell>
  <singleXmlCell id="3230" xr6:uid="{05C29094-5DC6-480F-A14B-E0FDB5F00EE3}" r="E16" connectionId="0">
    <xmlCellPr id="1" xr6:uid="{068B970D-316B-493E-BDBB-2182F225064D}" uniqueName="DriverPoints">
      <xmlPr mapId="7" xpath="/MAKE/AOP/AOP_Side_MDB/Chest_assessment/Chest_rib_assessment/Lateral_compression_mm/Middle/@DriverPoints" xmlDataType="decimal"/>
    </xmlCellPr>
  </singleXmlCell>
  <singleXmlCell id="3231" xr6:uid="{EEB2F538-FC7E-463A-8AA1-5A8E110DA571}" r="D17" connectionId="0">
    <xmlCellPr id="1" xr6:uid="{D2CEA19D-2DC5-4BFD-AEEC-DCF03024EAD8}" uniqueName="DriverValue">
      <xmlPr mapId="7" xpath="/MAKE/AOP/AOP_Side_MDB/Chest_assessment/Chest_rib_assessment/Lateral_compression_mm/Bottom/@DriverValue" xmlDataType="decimal"/>
    </xmlCellPr>
  </singleXmlCell>
  <singleXmlCell id="3232" xr6:uid="{D56468E8-9C9D-4E9D-857B-18E4F1C42BF4}" r="E17" connectionId="0">
    <xmlCellPr id="1" xr6:uid="{A0DBE0BB-6DDF-4017-B5FD-12DB42EE69AD}" uniqueName="DriverPoints">
      <xmlPr mapId="7" xpath="/MAKE/AOP/AOP_Side_MDB/Chest_assessment/Chest_rib_assessment/Lateral_compression_mm/Bottom/@DriverPoints" xmlDataType="decimal"/>
    </xmlCellPr>
  </singleXmlCell>
  <singleXmlCell id="3233" xr6:uid="{47A28428-0B76-4400-93DF-A766B8B82F45}" r="E19" connectionId="0">
    <xmlCellPr id="1" xr6:uid="{2EED58F1-3E1E-4235-B18A-8381C8BAD175}" uniqueName="DriverPoints">
      <xmlPr mapId="7" xpath="/MAKE/AOP/AOP_Side_MDB/Chest_assessment/Other/Shoulder_Force_modifier/@DriverPoints" xmlDataType="decimal"/>
    </xmlCellPr>
  </singleXmlCell>
  <singleXmlCell id="3234" xr6:uid="{DB1F2C96-EF44-4D7B-B9F4-B775C302AD54}" r="D20" connectionId="0">
    <xmlCellPr id="1" xr6:uid="{C5F7F098-335E-4ADA-8382-DDEF3710C46D}" uniqueName="Shoulder_Force_Fy">
      <xmlPr mapId="7" xpath="/MAKE/AOP/AOP_Side_MDB/Chest_assessment/Other/Shoulder_Force_modifier/Shoulder_Force_Fy" xmlDataType="decimal"/>
    </xmlCellPr>
  </singleXmlCell>
  <singleXmlCell id="3235" xr6:uid="{5968ACF6-EBD9-49A5-9006-0E16F75FC62F}" r="E21" connectionId="0">
    <xmlCellPr id="1" xr6:uid="{FB70DF78-C2A0-4A05-AA77-92BF318C84D3}" uniqueName="DriverPoints">
      <xmlPr mapId="7" xpath="/MAKE/AOP/AOP_Side_MDB/Chest_assessment/Other/Viscous_Criterion_modifier/@DriverPoints" xmlDataType="decimal"/>
    </xmlCellPr>
  </singleXmlCell>
  <singleXmlCell id="3236" xr6:uid="{89B31820-6CEE-41B6-9C06-70668AC506DE}" r="D22" connectionId="0">
    <xmlCellPr id="1" xr6:uid="{EA102633-271A-400D-9AFF-A50D7FA4C3E4}" uniqueName="Top_Rib_VC">
      <xmlPr mapId="7" xpath="/MAKE/AOP/AOP_Side_MDB/Chest_assessment/Other/Viscous_Criterion_modifier/Top_Rib_VC" xmlDataType="decimal"/>
    </xmlCellPr>
  </singleXmlCell>
  <singleXmlCell id="3237" xr6:uid="{02B1BA5B-2FD9-4578-9036-43BD1B1F31C3}" r="D23" connectionId="0">
    <xmlCellPr id="1" xr6:uid="{3B96B0F1-7968-4B0C-83D1-3720BB937DBD}" uniqueName="Mid_Rib_VC">
      <xmlPr mapId="7" xpath="/MAKE/AOP/AOP_Side_MDB/Chest_assessment/Other/Viscous_Criterion_modifier/Mid_Rib_VC" xmlDataType="decimal"/>
    </xmlCellPr>
  </singleXmlCell>
  <singleXmlCell id="3238" xr6:uid="{5321CCA2-9524-4318-B8D2-EE17E49A67DE}" r="D24" connectionId="0">
    <xmlCellPr id="1" xr6:uid="{FB3AE0C8-79BF-4C05-B885-153526561A5D}" uniqueName="Bottom_Rib_VC">
      <xmlPr mapId="7" xpath="/MAKE/AOP/AOP_Side_MDB/Chest_assessment/Other/Viscous_Criterion_modifier/Bottom_Rib_VC" xmlDataType="decimal"/>
    </xmlCellPr>
  </singleXmlCell>
  <singleXmlCell id="3239" xr6:uid="{54D199DE-2FF2-42F2-94F1-28CC9F83F990}" r="D25" connectionId="0">
    <xmlCellPr id="1" xr6:uid="{1B356F0B-1014-448D-BA25-430B6D60CA5D}" uniqueName="DriverValue">
      <xmlPr mapId="7" xpath="/MAKE/AOP/AOP_Side_MDB/Chest_assessment/Other/Incorrect_airbag_deployment_modifier/@DriverValue" xmlDataType="decimal"/>
    </xmlCellPr>
  </singleXmlCell>
  <singleXmlCell id="3240" xr6:uid="{90ED76A9-9B74-4192-99BA-4498A4D9416B}" r="E25" connectionId="0">
    <xmlCellPr id="1" xr6:uid="{E705347B-8218-499D-8EE0-63C191651E5B}" uniqueName="DriverPoints">
      <xmlPr mapId="7" xpath="/MAKE/AOP/AOP_Side_MDB/Chest_assessment/Other/Incorrect_airbag_deployment_modifier/@DriverPoints" xmlDataType="decimal"/>
    </xmlCellPr>
  </singleXmlCell>
  <singleXmlCell id="3241" xr6:uid="{4D3995B0-031C-4C79-861A-7EC052DAFCCB}" r="D26" connectionId="0">
    <xmlCellPr id="1" xr6:uid="{0AF7DC7E-A3A8-4B38-A2AF-30651605ECD7}" uniqueName="DriverPoints">
      <xmlPr mapId="7" xpath="/MAKE/AOP/AOP_Side_MDB/Chest_assessment/@DriverPoints" xmlDataType="decimal"/>
    </xmlCellPr>
  </singleXmlCell>
  <singleXmlCell id="3243" xr6:uid="{0F6CF7B9-B37F-4FF0-A5D6-1895444920E9}" r="D37" connectionId="0">
    <xmlCellPr id="1" xr6:uid="{F1FD27E8-59CA-4B0C-93A6-B22B14612DDF}" uniqueName="DriverPoints">
      <xmlPr mapId="7" xpath="/MAKE/AOP/AOP_Side_MDB/Abdomen_assessment/@DriverPoints" xmlDataType="decimal"/>
    </xmlCellPr>
  </singleXmlCell>
  <singleXmlCell id="3244" xr6:uid="{AFD230A1-A20A-4A44-9A2C-F6CAA7357682}" r="E32" connectionId="0">
    <xmlCellPr id="1" xr6:uid="{9F3DD4D8-8DBF-473F-986E-769D43B22F58}" uniqueName="DriverPoints">
      <xmlPr mapId="7" xpath="/MAKE/AOP/AOP_Side_MDB/Abdomen_assessment/Abdomen_rib_assessment/@DriverPoints" xmlDataType="decimal"/>
    </xmlCellPr>
  </singleXmlCell>
  <singleXmlCell id="3245" xr6:uid="{13630D7D-F090-4C5C-BB5C-65AB8143450C}" r="D30" connectionId="0">
    <xmlCellPr id="1" xr6:uid="{891A0EA8-C9D3-4C3F-9410-837D150C5219}" uniqueName="DriverValue">
      <xmlPr mapId="7" xpath="/MAKE/AOP/AOP_Side_MDB/Abdomen_assessment/Abdomen_rib_assessment/Lateral_compression_mm/Top/@DriverValue" xmlDataType="decimal"/>
    </xmlCellPr>
  </singleXmlCell>
  <singleXmlCell id="3246" xr6:uid="{8FE6CFFF-6744-446D-9174-2E5E5D9F60D0}" r="E30" connectionId="0">
    <xmlCellPr id="1" xr6:uid="{2A5CCA5E-98C4-4ABA-8C25-7EA04AF4DA7C}" uniqueName="DriverPoints">
      <xmlPr mapId="7" xpath="/MAKE/AOP/AOP_Side_MDB/Abdomen_assessment/Abdomen_rib_assessment/Lateral_compression_mm/Top/@DriverPoints" xmlDataType="decimal"/>
    </xmlCellPr>
  </singleXmlCell>
  <singleXmlCell id="3247" xr6:uid="{E05B1600-5855-4AA5-B476-35634B50C54C}" r="D31" connectionId="0">
    <xmlCellPr id="1" xr6:uid="{47A0A715-F751-4229-995F-D6CC5BBF7896}" uniqueName="DriverValue">
      <xmlPr mapId="7" xpath="/MAKE/AOP/AOP_Side_MDB/Abdomen_assessment/Abdomen_rib_assessment/Lateral_compression_mm/Bottom/@DriverValue" xmlDataType="decimal"/>
    </xmlCellPr>
  </singleXmlCell>
  <singleXmlCell id="3248" xr6:uid="{F588F6E0-9E37-4438-B6DA-C5322D020E91}" r="E31" connectionId="0">
    <xmlCellPr id="1" xr6:uid="{53974C7A-BB7C-4FEE-AE2C-05E78FA71242}" uniqueName="DriverPoints">
      <xmlPr mapId="7" xpath="/MAKE/AOP/AOP_Side_MDB/Abdomen_assessment/Abdomen_rib_assessment/Lateral_compression_mm/Bottom/@DriverPoints" xmlDataType="decimal"/>
    </xmlCellPr>
  </singleXmlCell>
  <singleXmlCell id="3249" xr6:uid="{D9A47987-E363-4070-A2EB-61DB9126B773}" r="E33" connectionId="0">
    <xmlCellPr id="1" xr6:uid="{1BD16513-80A8-41AA-B8BA-7564F3870629}" uniqueName="DriverPoints">
      <xmlPr mapId="7" xpath="/MAKE/AOP/AOP_Side_MDB/Abdomen_assessment/Other/Viscous_Criterion_modifier/@DriverPoints" xmlDataType="decimal"/>
    </xmlCellPr>
  </singleXmlCell>
  <singleXmlCell id="3250" xr6:uid="{CE0DACC0-A814-45D0-BE6C-699EDE603381}" r="D34" connectionId="0">
    <xmlCellPr id="1" xr6:uid="{A3E2CF0E-2A68-4202-874A-714512592463}" uniqueName="DriverValue">
      <xmlPr mapId="7" xpath="/MAKE/AOP/AOP_Side_MDB/Abdomen_assessment/Other/Viscous_Criterion_modifier/Top_rib_Viscous_Criterion_ms/@DriverValue" xmlDataType="decimal"/>
    </xmlCellPr>
  </singleXmlCell>
  <singleXmlCell id="3252" xr6:uid="{9DA8895D-6CA4-414D-8E2B-BD3911F7EEC4}" r="D35" connectionId="0">
    <xmlCellPr id="1" xr6:uid="{17C03E45-7AA5-45D6-B374-6D699C615A10}" uniqueName="DriverValue">
      <xmlPr mapId="7" xpath="/MAKE/AOP/AOP_Side_MDB/Abdomen_assessment/Other/Viscous_Criterion_modifier/Bottom_rib_Viscous_Criterion_ms/@DriverValue" xmlDataType="decimal"/>
    </xmlCellPr>
  </singleXmlCell>
  <singleXmlCell id="3254" xr6:uid="{21A12CB3-F9EA-4FF9-AE69-109FDD8BC7EA}" r="E36" connectionId="0">
    <xmlCellPr id="1" xr6:uid="{099F4BF1-70C6-47C6-A4F1-D070A135B650}" uniqueName="Incorrect_airbag_deployment_modifier">
      <xmlPr mapId="7" xpath="/MAKE/AOP/AOP_Side_MDB/Abdomen_assessment/Other/Incorrect_airbag_deployment_modifier" xmlDataType="integer"/>
    </xmlCellPr>
  </singleXmlCell>
  <singleXmlCell id="3255" xr6:uid="{3DD63691-78A7-45E7-8C68-ACCA53122783}" r="D42" connectionId="0">
    <xmlCellPr id="1" xr6:uid="{3FDCC84E-1731-4B6F-A05C-A17DAFBFD0C1}" uniqueName="DriverPoints">
      <xmlPr mapId="7" xpath="/MAKE/AOP/AOP_Side_MDB/Pelvis_assessment/@DriverPoints" xmlDataType="decimal"/>
    </xmlCellPr>
  </singleXmlCell>
  <singleXmlCell id="3256" xr6:uid="{3D2FAD07-72FD-47DC-BE10-2445735F2659}" r="D40" connectionId="0">
    <xmlCellPr id="1" xr6:uid="{E3F40438-390B-44EC-8C9E-3164DA00F00D}" uniqueName="DriverValue">
      <xmlPr mapId="7" xpath="/MAKE/AOP/AOP_Side_MDB/Pelvis_assessment/Pubic_Symphysis_force_kN/@DriverValue" xmlDataType="decimal"/>
    </xmlCellPr>
  </singleXmlCell>
  <singleXmlCell id="3257" xr6:uid="{C7BF9013-1626-41C4-AC75-6881E4306C9A}" r="E40" connectionId="0">
    <xmlCellPr id="1" xr6:uid="{24CE1A46-8C92-43B4-8E14-072E3F8374C2}" uniqueName="DriverPoints">
      <xmlPr mapId="7" xpath="/MAKE/AOP/AOP_Side_MDB/Pelvis_assessment/Pubic_Symphysis_force_kN/@DriverPoints" xmlDataType="decimal"/>
    </xmlCellPr>
  </singleXmlCell>
  <singleXmlCell id="3258" xr6:uid="{01034E5F-6FD0-44E7-BAB6-2C42D0515A9C}" r="E41" connectionId="0">
    <xmlCellPr id="1" xr6:uid="{D629C2D9-0AE0-4F7C-BBAE-95D43155D9E9}" uniqueName="Incorrect_airbag_deployment_modifier">
      <xmlPr mapId="7" xpath="/MAKE/AOP/AOP_Side_MDB/Pelvis_assessment/Incorrect_airbag_deployment_modifier" xmlDataType="integer"/>
    </xmlCellPr>
  </singleXmlCell>
  <singleXmlCell id="3259" xr6:uid="{15C85E2A-8D03-4326-84EA-4CAD3809661A}" r="D45" connectionId="0">
    <xmlCellPr id="1" xr6:uid="{A97DDA45-BAAF-4D88-BA3A-DF2950F73708}" uniqueName="DriverPoints">
      <xmlPr mapId="7" xpath="/MAKE/AOP/AOP_Side_MDB/SUMMARY/Head_assessment/@DriverPoints" xmlDataType="decimal"/>
    </xmlCellPr>
  </singleXmlCell>
  <singleXmlCell id="3260" xr6:uid="{DDF880E7-F2BE-4487-B288-E8413A41E873}" r="D46" connectionId="0">
    <xmlCellPr id="1" xr6:uid="{305F9E25-4B00-4707-A3D4-084DFB5DC8B0}" uniqueName="DriverPoints">
      <xmlPr mapId="7" xpath="/MAKE/AOP/AOP_Side_MDB/SUMMARY/Chest_assessment/@DriverPoints" xmlDataType="decimal"/>
    </xmlCellPr>
  </singleXmlCell>
  <singleXmlCell id="3261" xr6:uid="{B60D4475-91A1-4CE3-B21A-B64F4E9615B7}" r="D47" connectionId="0">
    <xmlCellPr id="1" xr6:uid="{C4B11DD6-6B28-4129-B794-BAF01B852D7A}" uniqueName="DriverPoints">
      <xmlPr mapId="7" xpath="/MAKE/AOP/AOP_Side_MDB/SUMMARY/Abdomen_assessment/@DriverPoints" xmlDataType="decimal"/>
    </xmlCellPr>
  </singleXmlCell>
  <singleXmlCell id="3262" xr6:uid="{752F5C5E-8936-4062-9CB0-30853C63F40D}" r="D48" connectionId="0">
    <xmlCellPr id="1" xr6:uid="{269FCF40-39ED-4110-9B0E-CC9E21988DA5}" uniqueName="DriverPoints">
      <xmlPr mapId="7" xpath="/MAKE/AOP/AOP_Side_MDB/SUMMARY/Pelvis_assessment/@DriverPoints" xmlDataType="decimal"/>
    </xmlCellPr>
  </singleXmlCell>
  <singleXmlCell id="3263" xr6:uid="{B873014A-4FCC-4A1A-9C1A-FFF02B1B0015}" r="D51" connectionId="0">
    <xmlCellPr id="1" xr6:uid="{9A3422C5-39D7-4EA7-9191-50E94790B8F7}" uniqueName="Door_Opening">
      <xmlPr mapId="7" xpath="/MAKE/AOP/AOP_Side_MDB/Door_Opening" xmlDataType="integer"/>
    </xmlCellPr>
  </singleXmlCell>
  <singleXmlCell id="3264" xr6:uid="{AEB22EBE-0781-43E2-90AE-F8AA8AEB74E4}" r="D49" connectionId="0">
    <xmlCellPr id="1" xr6:uid="{4215BDC9-77C1-40E8-90A5-F1961FF84F18}" uniqueName="TOTAL">
      <xmlPr mapId="7" xpath="/MAKE/AOP/AOP_Side_MDB/TOTAL" xmlDataType="decimal"/>
    </xmlCellPr>
  </singleXmlCell>
  <singleXmlCell id="3266" xr6:uid="{9304B05F-E9C6-40BB-BFBE-7FBC70EDFCA5}" r="D61" connectionId="0">
    <xmlCellPr id="1" xr6:uid="{F6A41441-3B60-419C-94FF-AD79924D1FA8}" uniqueName="DriverValue">
      <xmlPr mapId="7" xpath="/MAKE/AOP/AOP_Side_MDB/DUMMY_MEASUREMENTS/Head/Ax_Max/@DriverValue" xmlDataType="decimal"/>
    </xmlCellPr>
  </singleXmlCell>
  <singleXmlCell id="3267" xr6:uid="{F3A5E367-59B8-41F4-A652-0309EC8FF09F}" r="D62" connectionId="0">
    <xmlCellPr id="1" xr6:uid="{F926584E-E104-42C1-B573-A6BB09146D3B}" uniqueName="DriverValue">
      <xmlPr mapId="7" xpath="/MAKE/AOP/AOP_Side_MDB/DUMMY_MEASUREMENTS/Head/Ax_Min/@DriverValue" xmlDataType="decimal"/>
    </xmlCellPr>
  </singleXmlCell>
  <singleXmlCell id="3268" xr6:uid="{B0958B20-CB15-48A3-85ED-63798410BDE5}" r="D63" connectionId="0">
    <xmlCellPr id="1" xr6:uid="{4EBC4C25-B470-491B-98CD-614EE2759767}" uniqueName="DriverValue">
      <xmlPr mapId="7" xpath="/MAKE/AOP/AOP_Side_MDB/DUMMY_MEASUREMENTS/Head/Ay_Max/@DriverValue" xmlDataType="decimal"/>
    </xmlCellPr>
  </singleXmlCell>
  <singleXmlCell id="3269" xr6:uid="{AB3A1A23-F12D-4641-8BFE-DDE5D5DB07BF}" r="D64" connectionId="0">
    <xmlCellPr id="1" xr6:uid="{E61098C6-E236-4A9A-A4B4-D3BF58A8653A}" uniqueName="DriverValue">
      <xmlPr mapId="7" xpath="/MAKE/AOP/AOP_Side_MDB/DUMMY_MEASUREMENTS/Head/Ay_Min/@DriverValue" xmlDataType="decimal"/>
    </xmlCellPr>
  </singleXmlCell>
  <singleXmlCell id="3270" xr6:uid="{F9E8A72C-9AD2-4983-88AE-5EBC2383230F}" r="D65" connectionId="0">
    <xmlCellPr id="1" xr6:uid="{902CCCF1-7F6B-4941-B4D4-0A72267A58A9}" uniqueName="DriverValue">
      <xmlPr mapId="7" xpath="/MAKE/AOP/AOP_Side_MDB/DUMMY_MEASUREMENTS/Head/Az_Max/@DriverValue" xmlDataType="decimal"/>
    </xmlCellPr>
  </singleXmlCell>
  <singleXmlCell id="3271" xr6:uid="{F1D360E7-73C5-482A-8B84-CF518D4ABFB2}" r="D66" connectionId="0">
    <xmlCellPr id="1" xr6:uid="{003BE2B0-27E3-45CB-853E-9F34DB595FE3}" uniqueName="DriverValue">
      <xmlPr mapId="7" xpath="/MAKE/AOP/AOP_Side_MDB/DUMMY_MEASUREMENTS/Head/Az_Min/@DriverValue" xmlDataType="decimal"/>
    </xmlCellPr>
  </singleXmlCell>
  <singleXmlCell id="3272" xr6:uid="{E77D3F77-5FA7-4E2F-9950-0F16EB4A8822}" r="D68" connectionId="0">
    <xmlCellPr id="1" xr6:uid="{7AE335E6-3F77-4CEB-A26C-F1FA765EE67B}" uniqueName="DriverValue">
      <xmlPr mapId="7" xpath="/MAKE/AOP/AOP_Side_MDB/DUMMY_MEASUREMENTS/Neck/Fx_Max/@DriverValue" xmlDataType="decimal"/>
    </xmlCellPr>
  </singleXmlCell>
  <singleXmlCell id="3273" xr6:uid="{052C0116-4A44-41C2-8084-6FEA8D45946F}" r="D69" connectionId="0">
    <xmlCellPr id="1" xr6:uid="{E6D1E4BB-D589-4280-BA0C-6B4C74B74929}" uniqueName="DriverValue">
      <xmlPr mapId="7" xpath="/MAKE/AOP/AOP_Side_MDB/DUMMY_MEASUREMENTS/Neck/Fx_Min/@DriverValue" xmlDataType="decimal"/>
    </xmlCellPr>
  </singleXmlCell>
  <singleXmlCell id="3274" xr6:uid="{34BB0F16-50FB-47A4-B6CD-047E34003AEE}" r="D70" connectionId="0">
    <xmlCellPr id="1" xr6:uid="{F3B5097C-854A-4C90-95C0-CF008E539F60}" uniqueName="DriverValue">
      <xmlPr mapId="7" xpath="/MAKE/AOP/AOP_Side_MDB/DUMMY_MEASUREMENTS/Neck/Fy_Max/@DriverValue" xmlDataType="decimal"/>
    </xmlCellPr>
  </singleXmlCell>
  <singleXmlCell id="3275" xr6:uid="{439E85CF-CA1D-4874-B284-0224CFD5F14A}" r="D71" connectionId="0">
    <xmlCellPr id="1" xr6:uid="{08C63EE4-0F73-44C6-BE89-2C00D4A2DD55}" uniqueName="DriverValue">
      <xmlPr mapId="7" xpath="/MAKE/AOP/AOP_Side_MDB/DUMMY_MEASUREMENTS/Neck/Fy_Min/@DriverValue" xmlDataType="decimal"/>
    </xmlCellPr>
  </singleXmlCell>
  <singleXmlCell id="3276" xr6:uid="{318345F0-EE0E-4336-B1EF-0AB1AE1B4064}" r="D72" connectionId="0">
    <xmlCellPr id="1" xr6:uid="{2ED91AC1-7FB0-41E0-A09A-27BB4F440531}" uniqueName="DriverValue">
      <xmlPr mapId="7" xpath="/MAKE/AOP/AOP_Side_MDB/DUMMY_MEASUREMENTS/Neck/Fz_Max/@DriverValue" xmlDataType="decimal"/>
    </xmlCellPr>
  </singleXmlCell>
  <singleXmlCell id="3277" xr6:uid="{E4D01FC7-2951-4B5E-943A-B9F815BB6A94}" r="D73" connectionId="0">
    <xmlCellPr id="1" xr6:uid="{09844918-5BBB-4304-866E-CBCF30B393BF}" uniqueName="DriverValue">
      <xmlPr mapId="7" xpath="/MAKE/AOP/AOP_Side_MDB/DUMMY_MEASUREMENTS/Neck/Fz_Min/@DriverValue" xmlDataType="decimal"/>
    </xmlCellPr>
  </singleXmlCell>
  <singleXmlCell id="3278" xr6:uid="{E7E3AFBF-5141-4082-8CF9-3D20F6793A73}" r="D74" connectionId="0">
    <xmlCellPr id="1" xr6:uid="{90E287A7-F544-45BC-A9C8-9335D7AA9C22}" uniqueName="DriverValue">
      <xmlPr mapId="7" xpath="/MAKE/AOP/AOP_Side_MDB/DUMMY_MEASUREMENTS/Neck/Mx_Max/@DriverValue" xmlDataType="decimal"/>
    </xmlCellPr>
  </singleXmlCell>
  <singleXmlCell id="3279" xr6:uid="{27470A5D-E281-4F34-A0A9-17CCF4032685}" r="D75" connectionId="0">
    <xmlCellPr id="1" xr6:uid="{10FA492C-D2DD-4658-9D29-06B99001A7E9}" uniqueName="DriverValue">
      <xmlPr mapId="7" xpath="/MAKE/AOP/AOP_Side_MDB/DUMMY_MEASUREMENTS/Neck/Mx_Min/@DriverValue" xmlDataType="decimal"/>
    </xmlCellPr>
  </singleXmlCell>
  <singleXmlCell id="3280" xr6:uid="{DA78B2B2-E583-4AA8-8604-A2527243B187}" r="D76" connectionId="0">
    <xmlCellPr id="1" xr6:uid="{9016E46E-67E3-4537-B2C1-8D6E2A193EF8}" uniqueName="DriverValue">
      <xmlPr mapId="7" xpath="/MAKE/AOP/AOP_Side_MDB/DUMMY_MEASUREMENTS/Neck/My_Max/@DriverValue" xmlDataType="decimal"/>
    </xmlCellPr>
  </singleXmlCell>
  <singleXmlCell id="3281" xr6:uid="{B9723A06-9583-4E19-9ABA-E1AF3FD66080}" r="D77" connectionId="0">
    <xmlCellPr id="1" xr6:uid="{1592EF49-EBF4-4777-BA44-5B314F7F8CB8}" uniqueName="DriverValue">
      <xmlPr mapId="7" xpath="/MAKE/AOP/AOP_Side_MDB/DUMMY_MEASUREMENTS/Neck/My_Min/@DriverValue" xmlDataType="decimal"/>
    </xmlCellPr>
  </singleXmlCell>
  <singleXmlCell id="3282" xr6:uid="{FC30D097-816F-43B0-BBA2-D1CFE9D453EC}" r="D78" connectionId="0">
    <xmlCellPr id="1" xr6:uid="{0672354B-1818-4567-A963-D18DF04F4A3A}" uniqueName="DriverValue">
      <xmlPr mapId="7" xpath="/MAKE/AOP/AOP_Side_MDB/DUMMY_MEASUREMENTS/Neck/Mz_Max/@DriverValue" xmlDataType="decimal"/>
    </xmlCellPr>
  </singleXmlCell>
  <singleXmlCell id="3283" xr6:uid="{5B2052AD-016A-41AA-8874-83F670FE6E75}" r="D79" connectionId="0">
    <xmlCellPr id="1" xr6:uid="{8C1A478C-49F6-4E9B-9761-F520083F32C8}" uniqueName="DriverValue">
      <xmlPr mapId="7" xpath="/MAKE/AOP/AOP_Side_MDB/DUMMY_MEASUREMENTS/Neck/Mz_Min/@DriverValue" xmlDataType="decimal"/>
    </xmlCellPr>
  </singleXmlCell>
  <singleXmlCell id="3284" xr6:uid="{2E5626CA-9AE0-4DC3-9953-040BB45F6F51}" r="D81" connectionId="0">
    <xmlCellPr id="1" xr6:uid="{7FFE8D8B-0E5E-4E79-B6ED-A586B15EE6B3}" uniqueName="DriverValue">
      <xmlPr mapId="7" xpath="/MAKE/AOP/AOP_Side_MDB/DUMMY_MEASUREMENTS/Shoulder/Fx_Max/@DriverValue" xmlDataType="decimal"/>
    </xmlCellPr>
  </singleXmlCell>
  <singleXmlCell id="3285" xr6:uid="{B096E445-69E9-4F21-8C25-2164D1E6FAD1}" r="D82" connectionId="0">
    <xmlCellPr id="1" xr6:uid="{7A0DCAEE-2AB4-46D2-8B52-CEC4720E120D}" uniqueName="DriverValue">
      <xmlPr mapId="7" xpath="/MAKE/AOP/AOP_Side_MDB/DUMMY_MEASUREMENTS/Shoulder/Fx_Min/@DriverValue" xmlDataType="decimal"/>
    </xmlCellPr>
  </singleXmlCell>
  <singleXmlCell id="3286" xr6:uid="{632AF195-89BD-4CAF-9EFC-C749B845A891}" r="D83" connectionId="0">
    <xmlCellPr id="1" xr6:uid="{591D5168-A68A-46AF-872C-5031B48A7993}" uniqueName="DriverValue">
      <xmlPr mapId="7" xpath="/MAKE/AOP/AOP_Side_MDB/DUMMY_MEASUREMENTS/Shoulder/Fy_Max/@DriverValue" xmlDataType="decimal"/>
    </xmlCellPr>
  </singleXmlCell>
  <singleXmlCell id="3287" xr6:uid="{61BAA331-EFC3-477D-BFB5-3F54F7409562}" r="D84" connectionId="0">
    <xmlCellPr id="1" xr6:uid="{FB987698-BE2D-4A4A-99AA-599D905721D5}" uniqueName="DriverValue">
      <xmlPr mapId="7" xpath="/MAKE/AOP/AOP_Side_MDB/DUMMY_MEASUREMENTS/Shoulder/Fy_Min/@DriverValue" xmlDataType="decimal"/>
    </xmlCellPr>
  </singleXmlCell>
  <singleXmlCell id="3288" xr6:uid="{8C0B5B9D-451D-4668-AE56-3A2E3F668170}" r="D85" connectionId="0">
    <xmlCellPr id="1" xr6:uid="{66AA336C-B4D7-48DE-A1A6-50BF54FB382A}" uniqueName="DriverValue">
      <xmlPr mapId="7" xpath="/MAKE/AOP/AOP_Side_MDB/DUMMY_MEASUREMENTS/Shoulder/Fz_Max/@DriverValue" xmlDataType="decimal"/>
    </xmlCellPr>
  </singleXmlCell>
  <singleXmlCell id="3289" xr6:uid="{480A1145-43DD-44AF-8374-A0F00946040B}" r="D86" connectionId="0">
    <xmlCellPr id="1" xr6:uid="{8165C5B2-5919-4B5E-A962-C11B1425F1B6}" uniqueName="DriverValue">
      <xmlPr mapId="7" xpath="/MAKE/AOP/AOP_Side_MDB/DUMMY_MEASUREMENTS/Shoulder/Fz_Min/@DriverValue" xmlDataType="decimal"/>
    </xmlCellPr>
  </singleXmlCell>
  <singleXmlCell id="3290" xr6:uid="{181D1E5B-899D-4A94-9BC2-5E52F6EE87A6}" r="D87" connectionId="0">
    <xmlCellPr id="1" xr6:uid="{8950C130-CE18-4EAB-86E0-98990321B022}" uniqueName="DriverValue">
      <xmlPr mapId="7" xpath="/MAKE/AOP/AOP_Side_MDB/DUMMY_MEASUREMENTS/Shoulder/D_Max/@DriverValue" xmlDataType="decimal"/>
    </xmlCellPr>
  </singleXmlCell>
  <singleXmlCell id="3291" xr6:uid="{B9D70AB9-E418-43F8-A3CE-7A313C8A075C}" r="D88" connectionId="0">
    <xmlCellPr id="1" xr6:uid="{8AB82F02-07B3-4093-B7F9-905AFAAE7ED5}" uniqueName="DriverValue">
      <xmlPr mapId="7" xpath="/MAKE/AOP/AOP_Side_MDB/DUMMY_MEASUREMENTS/Shoulder/D_Min/@DriverValue" xmlDataType="decimal"/>
    </xmlCellPr>
  </singleXmlCell>
  <singleXmlCell id="3292" xr6:uid="{EDB48119-9421-430D-89B8-933DCD614266}" r="D89" connectionId="0">
    <xmlCellPr id="1" xr6:uid="{16F8DF47-0F61-4FF6-9B8C-A17BB592557F}" uniqueName="DriverValue">
      <xmlPr mapId="7" xpath="/MAKE/AOP/AOP_Side_MDB/DUMMY_MEASUREMENTS/Shoulder/α_Max/@DriverValue" xmlDataType="decimal"/>
    </xmlCellPr>
  </singleXmlCell>
  <singleXmlCell id="3293" xr6:uid="{C71DF82B-46BC-4A32-9731-D1A6A26437C8}" r="D90" connectionId="0">
    <xmlCellPr id="1" xr6:uid="{C5D3BFBF-CB98-4E9B-A46C-C566DE830967}" uniqueName="DriverValue">
      <xmlPr mapId="7" xpath="/MAKE/AOP/AOP_Side_MDB/DUMMY_MEASUREMENTS/Shoulder/α_Min/@DriverValue" xmlDataType="decimal"/>
    </xmlCellPr>
  </singleXmlCell>
  <singleXmlCell id="3294" xr6:uid="{235C4CC1-5CBA-43D6-86AA-33B04AB29BA9}" r="D92" connectionId="0">
    <xmlCellPr id="1" xr6:uid="{8017BA1D-3362-4663-8233-3AA390B2759A}" uniqueName="DriverValue">
      <xmlPr mapId="7" xpath="/MAKE/AOP/AOP_Side_MDB/DUMMY_MEASUREMENTS/Thorax/D01_Max/@DriverValue" xmlDataType="decimal"/>
    </xmlCellPr>
  </singleXmlCell>
  <singleXmlCell id="3295" xr6:uid="{812B7FE4-2437-443A-BD06-1B2C6888EA20}" r="D93" connectionId="0">
    <xmlCellPr id="1" xr6:uid="{65017A7F-4F7C-4845-9FFB-12EF8F930358}" uniqueName="DriverValue">
      <xmlPr mapId="7" xpath="/MAKE/AOP/AOP_Side_MDB/DUMMY_MEASUREMENTS/Thorax/D01_Min/@DriverValue" xmlDataType="decimal"/>
    </xmlCellPr>
  </singleXmlCell>
  <singleXmlCell id="3296" xr6:uid="{1BDC0992-13C5-44C6-B5FD-BF9C4A22EEF8}" r="D94" connectionId="0">
    <xmlCellPr id="1" xr6:uid="{04855C25-BBF4-48D3-B742-2773F5B028AD}" uniqueName="DriverValue">
      <xmlPr mapId="7" xpath="/MAKE/AOP/AOP_Side_MDB/DUMMY_MEASUREMENTS/Thorax/α01_Max/@DriverValue" xmlDataType="decimal"/>
    </xmlCellPr>
  </singleXmlCell>
  <singleXmlCell id="3297" xr6:uid="{8DD7D81E-0C26-49F9-B4A5-8B64247A4530}" r="D95" connectionId="0">
    <xmlCellPr id="1" xr6:uid="{9B47E629-512B-470B-9DA9-22A733438388}" uniqueName="DriverValue">
      <xmlPr mapId="7" xpath="/MAKE/AOP/AOP_Side_MDB/DUMMY_MEASUREMENTS/Thorax/α01_Min/@DriverValue" xmlDataType="decimal"/>
    </xmlCellPr>
  </singleXmlCell>
  <singleXmlCell id="3298" xr6:uid="{50D11E6B-8A02-4642-AB15-6AB7733A78EC}" r="D96" connectionId="0">
    <xmlCellPr id="1" xr6:uid="{244D93C8-1E4D-4EAD-8E38-26E1C2F44B36}" uniqueName="DriverValue">
      <xmlPr mapId="7" xpath="/MAKE/AOP/AOP_Side_MDB/DUMMY_MEASUREMENTS/Thorax/D02_Max/@DriverValue" xmlDataType="decimal"/>
    </xmlCellPr>
  </singleXmlCell>
  <singleXmlCell id="3299" xr6:uid="{E1F021D0-C95C-4C1C-82ED-14AD01FC82F9}" r="D97" connectionId="0">
    <xmlCellPr id="1" xr6:uid="{FF518554-F0BA-4BE5-8CC6-D6B4B5FEB61E}" uniqueName="DriverValue">
      <xmlPr mapId="7" xpath="/MAKE/AOP/AOP_Side_MDB/DUMMY_MEASUREMENTS/Thorax/D02_Min/@DriverValue" xmlDataType="decimal"/>
    </xmlCellPr>
  </singleXmlCell>
  <singleXmlCell id="3300" xr6:uid="{AFBC29B4-CABB-4307-9726-897F620AE0C8}" r="D98" connectionId="0">
    <xmlCellPr id="1" xr6:uid="{0E937E40-A3DE-4778-AB32-BDE137C61FDF}" uniqueName="DriverValue">
      <xmlPr mapId="7" xpath="/MAKE/AOP/AOP_Side_MDB/DUMMY_MEASUREMENTS/Thorax/α02_Max/@DriverValue" xmlDataType="decimal"/>
    </xmlCellPr>
  </singleXmlCell>
  <singleXmlCell id="3301" xr6:uid="{9C302DB7-1E37-4F84-BC00-2566A5270AF0}" r="D99" connectionId="0">
    <xmlCellPr id="1" xr6:uid="{C09F5C20-88A5-4463-8479-2BC7FA8DA186}" uniqueName="DriverValue">
      <xmlPr mapId="7" xpath="/MAKE/AOP/AOP_Side_MDB/DUMMY_MEASUREMENTS/Thorax/α02_Min/@DriverValue" xmlDataType="decimal"/>
    </xmlCellPr>
  </singleXmlCell>
  <singleXmlCell id="3302" xr6:uid="{283B7FF8-B9F9-4D30-A56F-8FE370D332DF}" r="D100" connectionId="0">
    <xmlCellPr id="1" xr6:uid="{00F7F5F1-BC27-4D67-A215-667943C023C0}" uniqueName="DriverValue">
      <xmlPr mapId="7" xpath="/MAKE/AOP/AOP_Side_MDB/DUMMY_MEASUREMENTS/Thorax/D03_Max/@DriverValue" xmlDataType="decimal"/>
    </xmlCellPr>
  </singleXmlCell>
  <singleXmlCell id="3303" xr6:uid="{6A509DD7-4209-4E15-A71A-3579B078AE5F}" r="D101" connectionId="0">
    <xmlCellPr id="1" xr6:uid="{C07E4CB2-E85D-49B6-BFAE-1AF4649F935A}" uniqueName="DriverValue">
      <xmlPr mapId="7" xpath="/MAKE/AOP/AOP_Side_MDB/DUMMY_MEASUREMENTS/Thorax/D03_Min/@DriverValue" xmlDataType="decimal"/>
    </xmlCellPr>
  </singleXmlCell>
  <singleXmlCell id="3304" xr6:uid="{637D2755-F593-4B69-BE33-709A43BEC995}" r="D102" connectionId="0">
    <xmlCellPr id="1" xr6:uid="{01E62723-7791-4311-9183-46FC9B403F62}" uniqueName="DriverValue">
      <xmlPr mapId="7" xpath="/MAKE/AOP/AOP_Side_MDB/DUMMY_MEASUREMENTS/Thorax/α03_Max/@DriverValue" xmlDataType="decimal"/>
    </xmlCellPr>
  </singleXmlCell>
  <singleXmlCell id="3305" xr6:uid="{6F779A87-8C23-4027-BB3B-47D8BDC741C6}" r="D103" connectionId="0">
    <xmlCellPr id="1" xr6:uid="{4D66C08B-4C8D-4D9A-907B-C91A30111C28}" uniqueName="DriverValue">
      <xmlPr mapId="7" xpath="/MAKE/AOP/AOP_Side_MDB/DUMMY_MEASUREMENTS/Thorax/α03_Min/@DriverValue" xmlDataType="decimal"/>
    </xmlCellPr>
  </singleXmlCell>
  <singleXmlCell id="3306" xr6:uid="{8EB1636E-4879-426F-A3F0-B7B4DF743BC6}" r="D105" connectionId="0">
    <xmlCellPr id="1" xr6:uid="{C60C1F9E-810D-4748-AD40-EE567D00088A}" uniqueName="DriverValue">
      <xmlPr mapId="7" xpath="/MAKE/AOP/AOP_Side_MDB/DUMMY_MEASUREMENTS/Abdomen/D01_Max/@DriverValue" xmlDataType="decimal"/>
    </xmlCellPr>
  </singleXmlCell>
  <singleXmlCell id="3307" xr6:uid="{8A459F67-FE55-4B52-B024-FE171FB81410}" r="D106" connectionId="0">
    <xmlCellPr id="1" xr6:uid="{FA27231D-17F6-4109-8EE9-06EBC7404198}" uniqueName="DriverValue">
      <xmlPr mapId="7" xpath="/MAKE/AOP/AOP_Side_MDB/DUMMY_MEASUREMENTS/Abdomen/D01_Min/@DriverValue" xmlDataType="decimal"/>
    </xmlCellPr>
  </singleXmlCell>
  <singleXmlCell id="3308" xr6:uid="{F1B56664-8538-4080-9184-0EBACD83A7C9}" r="D107" connectionId="0">
    <xmlCellPr id="1" xr6:uid="{D7E0279B-D65F-4BF8-8795-553677811DB8}" uniqueName="DriverValue">
      <xmlPr mapId="7" xpath="/MAKE/AOP/AOP_Side_MDB/DUMMY_MEASUREMENTS/Abdomen/α01_Max/@DriverValue" xmlDataType="decimal"/>
    </xmlCellPr>
  </singleXmlCell>
  <singleXmlCell id="3309" xr6:uid="{72CB1D68-B8C8-4DA8-9C31-DFC0C91771B6}" r="D108" connectionId="0">
    <xmlCellPr id="1" xr6:uid="{534D62EB-FE7F-4B49-9C03-F75B080E4AD5}" uniqueName="DriverValue">
      <xmlPr mapId="7" xpath="/MAKE/AOP/AOP_Side_MDB/DUMMY_MEASUREMENTS/Abdomen/α01_Min/@DriverValue" xmlDataType="decimal"/>
    </xmlCellPr>
  </singleXmlCell>
  <singleXmlCell id="3310" xr6:uid="{B8CFD041-DC95-4265-8697-DC70E66EBE99}" r="D109" connectionId="0">
    <xmlCellPr id="1" xr6:uid="{248047C1-4B4B-40A6-A300-677DF64974D8}" uniqueName="DriverValue">
      <xmlPr mapId="7" xpath="/MAKE/AOP/AOP_Side_MDB/DUMMY_MEASUREMENTS/Abdomen/D02_Max/@DriverValue" xmlDataType="decimal"/>
    </xmlCellPr>
  </singleXmlCell>
  <singleXmlCell id="3311" xr6:uid="{195B8F64-E363-4147-B76E-3615CEFA3153}" r="D110" connectionId="0">
    <xmlCellPr id="1" xr6:uid="{49754BBF-0FFD-4658-9407-19E3689995AE}" uniqueName="DriverValue">
      <xmlPr mapId="7" xpath="/MAKE/AOP/AOP_Side_MDB/DUMMY_MEASUREMENTS/Abdomen/D02_Min/@DriverValue" xmlDataType="decimal"/>
    </xmlCellPr>
  </singleXmlCell>
  <singleXmlCell id="3312" xr6:uid="{322A7B8D-8362-436A-9BCD-C599C967B8B1}" r="D111" connectionId="0">
    <xmlCellPr id="1" xr6:uid="{C2024307-75DB-40A1-8EA6-EB099656B06E}" uniqueName="DriverValue">
      <xmlPr mapId="7" xpath="/MAKE/AOP/AOP_Side_MDB/DUMMY_MEASUREMENTS/Abdomen/α02_Max/@DriverValue" xmlDataType="decimal"/>
    </xmlCellPr>
  </singleXmlCell>
  <singleXmlCell id="3313" xr6:uid="{BBB865CA-5B76-4AB5-BD4E-8AF13A5BB2A1}" r="D112" connectionId="0">
    <xmlCellPr id="1" xr6:uid="{B271AF2D-4761-478B-B998-87DEB3B8877A}" uniqueName="DriverValue">
      <xmlPr mapId="7" xpath="/MAKE/AOP/AOP_Side_MDB/DUMMY_MEASUREMENTS/Abdomen/α02_Min/@DriverValue" xmlDataType="decimal"/>
    </xmlCellPr>
  </singleXmlCell>
  <singleXmlCell id="3314" xr6:uid="{1C7B5C0A-678E-4CA2-AB38-EEBACA3F9C83}" r="D114" connectionId="0">
    <xmlCellPr id="1" xr6:uid="{5C95517B-9536-430B-93F4-626677F8219E}" uniqueName="DriverValue">
      <xmlPr mapId="7" xpath="/MAKE/AOP/AOP_Side_MDB/DUMMY_MEASUREMENTS/T12/Ax_Max/@DriverValue" xmlDataType="decimal"/>
    </xmlCellPr>
  </singleXmlCell>
  <singleXmlCell id="3315" xr6:uid="{D07F6911-B418-453E-88D7-6661DD6E7501}" r="D115" connectionId="0">
    <xmlCellPr id="1" xr6:uid="{58AC751B-965B-4C6C-B97E-A205E86FBA8A}" uniqueName="DriverValue">
      <xmlPr mapId="7" xpath="/MAKE/AOP/AOP_Side_MDB/DUMMY_MEASUREMENTS/T12/Ax_Min/@DriverValue" xmlDataType="decimal"/>
    </xmlCellPr>
  </singleXmlCell>
  <singleXmlCell id="3316" xr6:uid="{C4224302-C249-4A21-98AF-B10F1F0DBACA}" r="D116" connectionId="0">
    <xmlCellPr id="1" xr6:uid="{1CB04C47-9DCD-4909-95C8-EF12CF9F1602}" uniqueName="DriverValue">
      <xmlPr mapId="7" xpath="/MAKE/AOP/AOP_Side_MDB/DUMMY_MEASUREMENTS/T12/Ay_Max/@DriverValue" xmlDataType="decimal"/>
    </xmlCellPr>
  </singleXmlCell>
  <singleXmlCell id="3317" xr6:uid="{2A45FCFA-28E9-42C7-B6F6-598F417345DA}" r="D117" connectionId="0">
    <xmlCellPr id="1" xr6:uid="{2B1222D7-4C0D-4B73-BAE0-281DDDFD82DF}" uniqueName="DriverValue">
      <xmlPr mapId="7" xpath="/MAKE/AOP/AOP_Side_MDB/DUMMY_MEASUREMENTS/T12/Ay_Min/@DriverValue" xmlDataType="decimal"/>
    </xmlCellPr>
  </singleXmlCell>
  <singleXmlCell id="3318" xr6:uid="{DF3D76F7-F88B-483E-B763-D33D2A5D7362}" r="D118" connectionId="0">
    <xmlCellPr id="1" xr6:uid="{7ED5B17D-4BC1-446B-9332-F21266D29BA6}" uniqueName="DriverValue">
      <xmlPr mapId="7" xpath="/MAKE/AOP/AOP_Side_MDB/DUMMY_MEASUREMENTS/T12/Az_Max/@DriverValue" xmlDataType="decimal"/>
    </xmlCellPr>
  </singleXmlCell>
  <singleXmlCell id="3319" xr6:uid="{08233FDC-DED4-4D71-9625-3B9D624BEA89}" r="D119" connectionId="0">
    <xmlCellPr id="1" xr6:uid="{06240FA2-733A-42B7-BA90-1920CD737D88}" uniqueName="DriverValue">
      <xmlPr mapId="7" xpath="/MAKE/AOP/AOP_Side_MDB/DUMMY_MEASUREMENTS/T12/Az_Min/@DriverValue" xmlDataType="decimal"/>
    </xmlCellPr>
  </singleXmlCell>
  <singleXmlCell id="3332" xr6:uid="{173348E1-1006-42C8-B825-1DC9BA81CDF5}" r="D121" connectionId="0">
    <xmlCellPr id="1" xr6:uid="{124809C9-E196-4304-9B0E-B594739E8F40}" uniqueName="DriverValue">
      <xmlPr mapId="7" xpath="/MAKE/AOP/AOP_Side_MDB/DUMMY_MEASUREMENTS/Pelvis/Ax_Max/@DriverValue" xmlDataType="decimal"/>
    </xmlCellPr>
  </singleXmlCell>
  <singleXmlCell id="3333" xr6:uid="{11AAD806-C349-44CA-8056-A8B93DDCF86B}" r="D122" connectionId="0">
    <xmlCellPr id="1" xr6:uid="{AC979588-20AB-4585-B1CB-43A4EB7FCB62}" uniqueName="DriverValue">
      <xmlPr mapId="7" xpath="/MAKE/AOP/AOP_Side_MDB/DUMMY_MEASUREMENTS/Pelvis/Ax_Min/@DriverValue" xmlDataType="decimal"/>
    </xmlCellPr>
  </singleXmlCell>
  <singleXmlCell id="3334" xr6:uid="{4ECA6FDD-E54A-4C2C-9F21-DB9314D55951}" r="D123" connectionId="0">
    <xmlCellPr id="1" xr6:uid="{283CBB37-9761-4A25-9A27-25D0AE4B74F2}" uniqueName="DriverValue">
      <xmlPr mapId="7" xpath="/MAKE/AOP/AOP_Side_MDB/DUMMY_MEASUREMENTS/Pelvis/Ay_Max/@DriverValue" xmlDataType="decimal"/>
    </xmlCellPr>
  </singleXmlCell>
  <singleXmlCell id="3335" xr6:uid="{367E648D-82B4-4A68-BB99-7ADE77EB78F2}" r="D124" connectionId="0">
    <xmlCellPr id="1" xr6:uid="{21B5D8EF-517F-48C4-84E5-564B2CCBC943}" uniqueName="DriverValue">
      <xmlPr mapId="7" xpath="/MAKE/AOP/AOP_Side_MDB/DUMMY_MEASUREMENTS/Pelvis/Ay_Min/@DriverValue" xmlDataType="decimal"/>
    </xmlCellPr>
  </singleXmlCell>
  <singleXmlCell id="3336" xr6:uid="{2BDC1420-12E7-4EC2-953E-956AD42334E8}" r="D125" connectionId="0">
    <xmlCellPr id="1" xr6:uid="{0F70E36C-5138-45D6-BADC-EF1DB54F4AA6}" uniqueName="DriverValue">
      <xmlPr mapId="7" xpath="/MAKE/AOP/AOP_Side_MDB/DUMMY_MEASUREMENTS/Pelvis/Az_Max/@DriverValue" xmlDataType="decimal"/>
    </xmlCellPr>
  </singleXmlCell>
  <singleXmlCell id="3337" xr6:uid="{D50A4C7B-0EAB-4EAA-98C1-37A41D6CE893}" r="D126" connectionId="0">
    <xmlCellPr id="1" xr6:uid="{5768D4C8-8A00-4551-9363-0BA6C335F19E}" uniqueName="DriverValue">
      <xmlPr mapId="7" xpath="/MAKE/AOP/AOP_Side_MDB/DUMMY_MEASUREMENTS/Pelvis/Az_Min/@DriverValue" xmlDataType="decimal"/>
    </xmlCellPr>
  </singleXmlCell>
  <singleXmlCell id="3338" xr6:uid="{E80E353B-5316-4505-A45F-293761371B7D}" r="D127" connectionId="0">
    <xmlCellPr id="1" xr6:uid="{39C099D3-BF8D-4B94-9261-D8BE4BE146F3}" uniqueName="DriverValue">
      <xmlPr mapId="7" xpath="/MAKE/AOP/AOP_Side_MDB/DUMMY_MEASUREMENTS/Pelvis/Fy_Max/@DriverValue" xmlDataType="decimal"/>
    </xmlCellPr>
  </singleXmlCell>
  <singleXmlCell id="3339" xr6:uid="{7CCAEF9C-25AF-4C5B-8792-EC59003413F1}" r="D128" connectionId="0">
    <xmlCellPr id="1" xr6:uid="{7633D554-A91E-4E4D-9A6E-88D0D6473EA3}" uniqueName="DriverValue">
      <xmlPr mapId="7" xpath="/MAKE/AOP/AOP_Side_MDB/DUMMY_MEASUREMENTS/Pelvis/Fy_Min/@DriverValue" xmlDataType="decimal"/>
    </xmlCellPr>
  </singleXmlCell>
  <singleXmlCell id="3340" xr6:uid="{5F4C5567-14D9-4DC9-BEEB-3E395C2C9AD4}" r="D130" connectionId="0">
    <xmlCellPr id="1" xr6:uid="{0065C2FD-531F-4B5F-BAFE-F4E3BD587D19}" uniqueName="DriverValue">
      <xmlPr mapId="7" xpath="/MAKE/AOP/AOP_Side_MDB/DUMMY_MEASUREMENTS/Femur_left/Fx_Max/@DriverValue" xmlDataType="decimal"/>
    </xmlCellPr>
  </singleXmlCell>
  <singleXmlCell id="3341" xr6:uid="{58FD8621-5DE2-4BC8-8F36-BC6B9F664DDB}" r="D131" connectionId="0">
    <xmlCellPr id="1" xr6:uid="{F433C65D-9866-49FB-BE9E-CEAB8F01CC58}" uniqueName="DriverValue">
      <xmlPr mapId="7" xpath="/MAKE/AOP/AOP_Side_MDB/DUMMY_MEASUREMENTS/Femur_left/Fx_Min/@DriverValue" xmlDataType="decimal"/>
    </xmlCellPr>
  </singleXmlCell>
  <singleXmlCell id="3342" xr6:uid="{AAC419CF-D6DA-4390-8EF8-7DEA50651F06}" r="D132" connectionId="0">
    <xmlCellPr id="1" xr6:uid="{0CCF5337-0D8C-440E-9BD6-C452B4763A33}" uniqueName="DriverValue">
      <xmlPr mapId="7" xpath="/MAKE/AOP/AOP_Side_MDB/DUMMY_MEASUREMENTS/Femur_left/Fy_Max/@DriverValue" xmlDataType="decimal"/>
    </xmlCellPr>
  </singleXmlCell>
  <singleXmlCell id="3343" xr6:uid="{84B7E210-74C0-4059-B8F3-CD5F08D3E9DB}" r="D133" connectionId="0">
    <xmlCellPr id="1" xr6:uid="{EE9849FC-51C8-4F55-9C88-1759049B7A90}" uniqueName="DriverValue">
      <xmlPr mapId="7" xpath="/MAKE/AOP/AOP_Side_MDB/DUMMY_MEASUREMENTS/Femur_left/Fy_Min/@DriverValue" xmlDataType="decimal"/>
    </xmlCellPr>
  </singleXmlCell>
  <singleXmlCell id="3344" xr6:uid="{EF7278AA-8A26-4EA1-8C22-CB156508A9E4}" r="D134" connectionId="0">
    <xmlCellPr id="1" xr6:uid="{43C993CD-6061-42D9-A5B3-F5D6D991E625}" uniqueName="DriverValue">
      <xmlPr mapId="7" xpath="/MAKE/AOP/AOP_Side_MDB/DUMMY_MEASUREMENTS/Femur_left/Fz_Max/@DriverValue" xmlDataType="decimal"/>
    </xmlCellPr>
  </singleXmlCell>
  <singleXmlCell id="3345" xr6:uid="{15D335FB-808C-4FED-AE49-F15F4294C87E}" r="D136" connectionId="0">
    <xmlCellPr id="1" xr6:uid="{CCAEB003-1D3F-47F8-98CA-2EA78A6AFC9D}" uniqueName="DriverValue">
      <xmlPr mapId="7" xpath="/MAKE/AOP/AOP_Side_MDB/DUMMY_MEASUREMENTS/Femur_right/Fx_Max/@DriverValue" xmlDataType="decimal"/>
    </xmlCellPr>
  </singleXmlCell>
  <singleXmlCell id="3346" xr6:uid="{0B149A79-71BC-454B-956A-59B88127330B}" r="D137" connectionId="0">
    <xmlCellPr id="1" xr6:uid="{BFCB61DB-6C6A-41F4-8FBC-B218D2AF3540}" uniqueName="DriverValue">
      <xmlPr mapId="7" xpath="/MAKE/AOP/AOP_Side_MDB/DUMMY_MEASUREMENTS/Femur_right/Fx_Min/@DriverValue" xmlDataType="decimal"/>
    </xmlCellPr>
  </singleXmlCell>
  <singleXmlCell id="3347" xr6:uid="{1495702F-25A2-4363-938C-40E57A47B132}" r="D138" connectionId="0">
    <xmlCellPr id="1" xr6:uid="{BBED02CA-19B0-4C28-8A21-1CA0883A113C}" uniqueName="DriverValue">
      <xmlPr mapId="7" xpath="/MAKE/AOP/AOP_Side_MDB/DUMMY_MEASUREMENTS/Femur_right/Fy_Max/@DriverValue" xmlDataType="decimal"/>
    </xmlCellPr>
  </singleXmlCell>
  <singleXmlCell id="3351" xr6:uid="{1C3AC19B-AD38-482F-9AB4-FC1E77439A59}" r="D140" connectionId="0">
    <xmlCellPr id="1" xr6:uid="{A91DF24B-5562-411C-9B82-874EF2BC774A}" uniqueName="DriverValue">
      <xmlPr mapId="7" xpath="/MAKE/AOP/AOP_Side_MDB/DUMMY_MEASUREMENTS/Femur_right/Fz_Max/@DriverValue" xmlDataType="decimal"/>
    </xmlCellPr>
  </singleXmlCell>
  <singleXmlCell id="3352" xr6:uid="{CE7A48BD-DDC2-4748-8214-39E39AAAA11E}" r="D139" connectionId="0">
    <xmlCellPr id="1" xr6:uid="{EAB7F26E-7F94-4FB2-BA26-3F38FF39F8B9}" uniqueName="DriverValue">
      <xmlPr mapId="7" xpath="/MAKE/AOP/AOP_Side_MDB/DUMMY_MEASUREMENTS/Femur_right/Fy_Min/@DriverValue" xmlDataType="decimal"/>
    </xmlCellPr>
  </singleXmlCell>
  <singleXmlCell id="3353" xr6:uid="{7036529A-DC27-4930-9ECC-9082224A741E}" r="D144" connectionId="0">
    <xmlCellPr id="1" xr6:uid="{C9D563FB-1250-44D8-9197-35BC0E4DA09E}" uniqueName="DriverValue">
      <xmlPr mapId="7" xpath="/MAKE/AOP/AOP_Side_MDB/VEHICLE_MEASUREMENTS/B_post/Ay_Max/@DriverValue" xmlDataType="decimal"/>
    </xmlCellPr>
  </singleXmlCell>
  <singleXmlCell id="3354" xr6:uid="{91ECF488-7886-445A-B5DC-17683F984C93}" r="D145" connectionId="0">
    <xmlCellPr id="1" xr6:uid="{8149FFF1-2DE6-439B-A39B-881C3731D574}" uniqueName="DriverValue">
      <xmlPr mapId="7" xpath="/MAKE/AOP/AOP_Side_MDB/VEHICLE_MEASUREMENTS/B_post/Ay_Min/@DriverValue" xmlDataType="decimal"/>
    </xmlCellPr>
  </singleXmlCell>
  <singleXmlCell id="3355" xr6:uid="{511801AD-0DE8-4E5F-A09A-DA744064C1D4}" r="D147" connectionId="0">
    <xmlCellPr id="1" xr6:uid="{38D5F8C4-A3DA-4517-8BEC-287AB8AFFA25}" uniqueName="DriverValue">
      <xmlPr mapId="7" xpath="/MAKE/AOP/AOP_Side_MDB/VEHICLE_MEASUREMENTS/Trolley/Ax_Max/@DriverValue" xmlDataType="decimal"/>
    </xmlCellPr>
  </singleXmlCell>
  <singleXmlCell id="3356" xr6:uid="{42E9F538-6EA5-4E82-87B9-2FA56E2A0490}" r="D148" connectionId="0">
    <xmlCellPr id="1" xr6:uid="{4671F194-D44E-461F-B5FB-0B06746833ED}" uniqueName="DriverValue">
      <xmlPr mapId="7" xpath="/MAKE/AOP/AOP_Side_MDB/VEHICLE_MEASUREMENTS/Trolley/Ax_Min/@DriverValue" xmlDataType="decimal"/>
    </xmlCellPr>
  </singleXmlCell>
  <singleXmlCell id="3357" xr6:uid="{3CBC5CED-E420-4E9E-AB86-C74CA560FAFE}" r="D152" connectionId="0">
    <xmlCellPr id="1" xr6:uid="{DACD37B3-8232-4DBE-982C-C1A57E7D8C39}" uniqueName="VIN_number">
      <xmlPr mapId="7" xpath="/MAKE/AOP/AOP_Side_MDB/TEST_DETAILS/Vehicle/VIN_number" xmlDataType="string"/>
    </xmlCellPr>
  </singleXmlCell>
  <singleXmlCell id="3358" xr6:uid="{18CD8EC7-54FB-41D3-B22C-E52352C625EE}" r="D153" connectionId="0">
    <xmlCellPr id="1" xr6:uid="{D1723085-4829-407E-BEC2-4399C1E0EE4E}" uniqueName="Test_weight_kg">
      <xmlPr mapId="7" xpath="/MAKE/AOP/AOP_Side_MDB/TEST_DETAILS/Vehicle/Test_weight_kg" xmlDataType="decimal"/>
    </xmlCellPr>
  </singleXmlCell>
  <singleXmlCell id="3359" xr6:uid="{95F90237-B228-444D-AE67-9870307D64A6}" r="D155" connectionId="0">
    <xmlCellPr id="1" xr6:uid="{53EAA9FE-B49C-4590-8F3F-E625FEF6B6CC}" uniqueName="Impact_speed_kmh">
      <xmlPr mapId="7" xpath="/MAKE/AOP/AOP_Side_MDB/TEST_DETAILS/Test/Impact_speed_kmh" xmlDataType="decimal"/>
    </xmlCellPr>
  </singleXmlCell>
  <singleXmlCell id="3360" xr6:uid="{DF9609DC-510E-4404-86FB-39039B921B75}" r="D157" connectionId="0">
    <xmlCellPr id="1" xr6:uid="{14D09A33-4087-437F-B559-E033D2745C1A}" uniqueName="Vertical">
      <xmlPr mapId="7" xpath="/MAKE/AOP/AOP_Side_MDB/TEST_DETAILS/Test/Vertical" xmlDataType="decimal"/>
    </xmlCellPr>
  </singleXmlCell>
  <singleXmlCell id="3361" xr6:uid="{66E171C3-4BA8-4FAF-8BE4-976313EB5821}" r="D158" connectionId="0">
    <xmlCellPr id="1" xr6:uid="{A6680187-1CF5-429D-A131-B02728DC5037}" uniqueName="Horizontal">
      <xmlPr mapId="7" xpath="/MAKE/AOP/AOP_Side_MDB/TEST_DETAILS/Test/Horizontal" xmlDataType="decimal"/>
    </xmlCellPr>
  </singleXmlCell>
</singleXmlCells>
</file>

<file path=xl/tables/tableSingleCells6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3362" xr6:uid="{A40B9351-8760-4F6F-BEF2-55493778026A}" r="D72" connectionId="0">
    <xmlCellPr id="1" xr6:uid="{00DA8498-2BEF-4DA0-9978-C536C8653949}" uniqueName="TOTAL_SIDE_POLE">
      <xmlPr mapId="7" xpath="/MAKE/AOP/AOP_Side_Pole/@TOTAL_SIDE_POLE" xmlDataType="decimal"/>
    </xmlCellPr>
  </singleXmlCell>
  <singleXmlCell id="3369" xr6:uid="{798C7E5C-F5BA-4E56-9775-4028F3AD83D6}" r="D6" connectionId="0">
    <xmlCellPr id="1" xr6:uid="{07C796E8-759E-45D8-BDCB-C3B961B29AC4}" uniqueName="DriverValue">
      <xmlPr mapId="7" xpath="/MAKE/AOP/AOP_Side_Pole/Head_assessment/Direct_head_contact_with_pole/@DriverValue" xmlDataType="string"/>
    </xmlCellPr>
  </singleXmlCell>
  <singleXmlCell id="3370" xr6:uid="{90308E0B-D531-4F05-8ADD-6D27C1D29971}" r="E6" connectionId="0">
    <xmlCellPr id="1" xr6:uid="{7CA83128-ACDC-4782-A351-1BD24CAE5737}" uniqueName="DriverPoints">
      <xmlPr mapId="7" xpath="/MAKE/AOP/AOP_Side_Pole/Head_assessment/Direct_head_contact_with_pole/@DriverPoints" xmlDataType="decimal"/>
    </xmlCellPr>
  </singleXmlCell>
  <singleXmlCell id="3371" xr6:uid="{D70380DF-1F36-490D-9E40-B8678E20F2EB}" r="D7" connectionId="0">
    <xmlCellPr id="1" xr6:uid="{2FEB6305-A3E5-481E-8A04-70C92CC0F73C}" uniqueName="DriverValue">
      <xmlPr mapId="7" xpath="/MAKE/AOP/AOP_Side_Pole/Head_assessment/Peak_resultant_acceleration_g/@DriverValue" xmlDataType="decimal"/>
    </xmlCellPr>
  </singleXmlCell>
  <singleXmlCell id="3372" xr6:uid="{D93CEB3C-ECAF-4C63-92B4-4D368A0E92C0}" r="E7" connectionId="0">
    <xmlCellPr id="1" xr6:uid="{81C8A809-5563-4120-A9A7-2C40C875FE82}" uniqueName="DriverPoints">
      <xmlPr mapId="7" xpath="/MAKE/AOP/AOP_Side_Pole/Head_assessment/Peak_resultant_acceleration_g/@DriverPoints" xmlDataType="decimal"/>
    </xmlCellPr>
  </singleXmlCell>
  <singleXmlCell id="3373" xr6:uid="{35BF6C4D-FC26-4AFB-8BC5-4C8F2E8CC0D2}" r="D8" connectionId="0">
    <xmlCellPr id="1" xr6:uid="{02FE5C63-AC85-484E-8BAB-7CE92E09DD0A}" uniqueName="DriverValue">
      <xmlPr mapId="7" xpath="/MAKE/AOP/AOP_Side_Pole/Head_assessment/HIC15/@DriverValue" xmlDataType="decimal"/>
    </xmlCellPr>
  </singleXmlCell>
  <singleXmlCell id="3374" xr6:uid="{19E6F605-B4D5-4967-8F40-6D6A0A18D37A}" r="E8" connectionId="0">
    <xmlCellPr id="1" xr6:uid="{207CFCF0-3BFF-4C95-B720-1857CBFBDA2A}" uniqueName="DriverPoints">
      <xmlPr mapId="7" xpath="/MAKE/AOP/AOP_Side_Pole/Head_assessment/HIC15/@DriverPoints" xmlDataType="decimal"/>
    </xmlCellPr>
  </singleXmlCell>
  <singleXmlCell id="3377" xr6:uid="{6F223383-2C2B-4C81-9623-5D7D7CD27C5E}" r="E10" connectionId="0">
    <xmlCellPr id="1" xr6:uid="{B43BAEB5-499F-44A6-91DC-B2B4C5F87380}" uniqueName="Incorrect_airbag_deployment_modifier">
      <xmlPr mapId="7" xpath="/MAKE/AOP/AOP_Side_Pole/Head_assessment/Incorrect_airbag_deployment_modifier" xmlDataType="decimal"/>
    </xmlCellPr>
  </singleXmlCell>
  <singleXmlCell id="3378" xr6:uid="{E0129D24-447A-4407-B07B-5287E56D0614}" r="D9" connectionId="0">
    <xmlCellPr id="1" xr6:uid="{8509A16D-D276-4517-9070-E33720238927}" uniqueName="DriverValue">
      <xmlPr mapId="7" xpath="/MAKE/AOP/AOP_Side_Pole/Head_assessment/Resultant_Acc_3_msec_exeedence_g/@DriverValue" xmlDataType="decimal"/>
    </xmlCellPr>
  </singleXmlCell>
  <singleXmlCell id="3379" xr6:uid="{B5AB2094-D461-4D29-BEAE-0B3D3C8796CA}" r="D26" connectionId="0">
    <xmlCellPr id="1" xr6:uid="{1B8A5DFC-22B5-4AF6-9126-A334AFCC92F1}" uniqueName="DriverPoints">
      <xmlPr mapId="7" xpath="/MAKE/AOP/AOP_Side_Pole/Chest_assessment/@DriverPoints" xmlDataType="decimal"/>
    </xmlCellPr>
  </singleXmlCell>
  <singleXmlCell id="3380" xr6:uid="{A824AD6C-6A55-4771-8955-7CAE1BF2FDF0}" r="E19" connectionId="0">
    <xmlCellPr id="1" xr6:uid="{DAC35415-4491-4B15-9F4D-EDA46DC85962}" uniqueName="DriverPoints">
      <xmlPr mapId="7" xpath="/MAKE/AOP/AOP_Side_Pole/Chest_assessment/Other/Shoulder_Force_modifier/@DriverPoints" xmlDataType="decimal"/>
    </xmlCellPr>
  </singleXmlCell>
  <singleXmlCell id="3381" xr6:uid="{0B194D25-49D9-4DD0-96CD-FAE707AEAB59}" r="D20" connectionId="0">
    <xmlCellPr id="1" xr6:uid="{317A6AB6-CCBC-470D-8F3B-4B24D358ED20}" uniqueName="DriverValue">
      <xmlPr mapId="7" xpath="/MAKE/AOP/AOP_Side_Pole/Chest_assessment/Other/Shoulder_Force_modifier/Shoulder_Fy_kN/@DriverValue" xmlDataType="decimal"/>
    </xmlCellPr>
  </singleXmlCell>
  <singleXmlCell id="3382" xr6:uid="{800348B5-8A0B-4FB3-8E27-8791584C217D}" r="E21" connectionId="0">
    <xmlCellPr id="1" xr6:uid="{30C5E49C-F107-458A-8785-976912380372}" uniqueName="DriverPoints">
      <xmlPr mapId="7" xpath="/MAKE/AOP/AOP_Side_Pole/Chest_assessment/Other/Viscous_Criterion_modifier/@DriverPoints" xmlDataType="decimal"/>
    </xmlCellPr>
  </singleXmlCell>
  <singleXmlCell id="3383" xr6:uid="{9D54AAB7-6A5E-4612-B124-0B930DF28642}" r="D22" connectionId="0">
    <xmlCellPr id="1" xr6:uid="{BD7E3112-E1FA-4068-8E69-CFBADBA9AA92}" uniqueName="Top_rib_Viscous_Criterion_ms">
      <xmlPr mapId="7" xpath="/MAKE/AOP/AOP_Side_Pole/Chest_assessment/Other/Viscous_Criterion_modifier/Top_rib_Viscous_Criterion_ms" xmlDataType="decimal"/>
    </xmlCellPr>
  </singleXmlCell>
  <singleXmlCell id="3384" xr6:uid="{313CEFE2-BE00-4B3C-9AFD-CC5D85FCB536}" r="D23" connectionId="0">
    <xmlCellPr id="1" xr6:uid="{FFD3FEED-8885-4DCE-95C8-8AA3BF079FF1}" uniqueName="Middle_rib_Viscous_Criterion_ms">
      <xmlPr mapId="7" xpath="/MAKE/AOP/AOP_Side_Pole/Chest_assessment/Other/Viscous_Criterion_modifier/Middle_rib_Viscous_Criterion_ms" xmlDataType="decimal"/>
    </xmlCellPr>
  </singleXmlCell>
  <singleXmlCell id="3385" xr6:uid="{308EAB89-2561-444B-9501-B44B3D30834B}" r="D24" connectionId="0">
    <xmlCellPr id="1" xr6:uid="{7E95656F-8149-44B1-99DD-6BCB947B8AF6}" uniqueName="Bottom_rib_Viscous_Criterion_ms">
      <xmlPr mapId="7" xpath="/MAKE/AOP/AOP_Side_Pole/Chest_assessment/Other/Viscous_Criterion_modifier/Bottom_rib_Viscous_Criterion_ms" xmlDataType="decimal"/>
    </xmlCellPr>
  </singleXmlCell>
  <singleXmlCell id="3386" xr6:uid="{0E52550E-BF23-4CBA-AE0F-AAE508E54BD8}" r="E25" connectionId="0">
    <xmlCellPr id="1" xr6:uid="{940512DF-18CB-401C-AD3D-DF5680B295F8}" uniqueName="DriverPoints">
      <xmlPr mapId="7" xpath="/MAKE/AOP/AOP_Side_Pole/Chest_assessment/Other/Incorrect_airbag_deployment_modifier/@DriverPoints" xmlDataType="decimal"/>
    </xmlCellPr>
  </singleXmlCell>
  <singleXmlCell id="3387" xr6:uid="{9134E20B-4ADD-40AC-A6B3-66A34152368D}" r="E18" connectionId="0">
    <xmlCellPr id="1" xr6:uid="{DF506F19-D91B-4017-8CE5-4093E1351C10}" uniqueName="DriverPoints">
      <xmlPr mapId="7" xpath="/MAKE/AOP/AOP_Side_Pole/Chest_assessment/Chest_rib_assessment/@DriverPoints" xmlDataType="decimal"/>
    </xmlCellPr>
  </singleXmlCell>
  <singleXmlCell id="3388" xr6:uid="{8DCA668F-4839-47D3-9D91-E61E6997A842}" r="D15" connectionId="0">
    <xmlCellPr id="1" xr6:uid="{D00BD377-3310-4513-9090-0CFC120B164A}" uniqueName="DriverValue">
      <xmlPr mapId="7" xpath="/MAKE/AOP/AOP_Side_Pole/Chest_assessment/Chest_rib_assessment/Lateral_compression_mm/Top/@DriverValue" xmlDataType="decimal"/>
    </xmlCellPr>
  </singleXmlCell>
  <singleXmlCell id="3389" xr6:uid="{B4B084A7-1D97-463E-8470-5615022CB098}" r="E15" connectionId="0">
    <xmlCellPr id="1" xr6:uid="{FD0578F0-F64F-4E32-A0FE-20520F044B67}" uniqueName="DriverPoints">
      <xmlPr mapId="7" xpath="/MAKE/AOP/AOP_Side_Pole/Chest_assessment/Chest_rib_assessment/Lateral_compression_mm/Top/@DriverPoints" xmlDataType="decimal"/>
    </xmlCellPr>
  </singleXmlCell>
  <singleXmlCell id="3390" xr6:uid="{070FE39D-D64D-4832-95CC-57A7C2E16DC5}" r="D16" connectionId="0">
    <xmlCellPr id="1" xr6:uid="{53F57C56-73BB-471A-A63B-C85B8544CED0}" uniqueName="DriverValue">
      <xmlPr mapId="7" xpath="/MAKE/AOP/AOP_Side_Pole/Chest_assessment/Chest_rib_assessment/Lateral_compression_mm/Middle/@DriverValue" xmlDataType="decimal"/>
    </xmlCellPr>
  </singleXmlCell>
  <singleXmlCell id="3391" xr6:uid="{ADA347A9-BA9E-443A-B658-D3490DD1A52B}" r="E16" connectionId="0">
    <xmlCellPr id="1" xr6:uid="{17955557-9FE2-4515-9455-63B9240159DB}" uniqueName="DriverPoints">
      <xmlPr mapId="7" xpath="/MAKE/AOP/AOP_Side_Pole/Chest_assessment/Chest_rib_assessment/Lateral_compression_mm/Middle/@DriverPoints" xmlDataType="decimal"/>
    </xmlCellPr>
  </singleXmlCell>
  <singleXmlCell id="3392" xr6:uid="{9FEA069D-520E-42DD-850D-C8B7D35607A0}" r="D17" connectionId="0">
    <xmlCellPr id="1" xr6:uid="{DB454071-138B-41BE-B739-BC48CCE4BDAC}" uniqueName="DriverValue">
      <xmlPr mapId="7" xpath="/MAKE/AOP/AOP_Side_Pole/Chest_assessment/Chest_rib_assessment/Lateral_compression_mm/Bottom/@DriverValue" xmlDataType="decimal"/>
    </xmlCellPr>
  </singleXmlCell>
  <singleXmlCell id="3393" xr6:uid="{7F54BBC2-8C3E-4245-ABD6-6C5C6C780B46}" r="E17" connectionId="0">
    <xmlCellPr id="1" xr6:uid="{4D33F3EC-3EAE-438D-A030-970364086BD9}" uniqueName="DriverPoints">
      <xmlPr mapId="7" xpath="/MAKE/AOP/AOP_Side_Pole/Chest_assessment/Chest_rib_assessment/Lateral_compression_mm/Bottom/@DriverPoints" xmlDataType="decimal"/>
    </xmlCellPr>
  </singleXmlCell>
  <singleXmlCell id="3394" xr6:uid="{EDF3E656-1949-4719-AE10-20F9DFD66B63}" r="D37" connectionId="0">
    <xmlCellPr id="1" xr6:uid="{2B607294-557F-4613-BD17-523F6E77742E}" uniqueName="DriverPoints">
      <xmlPr mapId="7" xpath="/MAKE/AOP/AOP_Side_Pole/Abdomen_assessment/@DriverPoints" xmlDataType="decimal"/>
    </xmlCellPr>
  </singleXmlCell>
  <singleXmlCell id="3395" xr6:uid="{6E8B4D2E-5532-4167-AD5E-9648255C09FA}" r="E32" connectionId="0">
    <xmlCellPr id="1" xr6:uid="{4D88D5D4-997E-44D4-8683-FAB5665244B2}" uniqueName="DriverPoints">
      <xmlPr mapId="7" xpath="/MAKE/AOP/AOP_Side_Pole/Abdomen_assessment/Abdomen_rib_assessment/@DriverPoints" xmlDataType="decimal"/>
    </xmlCellPr>
  </singleXmlCell>
  <singleXmlCell id="3396" xr6:uid="{EC3D809D-8E91-49DC-9088-62FDAD146E6B}" r="D30" connectionId="0">
    <xmlCellPr id="1" xr6:uid="{72A2709C-AEE7-4244-993C-2AF4371D7D8C}" uniqueName="DriverValue">
      <xmlPr mapId="7" xpath="/MAKE/AOP/AOP_Side_Pole/Abdomen_assessment/Abdomen_rib_assessment/Lateral_compression_mm/Top/@DriverValue" xmlDataType="decimal"/>
    </xmlCellPr>
  </singleXmlCell>
  <singleXmlCell id="3397" xr6:uid="{931ADC54-2AE5-4FD0-8721-40CEF858849B}" r="E30" connectionId="0">
    <xmlCellPr id="1" xr6:uid="{74792A1E-8F27-48E4-9D99-3EB922165DBD}" uniqueName="DriverPoints">
      <xmlPr mapId="7" xpath="/MAKE/AOP/AOP_Side_Pole/Abdomen_assessment/Abdomen_rib_assessment/Lateral_compression_mm/Top/@DriverPoints" xmlDataType="decimal"/>
    </xmlCellPr>
  </singleXmlCell>
  <singleXmlCell id="3398" xr6:uid="{77A5C6F4-E48A-435F-AFEC-9CB6FD2C0BFD}" r="D31" connectionId="0">
    <xmlCellPr id="1" xr6:uid="{7483B7A9-72FD-45B3-AEA8-E1797AD4BA19}" uniqueName="DriverValue">
      <xmlPr mapId="7" xpath="/MAKE/AOP/AOP_Side_Pole/Abdomen_assessment/Abdomen_rib_assessment/Lateral_compression_mm/Bottom/@DriverValue" xmlDataType="decimal"/>
    </xmlCellPr>
  </singleXmlCell>
  <singleXmlCell id="3399" xr6:uid="{0D99179A-561B-401B-BC37-E89BB4D8E29E}" r="E31" connectionId="0">
    <xmlCellPr id="1" xr6:uid="{05906740-F5B1-45B9-9E6D-AAAE443DB4F7}" uniqueName="DriverPoints">
      <xmlPr mapId="7" xpath="/MAKE/AOP/AOP_Side_Pole/Abdomen_assessment/Abdomen_rib_assessment/Lateral_compression_mm/Bottom/@DriverPoints" xmlDataType="decimal"/>
    </xmlCellPr>
  </singleXmlCell>
  <singleXmlCell id="3400" xr6:uid="{00C96969-A54A-4F86-AB98-F33304E1B7F7}" r="E33" connectionId="0">
    <xmlCellPr id="1" xr6:uid="{515E09B2-7474-4859-80F6-8129B258665E}" uniqueName="DriverPoints">
      <xmlPr mapId="7" xpath="/MAKE/AOP/AOP_Side_Pole/Abdomen_assessment/Other/Viscous_Criterion_modifier/@DriverPoints" xmlDataType="decimal"/>
    </xmlCellPr>
  </singleXmlCell>
  <singleXmlCell id="3401" xr6:uid="{F1A4342E-DAB4-4924-8552-BFE8455942CA}" r="D34" connectionId="0">
    <xmlCellPr id="1" xr6:uid="{A1044C57-AEDF-4843-B755-F8401CE19403}" uniqueName="DriverValue">
      <xmlPr mapId="7" xpath="/MAKE/AOP/AOP_Side_Pole/Abdomen_assessment/Other/Viscous_Criterion_modifier/Top_rib_Viscous_Criterion_ms/@DriverValue" xmlDataType="decimal"/>
    </xmlCellPr>
  </singleXmlCell>
  <singleXmlCell id="3402" xr6:uid="{D71AC9EA-0580-4178-BD96-564DF16D3F88}" r="D35" connectionId="0">
    <xmlCellPr id="1" xr6:uid="{A2B6C4B0-0C0C-47D0-B620-F6AC4BF13605}" uniqueName="DriverValue">
      <xmlPr mapId="7" xpath="/MAKE/AOP/AOP_Side_Pole/Abdomen_assessment/Other/Viscous_Criterion_modifier/Bottom_rib_Viscous_Criterion_ms/@DriverValue" xmlDataType="decimal"/>
    </xmlCellPr>
  </singleXmlCell>
  <singleXmlCell id="3403" xr6:uid="{9C5A299A-1141-45CD-B9B5-6C08A43EA4EA}" r="E36" connectionId="0">
    <xmlCellPr id="1" xr6:uid="{635C6763-E6FA-4563-9ED8-0AF875BB8411}" uniqueName="Incorrect_airbag_deployment_modifier">
      <xmlPr mapId="7" xpath="/MAKE/AOP/AOP_Side_Pole/Abdomen_assessment/Other/Incorrect_airbag_deployment_modifier" xmlDataType="integer"/>
    </xmlCellPr>
  </singleXmlCell>
  <singleXmlCell id="3404" xr6:uid="{769AE244-7709-4741-B940-32B5724CD989}" r="D42" connectionId="0">
    <xmlCellPr id="1" xr6:uid="{57957D4C-AF32-42D8-AA6C-C75A708A347C}" uniqueName="DriverPoints">
      <xmlPr mapId="7" xpath="/MAKE/AOP/AOP_Side_Pole/Pelvis_assessment/@DriverPoints" xmlDataType="decimal"/>
    </xmlCellPr>
  </singleXmlCell>
  <singleXmlCell id="3405" xr6:uid="{ED9D5F47-16E7-4BD2-9463-1E172B7A6D1D}" r="D40" connectionId="0">
    <xmlCellPr id="1" xr6:uid="{5390E252-749F-4641-AFDF-1318173F7A2E}" uniqueName="DriverValue">
      <xmlPr mapId="7" xpath="/MAKE/AOP/AOP_Side_Pole/Pelvis_assessment/Pubic_Symphysis_force_kN/@DriverValue" xmlDataType="decimal"/>
    </xmlCellPr>
  </singleXmlCell>
  <singleXmlCell id="3406" xr6:uid="{83943230-C78A-4104-8F9B-395C466B9F48}" r="E40" connectionId="0">
    <xmlCellPr id="1" xr6:uid="{2B4D5F2D-CB78-450A-9A83-77C9742CBB8C}" uniqueName="DriverPoints">
      <xmlPr mapId="7" xpath="/MAKE/AOP/AOP_Side_Pole/Pelvis_assessment/Pubic_Symphysis_force_kN/@DriverPoints" xmlDataType="decimal"/>
    </xmlCellPr>
  </singleXmlCell>
  <singleXmlCell id="3407" xr6:uid="{9BF47048-F6AE-4CA2-939C-AC6AE9DB6BF8}" r="E41" connectionId="0">
    <xmlCellPr id="1" xr6:uid="{E9384B57-C03C-43BB-83A4-5BB81664BC6F}" uniqueName="Incorrect_airbag_deployment_modifier">
      <xmlPr mapId="7" xpath="/MAKE/AOP/AOP_Side_Pole/Pelvis_assessment/Incorrect_airbag_deployment_modifier" xmlDataType="integer"/>
    </xmlCellPr>
  </singleXmlCell>
  <singleXmlCell id="3408" xr6:uid="{AE2188B3-ECC0-4935-A166-D683F15301A0}" r="D45" connectionId="0">
    <xmlCellPr id="1" xr6:uid="{C1CD32E1-68A8-4466-AB41-EAB2D4822329}" uniqueName="DriverPoints">
      <xmlPr mapId="7" xpath="/MAKE/AOP/AOP_Side_Pole/SUMMARY/Head_assessment/@DriverPoints" xmlDataType="decimal"/>
    </xmlCellPr>
  </singleXmlCell>
  <singleXmlCell id="3409" xr6:uid="{C9C85595-C0C0-4F2B-A1E4-8756A21131E3}" r="D46" connectionId="0">
    <xmlCellPr id="1" xr6:uid="{1F96BC5E-CC12-4701-8932-D0E0ED7ED3A3}" uniqueName="DriverPoints">
      <xmlPr mapId="7" xpath="/MAKE/AOP/AOP_Side_Pole/SUMMARY/Chest_assessment/@DriverPoints" xmlDataType="decimal"/>
    </xmlCellPr>
  </singleXmlCell>
  <singleXmlCell id="3410" xr6:uid="{02B559F8-4438-4615-9B7F-120FD9AAE74A}" r="D47" connectionId="0">
    <xmlCellPr id="1" xr6:uid="{28722947-ECEE-451C-A61E-3D89CA8E1064}" uniqueName="DriverPoints">
      <xmlPr mapId="7" xpath="/MAKE/AOP/AOP_Side_Pole/SUMMARY/Abdomen_assessment/@DriverPoints" xmlDataType="decimal"/>
    </xmlCellPr>
  </singleXmlCell>
  <singleXmlCell id="3411" xr6:uid="{AE7590A7-01DB-4D68-86DD-D051196B18D1}" r="D48" connectionId="0">
    <xmlCellPr id="1" xr6:uid="{1FE5AAB5-703D-4DF1-B757-7DB5A2CB13AC}" uniqueName="DriverPoints">
      <xmlPr mapId="7" xpath="/MAKE/AOP/AOP_Side_Pole/SUMMARY/Pelvis_assessment/@DriverPoints" xmlDataType="decimal"/>
    </xmlCellPr>
  </singleXmlCell>
  <singleXmlCell id="3412" xr6:uid="{53AFB725-73A7-41C6-ACA7-9C2B93B43250}" r="D49" connectionId="0">
    <xmlCellPr id="1" xr6:uid="{CB35392B-F39E-4203-AB73-D12A6C509139}" uniqueName="TOTAL">
      <xmlPr mapId="7" xpath="/MAKE/AOP/AOP_Side_Pole/TOTAL" xmlDataType="decimal"/>
    </xmlCellPr>
  </singleXmlCell>
  <singleXmlCell id="3413" xr6:uid="{E6489E23-2C3C-4D89-8E49-FF66537C582C}" r="D70" connectionId="0">
    <xmlCellPr id="1" xr6:uid="{83B42026-5D71-47D7-BDBB-BDF6B3FE48BF}" uniqueName="Door_Opening">
      <xmlPr mapId="7" xpath="/MAKE/AOP/AOP_Side_Pole/Door_Opening" xmlDataType="decimal"/>
    </xmlCellPr>
  </singleXmlCell>
  <singleXmlCell id="3414" xr6:uid="{99A5DB4F-867E-4685-AF70-EA32665AA610}" r="D80" connectionId="0">
    <xmlCellPr id="1" xr6:uid="{26EC420C-16DA-465F-AF80-4510FF57BCBB}" uniqueName="DriverValue">
      <xmlPr mapId="7" xpath="/MAKE/AOP/AOP_Side_Pole/DUMMY_MEASUREMENTS/Head/Ax_Max/@DriverValue" xmlDataType="decimal"/>
    </xmlCellPr>
  </singleXmlCell>
  <singleXmlCell id="3415" xr6:uid="{81ABE1EC-6A32-42BC-83D3-BF667682FB16}" r="D81" connectionId="0">
    <xmlCellPr id="1" xr6:uid="{BEE255D1-3979-4073-83C0-B2956C16FDDD}" uniqueName="DriverValue">
      <xmlPr mapId="7" xpath="/MAKE/AOP/AOP_Side_Pole/DUMMY_MEASUREMENTS/Head/Ax_Min/@DriverValue" xmlDataType="decimal"/>
    </xmlCellPr>
  </singleXmlCell>
  <singleXmlCell id="3416" xr6:uid="{494E3656-B023-4768-976F-CF0C2B8115D3}" r="D82" connectionId="0">
    <xmlCellPr id="1" xr6:uid="{9ECE12AD-FBAC-41A9-BF15-8E2184B153B9}" uniqueName="DriverValue">
      <xmlPr mapId="7" xpath="/MAKE/AOP/AOP_Side_Pole/DUMMY_MEASUREMENTS/Head/Ay_Max/@DriverValue" xmlDataType="decimal"/>
    </xmlCellPr>
  </singleXmlCell>
  <singleXmlCell id="3417" xr6:uid="{BC425916-8E81-4607-B1CC-46EE593D230C}" r="D83" connectionId="0">
    <xmlCellPr id="1" xr6:uid="{216B720F-952D-4F28-A135-352F5FF02C47}" uniqueName="DriverValue">
      <xmlPr mapId="7" xpath="/MAKE/AOP/AOP_Side_Pole/DUMMY_MEASUREMENTS/Head/Ay_Min/@DriverValue" xmlDataType="decimal"/>
    </xmlCellPr>
  </singleXmlCell>
  <singleXmlCell id="3418" xr6:uid="{9223CB72-5E2A-4F35-8F43-0ECD9518BBF2}" r="D84" connectionId="0">
    <xmlCellPr id="1" xr6:uid="{836F1A30-E658-4043-8CAC-B9469F941549}" uniqueName="DriverValue">
      <xmlPr mapId="7" xpath="/MAKE/AOP/AOP_Side_Pole/DUMMY_MEASUREMENTS/Head/Az_Max/@DriverValue" xmlDataType="decimal"/>
    </xmlCellPr>
  </singleXmlCell>
  <singleXmlCell id="3419" xr6:uid="{745A1DB0-D4DB-4E6D-B5BF-F0AEC64C0B22}" r="D85" connectionId="0">
    <xmlCellPr id="1" xr6:uid="{05437740-1441-4D9C-80D0-436F1925ACF1}" uniqueName="DriverValue">
      <xmlPr mapId="7" xpath="/MAKE/AOP/AOP_Side_Pole/DUMMY_MEASUREMENTS/Head/Az_Min/@DriverValue" xmlDataType="decimal"/>
    </xmlCellPr>
  </singleXmlCell>
  <singleXmlCell id="3420" xr6:uid="{9C7450A2-5FCB-4AB4-A1DC-7A3DAE445111}" r="D87" connectionId="0">
    <xmlCellPr id="1" xr6:uid="{4E0C1BC6-D550-465D-B089-D3F17EB402E8}" uniqueName="DriverValue">
      <xmlPr mapId="7" xpath="/MAKE/AOP/AOP_Side_Pole/DUMMY_MEASUREMENTS/Neck/Fx_Max/@DriverValue" xmlDataType="decimal"/>
    </xmlCellPr>
  </singleXmlCell>
  <singleXmlCell id="3421" xr6:uid="{F9EF7C2A-DC14-46C3-AC9F-806C70799214}" r="D88" connectionId="0">
    <xmlCellPr id="1" xr6:uid="{88377B4E-B183-466A-9EBF-74721C1BAB5A}" uniqueName="DriverValue">
      <xmlPr mapId="7" xpath="/MAKE/AOP/AOP_Side_Pole/DUMMY_MEASUREMENTS/Neck/Fx_Min/@DriverValue" xmlDataType="decimal"/>
    </xmlCellPr>
  </singleXmlCell>
  <singleXmlCell id="3422" xr6:uid="{9E0B9341-C3AD-4FD7-950A-BD56887983F4}" r="D89" connectionId="0">
    <xmlCellPr id="1" xr6:uid="{D694041A-A5F6-473D-A102-516B682FA309}" uniqueName="DriverValue">
      <xmlPr mapId="7" xpath="/MAKE/AOP/AOP_Side_Pole/DUMMY_MEASUREMENTS/Neck/Fy_Max/@DriverValue" xmlDataType="decimal"/>
    </xmlCellPr>
  </singleXmlCell>
  <singleXmlCell id="3423" xr6:uid="{641D3E16-F17F-41E6-A93B-3690748DAABD}" r="D90" connectionId="0">
    <xmlCellPr id="1" xr6:uid="{BCC43029-E8DE-4A89-8075-FD2117D35EE6}" uniqueName="DriverValue">
      <xmlPr mapId="7" xpath="/MAKE/AOP/AOP_Side_Pole/DUMMY_MEASUREMENTS/Neck/Fy_Min/@DriverValue" xmlDataType="decimal"/>
    </xmlCellPr>
  </singleXmlCell>
  <singleXmlCell id="3424" xr6:uid="{257E22CA-1A13-44D8-8DAC-699CD78BFBD9}" r="D91" connectionId="0">
    <xmlCellPr id="1" xr6:uid="{01D2A4BC-71E3-4608-B576-F2297DCE389D}" uniqueName="DriverValue">
      <xmlPr mapId="7" xpath="/MAKE/AOP/AOP_Side_Pole/DUMMY_MEASUREMENTS/Neck/Fz_Max/@DriverValue" xmlDataType="decimal"/>
    </xmlCellPr>
  </singleXmlCell>
  <singleXmlCell id="3425" xr6:uid="{8B117A18-BC21-4BE2-89B4-BB226813F606}" r="D92" connectionId="0">
    <xmlCellPr id="1" xr6:uid="{4B2DC209-C948-4688-A37B-1738E5F1A291}" uniqueName="DriverValue">
      <xmlPr mapId="7" xpath="/MAKE/AOP/AOP_Side_Pole/DUMMY_MEASUREMENTS/Neck/Fz_Min/@DriverValue" xmlDataType="decimal"/>
    </xmlCellPr>
  </singleXmlCell>
  <singleXmlCell id="3426" xr6:uid="{073BD9D3-6C8D-4632-A422-DBB04CE4B61A}" r="D93" connectionId="0">
    <xmlCellPr id="1" xr6:uid="{48EC411C-82A3-45A3-AB36-0957F4CCC4E7}" uniqueName="DriverValue">
      <xmlPr mapId="7" xpath="/MAKE/AOP/AOP_Side_Pole/DUMMY_MEASUREMENTS/Neck/Mx_Max/@DriverValue" xmlDataType="decimal"/>
    </xmlCellPr>
  </singleXmlCell>
  <singleXmlCell id="3427" xr6:uid="{6EB0EBDB-9FB0-4274-8EE2-B0AAE7B97DAA}" r="D94" connectionId="0">
    <xmlCellPr id="1" xr6:uid="{343EC3F2-B2AE-44E1-9F1D-5D845ED54604}" uniqueName="DriverValue">
      <xmlPr mapId="7" xpath="/MAKE/AOP/AOP_Side_Pole/DUMMY_MEASUREMENTS/Neck/Mx_Min/@DriverValue" xmlDataType="decimal"/>
    </xmlCellPr>
  </singleXmlCell>
  <singleXmlCell id="3428" xr6:uid="{7EE2F2B7-AA71-4745-8517-E448A2688062}" r="D95" connectionId="0">
    <xmlCellPr id="1" xr6:uid="{A0DCBCF7-9880-4DAE-BFD0-B58905135397}" uniqueName="DriverValue">
      <xmlPr mapId="7" xpath="/MAKE/AOP/AOP_Side_Pole/DUMMY_MEASUREMENTS/Neck/My_Max/@DriverValue" xmlDataType="decimal"/>
    </xmlCellPr>
  </singleXmlCell>
  <singleXmlCell id="3429" xr6:uid="{0E603FA1-BA46-4271-8A26-9B78ED4EBA35}" r="D96" connectionId="0">
    <xmlCellPr id="1" xr6:uid="{B5DE5EFF-E164-4D9F-BF22-58148A83167F}" uniqueName="DriverValue">
      <xmlPr mapId="7" xpath="/MAKE/AOP/AOP_Side_Pole/DUMMY_MEASUREMENTS/Neck/My_Min/@DriverValue" xmlDataType="decimal"/>
    </xmlCellPr>
  </singleXmlCell>
  <singleXmlCell id="3432" xr6:uid="{83B52D81-6D95-4F6F-9BF7-DE4ADEB64A45}" r="D97" connectionId="0">
    <xmlCellPr id="1" xr6:uid="{27ABC22C-350F-48BB-B3F3-FDE6F3E19A76}" uniqueName="DriverValue">
      <xmlPr mapId="7" xpath="/MAKE/AOP/AOP_Side_Pole/DUMMY_MEASUREMENTS/Neck/Mz_Max/@DriverValue" xmlDataType="decimal"/>
    </xmlCellPr>
  </singleXmlCell>
  <singleXmlCell id="3433" xr6:uid="{7DC1A392-5CD3-48F9-AB11-ACCC8E945952}" r="D98" connectionId="0">
    <xmlCellPr id="1" xr6:uid="{5C69EE09-846F-49B7-8C02-AC7B48775C1E}" uniqueName="DriverValue">
      <xmlPr mapId="7" xpath="/MAKE/AOP/AOP_Side_Pole/DUMMY_MEASUREMENTS/Neck/Mz_Min/@DriverValue" xmlDataType="decimal"/>
    </xmlCellPr>
  </singleXmlCell>
  <singleXmlCell id="3435" xr6:uid="{52916115-5C4D-4CF3-B729-16F42E1E8531}" r="D100" connectionId="0">
    <xmlCellPr id="1" xr6:uid="{FBCC6D1E-EE94-4AC1-A4EE-F650EB0D51F2}" uniqueName="DriverValue">
      <xmlPr mapId="7" xpath="/MAKE/AOP/AOP_Side_Pole/DUMMY_MEASUREMENTS/Shoulder/Fx_Max/@DriverValue" xmlDataType="decimal"/>
    </xmlCellPr>
  </singleXmlCell>
  <singleXmlCell id="3436" xr6:uid="{6B2E9158-DD68-44E2-8322-5B412F524183}" r="D101" connectionId="0">
    <xmlCellPr id="1" xr6:uid="{6BAFCBC0-76BC-4CB3-A675-E4E46F0DE3EF}" uniqueName="DriverValue">
      <xmlPr mapId="7" xpath="/MAKE/AOP/AOP_Side_Pole/DUMMY_MEASUREMENTS/Shoulder/Fx_Min/@DriverValue" xmlDataType="decimal"/>
    </xmlCellPr>
  </singleXmlCell>
  <singleXmlCell id="3437" xr6:uid="{C8425097-7E37-4A31-9CCB-BF2DB4290489}" r="D102" connectionId="0">
    <xmlCellPr id="1" xr6:uid="{5B40DC5D-ACB9-40B4-98F6-E5360A193FAC}" uniqueName="DriverValue">
      <xmlPr mapId="7" xpath="/MAKE/AOP/AOP_Side_Pole/DUMMY_MEASUREMENTS/Shoulder/Fy_Max/@DriverValue" xmlDataType="decimal"/>
    </xmlCellPr>
  </singleXmlCell>
  <singleXmlCell id="3438" xr6:uid="{76D377FF-DD24-45AC-9F96-0FE069D9553A}" r="D103" connectionId="0">
    <xmlCellPr id="1" xr6:uid="{27EA022E-3DF4-4FAE-A132-04A940A56558}" uniqueName="DriverValue">
      <xmlPr mapId="7" xpath="/MAKE/AOP/AOP_Side_Pole/DUMMY_MEASUREMENTS/Shoulder/Fy_Min/@DriverValue" xmlDataType="decimal"/>
    </xmlCellPr>
  </singleXmlCell>
  <singleXmlCell id="3439" xr6:uid="{873AD4FF-A091-484D-9B90-05414151FDF7}" r="D104" connectionId="0">
    <xmlCellPr id="1" xr6:uid="{3CAF910F-EE08-4B2C-AABC-043660D23289}" uniqueName="DriverValue">
      <xmlPr mapId="7" xpath="/MAKE/AOP/AOP_Side_Pole/DUMMY_MEASUREMENTS/Shoulder/Fz_Max/@DriverValue" xmlDataType="decimal"/>
    </xmlCellPr>
  </singleXmlCell>
  <singleXmlCell id="3440" xr6:uid="{DE441B13-6891-4700-95E7-43FB0DFA72FA}" r="D105" connectionId="0">
    <xmlCellPr id="1" xr6:uid="{4E7CC51C-CF5E-42D6-A287-BBEDF8C47893}" uniqueName="DriverValue">
      <xmlPr mapId="7" xpath="/MAKE/AOP/AOP_Side_Pole/DUMMY_MEASUREMENTS/Shoulder/Fz_Min/@DriverValue" xmlDataType="decimal"/>
    </xmlCellPr>
  </singleXmlCell>
  <singleXmlCell id="3441" xr6:uid="{7C585634-88E4-47CD-8F69-9EB55AD0A834}" r="D106" connectionId="0">
    <xmlCellPr id="1" xr6:uid="{487795CE-44BD-482B-BD69-C073818DD52D}" uniqueName="DriverValue">
      <xmlPr mapId="7" xpath="/MAKE/AOP/AOP_Side_Pole/DUMMY_MEASUREMENTS/Shoulder/D_Max/@DriverValue" xmlDataType="decimal"/>
    </xmlCellPr>
  </singleXmlCell>
  <singleXmlCell id="3442" xr6:uid="{9D0BF8D6-D821-438F-954A-72597FF0BF75}" r="D107" connectionId="0">
    <xmlCellPr id="1" xr6:uid="{0B78128C-E729-48DE-9260-866981E6C7DA}" uniqueName="DriverValue">
      <xmlPr mapId="7" xpath="/MAKE/AOP/AOP_Side_Pole/DUMMY_MEASUREMENTS/Shoulder/D_Min/@DriverValue" xmlDataType="decimal"/>
    </xmlCellPr>
  </singleXmlCell>
  <singleXmlCell id="3443" xr6:uid="{0F83BDC3-DB36-4F02-9A37-5AE19B396965}" r="D108" connectionId="0">
    <xmlCellPr id="1" xr6:uid="{28444C86-9513-4774-BD42-0CBCE91EC9A4}" uniqueName="DriverValue">
      <xmlPr mapId="7" xpath="/MAKE/AOP/AOP_Side_Pole/DUMMY_MEASUREMENTS/Shoulder/α_Max/@DriverValue" xmlDataType="decimal"/>
    </xmlCellPr>
  </singleXmlCell>
  <singleXmlCell id="3444" xr6:uid="{80951C73-EAE0-437D-BAC4-F7AAACD235B9}" r="D109" connectionId="0">
    <xmlCellPr id="1" xr6:uid="{1DE1D670-6F44-4090-BC4E-E4C3D0216363}" uniqueName="DriverValue">
      <xmlPr mapId="7" xpath="/MAKE/AOP/AOP_Side_Pole/DUMMY_MEASUREMENTS/Shoulder/α_Min/@DriverValue" xmlDataType="decimal"/>
    </xmlCellPr>
  </singleXmlCell>
  <singleXmlCell id="3445" xr6:uid="{D9AB70CA-8DCA-4BE1-87A3-EFC61B5FACB8}" r="D111" connectionId="0">
    <xmlCellPr id="1" xr6:uid="{DA83C955-41F1-4B46-9047-867EFC9D6A43}" uniqueName="DriverValue">
      <xmlPr mapId="7" xpath="/MAKE/AOP/AOP_Side_Pole/DUMMY_MEASUREMENTS/Thorax/D01_Max/@DriverValue" xmlDataType="decimal"/>
    </xmlCellPr>
  </singleXmlCell>
  <singleXmlCell id="3446" xr6:uid="{C64B0143-A073-4D3F-B814-ED5FE579C30B}" r="D112" connectionId="0">
    <xmlCellPr id="1" xr6:uid="{AD724A6C-116C-4695-9847-B885CF68AA85}" uniqueName="DriverValue">
      <xmlPr mapId="7" xpath="/MAKE/AOP/AOP_Side_Pole/DUMMY_MEASUREMENTS/Thorax/D01_Min/@DriverValue" xmlDataType="decimal"/>
    </xmlCellPr>
  </singleXmlCell>
  <singleXmlCell id="3447" xr6:uid="{E113DF71-C1E9-4042-B573-71E249A43B1A}" r="D113" connectionId="0">
    <xmlCellPr id="1" xr6:uid="{F1432A12-4D4B-4191-8E65-7FDEFFD1F41B}" uniqueName="DriverValue">
      <xmlPr mapId="7" xpath="/MAKE/AOP/AOP_Side_Pole/DUMMY_MEASUREMENTS/Thorax/α01_Max/@DriverValue" xmlDataType="decimal"/>
    </xmlCellPr>
  </singleXmlCell>
  <singleXmlCell id="3448" xr6:uid="{D06C93B2-D2B7-461C-B4B7-BCA22247B730}" r="D114" connectionId="0">
    <xmlCellPr id="1" xr6:uid="{B8C355AD-166D-487C-88CB-EC49F063DD0F}" uniqueName="DriverValue">
      <xmlPr mapId="7" xpath="/MAKE/AOP/AOP_Side_Pole/DUMMY_MEASUREMENTS/Thorax/α01_Min/@DriverValue" xmlDataType="decimal"/>
    </xmlCellPr>
  </singleXmlCell>
  <singleXmlCell id="3449" xr6:uid="{561A9BD6-CBD5-4417-BA4C-64B5E25B91A0}" r="D115" connectionId="0">
    <xmlCellPr id="1" xr6:uid="{7659A8E4-26A7-4BB6-9857-FFEE16E71378}" uniqueName="DriverValue">
      <xmlPr mapId="7" xpath="/MAKE/AOP/AOP_Side_Pole/DUMMY_MEASUREMENTS/Thorax/D02_Max/@DriverValue" xmlDataType="decimal"/>
    </xmlCellPr>
  </singleXmlCell>
  <singleXmlCell id="3450" xr6:uid="{61E641B2-E94B-4B44-A5D1-DDBACD778675}" r="D116" connectionId="0">
    <xmlCellPr id="1" xr6:uid="{1BC5687A-120D-4815-BE5A-1D1F21965721}" uniqueName="DriverValue">
      <xmlPr mapId="7" xpath="/MAKE/AOP/AOP_Side_Pole/DUMMY_MEASUREMENTS/Thorax/D02_Min/@DriverValue" xmlDataType="decimal"/>
    </xmlCellPr>
  </singleXmlCell>
  <singleXmlCell id="3451" xr6:uid="{5A29D3F5-61F9-41D8-A491-7472A4B7E7F8}" r="D117" connectionId="0">
    <xmlCellPr id="1" xr6:uid="{C7FE9596-F69A-48D3-836B-51D818AA8C05}" uniqueName="DriverValue">
      <xmlPr mapId="7" xpath="/MAKE/AOP/AOP_Side_Pole/DUMMY_MEASUREMENTS/Thorax/α02_Max/@DriverValue" xmlDataType="decimal"/>
    </xmlCellPr>
  </singleXmlCell>
  <singleXmlCell id="3452" xr6:uid="{B6A4E5B6-AC7B-4DB8-94B4-CB369DA9E5AC}" r="D118" connectionId="0">
    <xmlCellPr id="1" xr6:uid="{4A8E1E40-B174-4CB3-AF85-842E57C7EBD2}" uniqueName="DriverValue">
      <xmlPr mapId="7" xpath="/MAKE/AOP/AOP_Side_Pole/DUMMY_MEASUREMENTS/Thorax/α02_Min/@DriverValue" xmlDataType="decimal"/>
    </xmlCellPr>
  </singleXmlCell>
  <singleXmlCell id="3453" xr6:uid="{63767B23-E643-424C-BBF7-2CBB0F9A5173}" r="D119" connectionId="0">
    <xmlCellPr id="1" xr6:uid="{E11ACB00-444A-41F7-9751-7CBD005608BC}" uniqueName="DriverValue">
      <xmlPr mapId="7" xpath="/MAKE/AOP/AOP_Side_Pole/DUMMY_MEASUREMENTS/Thorax/D03_Max/@DriverValue" xmlDataType="decimal"/>
    </xmlCellPr>
  </singleXmlCell>
  <singleXmlCell id="3454" xr6:uid="{A6F9192B-D9F5-4852-885C-89837CC019AB}" r="D120" connectionId="0">
    <xmlCellPr id="1" xr6:uid="{37EB4234-8019-4D3E-88E4-9ED08D2653CA}" uniqueName="DriverValue">
      <xmlPr mapId="7" xpath="/MAKE/AOP/AOP_Side_Pole/DUMMY_MEASUREMENTS/Thorax/D03_Min/@DriverValue" xmlDataType="decimal"/>
    </xmlCellPr>
  </singleXmlCell>
  <singleXmlCell id="3455" xr6:uid="{290211E9-8B76-4DE5-92B2-189748D3AA28}" r="D121" connectionId="0">
    <xmlCellPr id="1" xr6:uid="{71DF4260-6F27-4C35-8FB4-161CDC11C5F7}" uniqueName="DriverValue">
      <xmlPr mapId="7" xpath="/MAKE/AOP/AOP_Side_Pole/DUMMY_MEASUREMENTS/Thorax/α03_Max/@DriverValue" xmlDataType="decimal"/>
    </xmlCellPr>
  </singleXmlCell>
  <singleXmlCell id="3456" xr6:uid="{C1CED074-879C-45B5-8756-9906D6C0103C}" r="D122" connectionId="0">
    <xmlCellPr id="1" xr6:uid="{236D16C6-333B-44EF-ADAF-EE7C83D594AE}" uniqueName="DriverValue">
      <xmlPr mapId="7" xpath="/MAKE/AOP/AOP_Side_Pole/DUMMY_MEASUREMENTS/Thorax/α03_Min/@DriverValue" xmlDataType="decimal"/>
    </xmlCellPr>
  </singleXmlCell>
  <singleXmlCell id="3457" xr6:uid="{73061900-4052-4A1D-814C-699D8362FE6B}" r="D124" connectionId="0">
    <xmlCellPr id="1" xr6:uid="{BDBBC5F8-DDAA-4263-B96E-E2053C4DB426}" uniqueName="DriverValue">
      <xmlPr mapId="7" xpath="/MAKE/AOP/AOP_Side_Pole/DUMMY_MEASUREMENTS/Abdomen/D01_Max/@DriverValue" xmlDataType="decimal"/>
    </xmlCellPr>
  </singleXmlCell>
  <singleXmlCell id="3458" xr6:uid="{B1D77C02-D2A1-4222-BEAD-09245990C513}" r="D125" connectionId="0">
    <xmlCellPr id="1" xr6:uid="{F79D5A05-692C-42BA-9603-CD1A66324C60}" uniqueName="DriverValue">
      <xmlPr mapId="7" xpath="/MAKE/AOP/AOP_Side_Pole/DUMMY_MEASUREMENTS/Abdomen/D01_Min/@DriverValue" xmlDataType="decimal"/>
    </xmlCellPr>
  </singleXmlCell>
  <singleXmlCell id="3459" xr6:uid="{B473213A-1CAE-4939-BF12-124867CF891F}" r="D126" connectionId="0">
    <xmlCellPr id="1" xr6:uid="{7CCAB78F-F09B-46FF-A998-8C51788B90C1}" uniqueName="DriverValue">
      <xmlPr mapId="7" xpath="/MAKE/AOP/AOP_Side_Pole/DUMMY_MEASUREMENTS/Abdomen/α01_Max/@DriverValue" xmlDataType="decimal"/>
    </xmlCellPr>
  </singleXmlCell>
  <singleXmlCell id="3460" xr6:uid="{15B54220-4AB9-4504-A272-3AAAF6BC3037}" r="D127" connectionId="0">
    <xmlCellPr id="1" xr6:uid="{6968FE48-34F2-4844-B1F0-E71B2BA88E20}" uniqueName="DriverValue">
      <xmlPr mapId="7" xpath="/MAKE/AOP/AOP_Side_Pole/DUMMY_MEASUREMENTS/Abdomen/α01_Min/@DriverValue" xmlDataType="decimal"/>
    </xmlCellPr>
  </singleXmlCell>
  <singleXmlCell id="3461" xr6:uid="{FC2A73BF-D9F2-4732-BA36-21D93B3207B7}" r="D128" connectionId="0">
    <xmlCellPr id="1" xr6:uid="{B054E242-2CA3-4C07-8B99-9BF158C19FC7}" uniqueName="DriverValue">
      <xmlPr mapId="7" xpath="/MAKE/AOP/AOP_Side_Pole/DUMMY_MEASUREMENTS/Abdomen/D02_Max/@DriverValue" xmlDataType="decimal"/>
    </xmlCellPr>
  </singleXmlCell>
  <singleXmlCell id="3462" xr6:uid="{F129A905-B5AF-4E4D-AAA7-AD8F1EAEE674}" r="D129" connectionId="0">
    <xmlCellPr id="1" xr6:uid="{7EC77CF7-B181-4D9A-8FA9-40CC804D2A04}" uniqueName="DriverValue">
      <xmlPr mapId="7" xpath="/MAKE/AOP/AOP_Side_Pole/DUMMY_MEASUREMENTS/Abdomen/D02_Min/@DriverValue" xmlDataType="decimal"/>
    </xmlCellPr>
  </singleXmlCell>
  <singleXmlCell id="3463" xr6:uid="{5514C81A-4932-4093-B8F9-D13703CF5397}" r="D130" connectionId="0">
    <xmlCellPr id="1" xr6:uid="{8D9A1D47-A01B-4FB9-B62C-A1E8273244B7}" uniqueName="DriverValue">
      <xmlPr mapId="7" xpath="/MAKE/AOP/AOP_Side_Pole/DUMMY_MEASUREMENTS/Abdomen/α02_Max/@DriverValue" xmlDataType="decimal"/>
    </xmlCellPr>
  </singleXmlCell>
  <singleXmlCell id="3464" xr6:uid="{1B3DEEF8-D123-4B1D-AD75-5E18F305E17F}" r="D131" connectionId="0">
    <xmlCellPr id="1" xr6:uid="{65322790-FEBF-4B2B-9C4D-5EC547C7E621}" uniqueName="DriverValue">
      <xmlPr mapId="7" xpath="/MAKE/AOP/AOP_Side_Pole/DUMMY_MEASUREMENTS/Abdomen/α02_Min/@DriverValue" xmlDataType="decimal"/>
    </xmlCellPr>
  </singleXmlCell>
  <singleXmlCell id="3465" xr6:uid="{9246C2B8-B7BF-4D28-A4E2-46B48B6C7454}" r="D133" connectionId="0">
    <xmlCellPr id="1" xr6:uid="{1FF3A183-CBA6-496E-B00B-147779BEFD6C}" uniqueName="DriverValue">
      <xmlPr mapId="7" xpath="/MAKE/AOP/AOP_Side_Pole/DUMMY_MEASUREMENTS/T12/Ax_Max/@DriverValue" xmlDataType="decimal"/>
    </xmlCellPr>
  </singleXmlCell>
  <singleXmlCell id="3466" xr6:uid="{1069CD52-0E9C-4E73-B815-C2DC9C39594E}" r="D134" connectionId="0">
    <xmlCellPr id="1" xr6:uid="{E56A3ACE-D8C5-4494-B155-82EB161E4AE6}" uniqueName="DriverValue">
      <xmlPr mapId="7" xpath="/MAKE/AOP/AOP_Side_Pole/DUMMY_MEASUREMENTS/T12/Ax_Min/@DriverValue" xmlDataType="decimal"/>
    </xmlCellPr>
  </singleXmlCell>
  <singleXmlCell id="3467" xr6:uid="{848E9A73-7FF4-499F-817F-8801E5E9DE85}" r="D135" connectionId="0">
    <xmlCellPr id="1" xr6:uid="{83A55E6B-5311-41E1-82DA-7570B46393AF}" uniqueName="DriverValue">
      <xmlPr mapId="7" xpath="/MAKE/AOP/AOP_Side_Pole/DUMMY_MEASUREMENTS/T12/Ay_Max/@DriverValue" xmlDataType="decimal"/>
    </xmlCellPr>
  </singleXmlCell>
  <singleXmlCell id="3468" xr6:uid="{B253F01B-00D4-472C-A0B4-1CA005238BC5}" r="D136" connectionId="0">
    <xmlCellPr id="1" xr6:uid="{F71DA86C-B428-4BEE-AB4A-C09F4C90A6AC}" uniqueName="DriverValue">
      <xmlPr mapId="7" xpath="/MAKE/AOP/AOP_Side_Pole/DUMMY_MEASUREMENTS/T12/Ay_Min/@DriverValue" xmlDataType="decimal"/>
    </xmlCellPr>
  </singleXmlCell>
  <singleXmlCell id="3469" xr6:uid="{F3AE3592-3FE7-436F-B4B9-FDA263677A75}" r="D137" connectionId="0">
    <xmlCellPr id="1" xr6:uid="{469197CC-1FE0-433E-AE95-625C12DF48E2}" uniqueName="DriverValue">
      <xmlPr mapId="7" xpath="/MAKE/AOP/AOP_Side_Pole/DUMMY_MEASUREMENTS/T12/Az_Max/@DriverValue" xmlDataType="decimal"/>
    </xmlCellPr>
  </singleXmlCell>
  <singleXmlCell id="3470" xr6:uid="{0CDB49B1-A6C6-4B78-B76A-B9C99DF1FFA2}" r="D138" connectionId="0">
    <xmlCellPr id="1" xr6:uid="{64BAFABA-B7CB-4670-93C4-02C89985CDFF}" uniqueName="DriverValue">
      <xmlPr mapId="7" xpath="/MAKE/AOP/AOP_Side_Pole/DUMMY_MEASUREMENTS/T12/Az_Min/@DriverValue" xmlDataType="decimal"/>
    </xmlCellPr>
  </singleXmlCell>
  <singleXmlCell id="3471" xr6:uid="{33A5D67F-8A03-4C37-B5C3-E2BBD529051D}" r="D140" connectionId="0">
    <xmlCellPr id="1" xr6:uid="{8E93DD08-67C5-4400-8798-44EDB414D6DB}" uniqueName="DriverValue">
      <xmlPr mapId="7" xpath="/MAKE/AOP/AOP_Side_Pole/DUMMY_MEASUREMENTS/Pelvis/Ax_Max/@DriverValue" xmlDataType="decimal"/>
    </xmlCellPr>
  </singleXmlCell>
  <singleXmlCell id="3472" xr6:uid="{87854CA2-1CA4-4C88-9242-716DD50A67D4}" r="D141" connectionId="0">
    <xmlCellPr id="1" xr6:uid="{382A6228-01AE-4765-8500-6B283E123451}" uniqueName="DriverValue">
      <xmlPr mapId="7" xpath="/MAKE/AOP/AOP_Side_Pole/DUMMY_MEASUREMENTS/Pelvis/Ax_Min/@DriverValue" xmlDataType="decimal"/>
    </xmlCellPr>
  </singleXmlCell>
  <singleXmlCell id="3473" xr6:uid="{C7370557-38ED-4B29-81AF-E35C6885A580}" r="D142" connectionId="0">
    <xmlCellPr id="1" xr6:uid="{FD74A138-2E09-48FC-B572-8BCB2D76A9B3}" uniqueName="DriverValue">
      <xmlPr mapId="7" xpath="/MAKE/AOP/AOP_Side_Pole/DUMMY_MEASUREMENTS/Pelvis/Ay_Max/@DriverValue" xmlDataType="decimal"/>
    </xmlCellPr>
  </singleXmlCell>
  <singleXmlCell id="3474" xr6:uid="{F270AFDD-0A9B-4E11-BB49-954B6B9EEE27}" r="D143" connectionId="0">
    <xmlCellPr id="1" xr6:uid="{EE7B467F-80B8-4504-BE11-4D06AA67CF49}" uniqueName="DriverValue">
      <xmlPr mapId="7" xpath="/MAKE/AOP/AOP_Side_Pole/DUMMY_MEASUREMENTS/Pelvis/Ay_Min/@DriverValue" xmlDataType="decimal"/>
    </xmlCellPr>
  </singleXmlCell>
  <singleXmlCell id="3475" xr6:uid="{E181259A-198E-4EFF-9A71-321D5D3664C5}" r="D144" connectionId="0">
    <xmlCellPr id="1" xr6:uid="{F6509F78-21AD-4159-AF58-DA58DEAE3064}" uniqueName="DriverValue">
      <xmlPr mapId="7" xpath="/MAKE/AOP/AOP_Side_Pole/DUMMY_MEASUREMENTS/Pelvis/Az_Max/@DriverValue" xmlDataType="decimal"/>
    </xmlCellPr>
  </singleXmlCell>
  <singleXmlCell id="3476" xr6:uid="{CD497D0E-7656-4016-A1D5-87B7F9102439}" r="D145" connectionId="0">
    <xmlCellPr id="1" xr6:uid="{BB3DABEB-7552-429C-A0CF-36D37ABAD39D}" uniqueName="DriverValue">
      <xmlPr mapId="7" xpath="/MAKE/AOP/AOP_Side_Pole/DUMMY_MEASUREMENTS/Pelvis/Az_Min/@DriverValue" xmlDataType="decimal"/>
    </xmlCellPr>
  </singleXmlCell>
  <singleXmlCell id="3477" xr6:uid="{79326670-B874-4A20-8A81-A6452CFCC217}" r="D146" connectionId="0">
    <xmlCellPr id="1" xr6:uid="{8F621953-75E0-44DA-BB1B-70E821E3A005}" uniqueName="DriverValue">
      <xmlPr mapId="7" xpath="/MAKE/AOP/AOP_Side_Pole/DUMMY_MEASUREMENTS/Pelvis/Fy_Max/@DriverValue" xmlDataType="decimal"/>
    </xmlCellPr>
  </singleXmlCell>
  <singleXmlCell id="3478" xr6:uid="{E4A67FB5-36CE-44ED-89E7-6CBBC14BA685}" r="D147" connectionId="0">
    <xmlCellPr id="1" xr6:uid="{B1D77F99-759A-426F-BCA8-53D9C83C9B90}" uniqueName="DriverValue">
      <xmlPr mapId="7" xpath="/MAKE/AOP/AOP_Side_Pole/DUMMY_MEASUREMENTS/Pelvis/Fy_Min/@DriverValue" xmlDataType="decimal"/>
    </xmlCellPr>
  </singleXmlCell>
  <singleXmlCell id="3480" xr6:uid="{2D075C8C-C408-4764-9997-E8830C4D7C0F}" r="D149" connectionId="0">
    <xmlCellPr id="1" xr6:uid="{B35A92EC-E02F-402D-8F54-CAB8B4E70550}" uniqueName="DriverValue">
      <xmlPr mapId="7" xpath="/MAKE/AOP/AOP_Side_Pole/DUMMY_MEASUREMENTS/Femur_left/Fx_Max/@DriverValue" xmlDataType="decimal"/>
    </xmlCellPr>
  </singleXmlCell>
  <singleXmlCell id="3481" xr6:uid="{A9B53F1F-A8E6-4E23-874D-2F991889C6FC}" r="D150" connectionId="0">
    <xmlCellPr id="1" xr6:uid="{86103BEF-89DB-4684-A860-F26ABC2A48A7}" uniqueName="DriverValue">
      <xmlPr mapId="7" xpath="/MAKE/AOP/AOP_Side_Pole/DUMMY_MEASUREMENTS/Femur_left/Fx_Min/@DriverValue" xmlDataType="decimal"/>
    </xmlCellPr>
  </singleXmlCell>
  <singleXmlCell id="3482" xr6:uid="{FE0E4903-1E40-4C48-95C6-2AA588C5CD6B}" r="D151" connectionId="0">
    <xmlCellPr id="1" xr6:uid="{AAEAEB70-1531-4CC0-8069-69F624AC5F41}" uniqueName="DriverValue">
      <xmlPr mapId="7" xpath="/MAKE/AOP/AOP_Side_Pole/DUMMY_MEASUREMENTS/Femur_left/Fy_Max/@DriverValue" xmlDataType="decimal"/>
    </xmlCellPr>
  </singleXmlCell>
  <singleXmlCell id="3483" xr6:uid="{47393767-5E4A-4357-A6C8-1C3F5FEBC1CA}" r="D152" connectionId="0">
    <xmlCellPr id="1" xr6:uid="{3C1C82C2-31D0-403D-90AB-8AEAECBAB3B2}" uniqueName="DriverValue">
      <xmlPr mapId="7" xpath="/MAKE/AOP/AOP_Side_Pole/DUMMY_MEASUREMENTS/Femur_left/Fy_Min/@DriverValue" xmlDataType="decimal"/>
    </xmlCellPr>
  </singleXmlCell>
  <singleXmlCell id="3484" xr6:uid="{3941FA0D-2BBA-499B-BFE1-C335C12E7E3B}" r="D153" connectionId="0">
    <xmlCellPr id="1" xr6:uid="{6AE885BD-DD05-4EEE-A60A-22FA726363F0}" uniqueName="DriverValue">
      <xmlPr mapId="7" xpath="/MAKE/AOP/AOP_Side_Pole/DUMMY_MEASUREMENTS/Femur_left/Fz_Max/@DriverValue" xmlDataType="decimal"/>
    </xmlCellPr>
  </singleXmlCell>
  <singleXmlCell id="3485" xr6:uid="{4230F418-488A-4944-8AE5-52C8B4880313}" r="D155" connectionId="0">
    <xmlCellPr id="1" xr6:uid="{0EF48A8C-BD64-4D02-B6EE-8FC0FE1A0664}" uniqueName="DriverValue">
      <xmlPr mapId="7" xpath="/MAKE/AOP/AOP_Side_Pole/DUMMY_MEASUREMENTS/Femur_right/Fx_Max/@DriverValue" xmlDataType="decimal"/>
    </xmlCellPr>
  </singleXmlCell>
  <singleXmlCell id="3486" xr6:uid="{F9471C65-732A-48F9-A690-9351D63EF146}" r="D156" connectionId="0">
    <xmlCellPr id="1" xr6:uid="{DD733EBC-79A1-4875-9C9E-38B8021FF7CC}" uniqueName="DriverValue">
      <xmlPr mapId="7" xpath="/MAKE/AOP/AOP_Side_Pole/DUMMY_MEASUREMENTS/Femur_right/Fx_Min/@DriverValue" xmlDataType="decimal"/>
    </xmlCellPr>
  </singleXmlCell>
  <singleXmlCell id="3487" xr6:uid="{9C7EBB10-608D-4C12-A908-2BD5381FDC5E}" r="D157" connectionId="0">
    <xmlCellPr id="1" xr6:uid="{2C2A80FB-E1C6-417C-8E42-9F279F7B8465}" uniqueName="DriverValue">
      <xmlPr mapId="7" xpath="/MAKE/AOP/AOP_Side_Pole/DUMMY_MEASUREMENTS/Femur_right/Fy_Max/@DriverValue" xmlDataType="decimal"/>
    </xmlCellPr>
  </singleXmlCell>
  <singleXmlCell id="3488" xr6:uid="{41DAFE3D-5C08-410F-BC7D-5DDFCBA55B77}" r="D158" connectionId="0">
    <xmlCellPr id="1" xr6:uid="{DFFD1E09-03B9-4ADD-8311-47DE8DD2DC6C}" uniqueName="DriverValue">
      <xmlPr mapId="7" xpath="/MAKE/AOP/AOP_Side_Pole/DUMMY_MEASUREMENTS/Femur_right/Fy_Min/@DriverValue" xmlDataType="decimal"/>
    </xmlCellPr>
  </singleXmlCell>
  <singleXmlCell id="3489" xr6:uid="{DE0FB849-3782-491F-A915-3A84477F6C2C}" r="D159" connectionId="0">
    <xmlCellPr id="1" xr6:uid="{DB04E95E-7513-4FAD-AF58-2A8C636530F7}" uniqueName="DriverValue">
      <xmlPr mapId="7" xpath="/MAKE/AOP/AOP_Side_Pole/DUMMY_MEASUREMENTS/Femur_right/Fz_Max/@DriverValue" xmlDataType="decimal"/>
    </xmlCellPr>
  </singleXmlCell>
  <singleXmlCell id="3490" xr6:uid="{5D6BD35A-3986-46DA-890B-F0A6A0745949}" r="D171" connectionId="0">
    <xmlCellPr id="1" xr6:uid="{66361695-B9D6-45C9-A7DE-830A60139508}" uniqueName="VIN_number">
      <xmlPr mapId="7" xpath="/MAKE/AOP/AOP_Side_Pole/TEST_DETAILS/Vehicle/VIN_number" xmlDataType="string"/>
    </xmlCellPr>
  </singleXmlCell>
  <singleXmlCell id="3491" xr6:uid="{3478B2EF-8C5E-4D9B-939C-B565E64A15E8}" r="D172" connectionId="0">
    <xmlCellPr id="1" xr6:uid="{70F26942-C731-4067-B5F4-AD6425AFD323}" uniqueName="Test_weight_kg">
      <xmlPr mapId="7" xpath="/MAKE/AOP/AOP_Side_Pole/TEST_DETAILS/Vehicle/Test_weight_kg" xmlDataType="decimal"/>
    </xmlCellPr>
  </singleXmlCell>
  <singleXmlCell id="3492" xr6:uid="{9A473463-F040-4B19-9307-F4A9532CC80C}" r="D174" connectionId="0">
    <xmlCellPr id="1" xr6:uid="{69DF4256-DC12-4551-8F1F-5FAD7BE81E48}" uniqueName="Impact_speed_kmh">
      <xmlPr mapId="7" xpath="/MAKE/AOP/AOP_Side_Pole/TEST_DETAILS/Test/Impact_speed_kmh" xmlDataType="decimal"/>
    </xmlCellPr>
  </singleXmlCell>
  <singleXmlCell id="3493" xr6:uid="{9754FFB8-F334-4F30-A01A-0CFC79BFECDB}" r="D176" connectionId="0">
    <xmlCellPr id="1" xr6:uid="{8EABF5FB-ECDB-4D50-AF62-3B664225AED0}" uniqueName="Vertical">
      <xmlPr mapId="7" xpath="/MAKE/AOP/AOP_Side_Pole/TEST_DETAILS/Test/Vertical" xmlDataType="decimal"/>
    </xmlCellPr>
  </singleXmlCell>
  <singleXmlCell id="3494" xr6:uid="{77C58458-43A4-48EA-932A-59C3FD2D4F11}" r="D177" connectionId="0">
    <xmlCellPr id="1" xr6:uid="{38161BA6-3B63-4140-A8EB-B125CB657A17}" uniqueName="Horizontal">
      <xmlPr mapId="7" xpath="/MAKE/AOP/AOP_Side_Pole/TEST_DETAILS/Test/Horizontal" xmlDataType="decimal"/>
    </xmlCellPr>
  </singleXmlCell>
  <singleXmlCell id="3495" xr6:uid="{6584AB73-9D12-4D9D-BE4A-5431FC1049F0}" r="D163" connectionId="0">
    <xmlCellPr id="1" xr6:uid="{DB0A431E-B5FB-4DF0-9297-B1E5760BEE19}" uniqueName="DriverValue">
      <xmlPr mapId="7" xpath="/MAKE/AOP/AOP_Side_Pole/VEHICLE_MEASUREMENTS/B_post/Ay_Max/@DriverValue" xmlDataType="decimal"/>
    </xmlCellPr>
  </singleXmlCell>
  <singleXmlCell id="3496" xr6:uid="{475A9DE1-0C16-4B9D-9C9C-D6396649DCB5}" r="D164" connectionId="0">
    <xmlCellPr id="1" xr6:uid="{53022C15-0853-4A75-9F49-4AADFEE4D4B7}" uniqueName="DriverValue">
      <xmlPr mapId="7" xpath="/MAKE/AOP/AOP_Side_Pole/VEHICLE_MEASUREMENTS/B_post/Ay_Min/@DriverValue" xmlDataType="decimal"/>
    </xmlCellPr>
  </singleXmlCell>
  <singleXmlCell id="3497" xr6:uid="{8723235C-D05A-4F86-8132-17CE40CB6A7B}" r="D166" connectionId="0">
    <xmlCellPr id="1" xr6:uid="{B7DE0613-C71D-4330-B63E-9E394CB26D13}" uniqueName="DriverValue">
      <xmlPr mapId="7" xpath="/MAKE/AOP/AOP_Side_Pole/VEHICLE_MEASUREMENTS/Trolley/Ax_Max/@DriverValue" xmlDataType="decimal"/>
    </xmlCellPr>
  </singleXmlCell>
  <singleXmlCell id="3498" xr6:uid="{C743255A-C815-4F6C-A54F-0BD2887B465E}" r="D167" connectionId="0">
    <xmlCellPr id="1" xr6:uid="{13D8FCE8-9AAE-4289-AD3F-8E2F9D1FD07C}" uniqueName="DriverValue">
      <xmlPr mapId="7" xpath="/MAKE/AOP/AOP_Side_Pole/VEHICLE_MEASUREMENTS/Trolley/Ax_Min/@DriverValue" xmlDataType="decimal"/>
    </xmlCellPr>
  </singleXmlCell>
  <singleXmlCell id="3225" xr6:uid="{52433249-0234-4552-9A44-0596467CFF42}" r="D68" connectionId="0">
    <xmlCellPr id="1" xr6:uid="{0D389BE2-863A-4C93-A7C4-39CD0F783625}" uniqueName="HPD_Score">
      <xmlPr mapId="7" xpath="/MAKE/AOP/AOP_Side_Pole/HPD_Assessment/@HPD_Score" xmlDataType="decimal"/>
    </xmlCellPr>
  </singleXmlCell>
  <singleXmlCell id="3323" xr6:uid="{13D35C9D-6D13-4017-8B0B-B37D09698FBB}" r="D59" connectionId="0">
    <xmlCellPr id="1" xr6:uid="{72BA8630-C99D-4F39-A481-5B965B971527}" uniqueName="Row1">
      <xmlPr mapId="7" xpath="/MAKE/AOP/AOP_Side_Pole/HPD_Assessment/H-Point/Xcog_5th/@Row1" xmlDataType="decimal"/>
    </xmlCellPr>
  </singleXmlCell>
  <singleXmlCell id="3324" xr6:uid="{E1EF06F5-2BC8-4CBE-85F0-85010E5D0BBB}" r="F59" connectionId="0">
    <xmlCellPr id="1" xr6:uid="{F1D443B0-E9EB-40BF-A954-C71A43C02BB0}" uniqueName="Row2">
      <xmlPr mapId="7" xpath="/MAKE/AOP/AOP_Side_Pole/HPD_Assessment/H-Point/Xcog_5th/@Row2" xmlDataType="decimal"/>
    </xmlCellPr>
  </singleXmlCell>
  <singleXmlCell id="3325" xr6:uid="{91D4A6FE-FD75-40CD-A02A-D2AD1ADAEEAF}" r="H59" connectionId="0">
    <xmlCellPr id="1" xr6:uid="{09D04ACA-F9C9-4139-8AB2-95B6B840F0BB}" uniqueName="Row3">
      <xmlPr mapId="7" xpath="/MAKE/AOP/AOP_Side_Pole/HPD_Assessment/H-Point/Xcog_5th/@Row3" xmlDataType="decimal"/>
    </xmlCellPr>
  </singleXmlCell>
  <singleXmlCell id="3326" xr6:uid="{061D4A49-654B-4B30-BEFF-F1DA3F6200ED}" r="D60" connectionId="0">
    <xmlCellPr id="1" xr6:uid="{C60D0513-0160-4043-B316-DAFA801318A7}" uniqueName="Row1">
      <xmlPr mapId="7" xpath="/MAKE/AOP/AOP_Side_Pole/HPD_Assessment/H-Point/Zcog_5th/@Row1" xmlDataType="decimal"/>
    </xmlCellPr>
  </singleXmlCell>
  <singleXmlCell id="3328" xr6:uid="{B233B96B-140C-4C66-815B-F501FF7E78E9}" r="F60" connectionId="0">
    <xmlCellPr id="1" xr6:uid="{BABB25AA-E293-431C-94E1-14A70EDFBFF9}" uniqueName="Row2">
      <xmlPr mapId="7" xpath="/MAKE/AOP/AOP_Side_Pole/HPD_Assessment/H-Point/Zcog_5th/@Row2" xmlDataType="decimal"/>
    </xmlCellPr>
  </singleXmlCell>
  <singleXmlCell id="3329" xr6:uid="{A0F0472B-4784-4A20-B3F8-289429E5255C}" r="H60" connectionId="0">
    <xmlCellPr id="1" xr6:uid="{E728F957-87D7-4120-A8AB-CD02316A23FA}" uniqueName="Row3">
      <xmlPr mapId="7" xpath="/MAKE/AOP/AOP_Side_Pole/HPD_Assessment/H-Point/Zcog_5th/@Row3" xmlDataType="decimal"/>
    </xmlCellPr>
  </singleXmlCell>
  <singleXmlCell id="3330" xr6:uid="{9A4AE25F-6E10-474E-8260-35CD47B70195}" r="D61" connectionId="0">
    <xmlCellPr id="1" xr6:uid="{3B1741B2-D34C-43DC-A7E4-CF23F05D5F38}" uniqueName="Row1">
      <xmlPr mapId="7" xpath="/MAKE/AOP/AOP_Side_Pole/HPD_Assessment/H-Point/Xcog_95th/@Row1" xmlDataType="decimal"/>
    </xmlCellPr>
  </singleXmlCell>
  <singleXmlCell id="3331" xr6:uid="{2F1E2A59-2160-4392-B6C2-5116297AD9CF}" r="F61" connectionId="0">
    <xmlCellPr id="1" xr6:uid="{C3BEB5A3-2991-499D-8520-D7ACDA8CF1B2}" uniqueName="Row2">
      <xmlPr mapId="7" xpath="/MAKE/AOP/AOP_Side_Pole/HPD_Assessment/H-Point/Xcog_95th/@Row2" xmlDataType="decimal"/>
    </xmlCellPr>
  </singleXmlCell>
  <singleXmlCell id="3348" xr6:uid="{2260ED83-F5F7-47D2-8270-CAFF4D531728}" r="H61" connectionId="0">
    <xmlCellPr id="1" xr6:uid="{D0861F5A-AD11-4237-8FF4-F069E8882C12}" uniqueName="Row3">
      <xmlPr mapId="7" xpath="/MAKE/AOP/AOP_Side_Pole/HPD_Assessment/H-Point/Xcog_95th/@Row3" xmlDataType="decimal"/>
    </xmlCellPr>
  </singleXmlCell>
  <singleXmlCell id="3349" xr6:uid="{E1968DE3-BA13-4839-B138-9BCF49BE45F1}" r="D62" connectionId="0">
    <xmlCellPr id="1" xr6:uid="{6B4AD397-8647-4FD8-BA09-8F6A4028CC62}" uniqueName="Row1">
      <xmlPr mapId="7" xpath="/MAKE/AOP/AOP_Side_Pole/HPD_Assessment/H-Point/Zcog_95th/@Row1" xmlDataType="decimal"/>
    </xmlCellPr>
  </singleXmlCell>
  <singleXmlCell id="3350" xr6:uid="{5EA74365-1AB6-4B63-A74A-89C09EFDD156}" r="F62" connectionId="0">
    <xmlCellPr id="1" xr6:uid="{824BF141-892C-4F6B-A9F5-B93C0D8E42FB}" uniqueName="Row2">
      <xmlPr mapId="7" xpath="/MAKE/AOP/AOP_Side_Pole/HPD_Assessment/H-Point/Zcog_95th/@Row2" xmlDataType="decimal"/>
    </xmlCellPr>
  </singleXmlCell>
  <singleXmlCell id="3375" xr6:uid="{D717EE93-634C-40BF-A621-C041172768C4}" r="H62" connectionId="0">
    <xmlCellPr id="1" xr6:uid="{B2CD5807-FD90-4322-8367-617716EA21E0}" uniqueName="Row3">
      <xmlPr mapId="7" xpath="/MAKE/AOP/AOP_Side_Pole/HPD_Assessment/H-Point/Zcog_95th/@Row3" xmlDataType="decimal"/>
    </xmlCellPr>
  </singleXmlCell>
  <singleXmlCell id="3376" xr6:uid="{E7E102F5-B572-4F57-A054-3E673F96E21B}" r="H63" connectionId="0">
    <xmlCellPr id="1" xr6:uid="{B4FA33CD-E72C-439F-B157-680C00ADD5D1}" uniqueName="Meets_Exemption">
      <xmlPr mapId="7" xpath="/MAKE/AOP/AOP_Side_Pole/HPD_Assessment/H-Point/Meets_Exemption" xmlDataType="string"/>
    </xmlCellPr>
  </singleXmlCell>
  <singleXmlCell id="3430" xr6:uid="{26C79D79-2D6F-4401-871D-11A9FF925DD8}" r="E64" connectionId="0">
    <xmlCellPr id="1" xr6:uid="{1F2D81F8-3C8D-4EFA-B6D7-1C79B6B8B45A}" uniqueName="Row1">
      <xmlPr mapId="7" xpath="/MAKE/AOP/AOP_Side_Pole/HPD_Assessment/HPD_Modifier/HPD_Modifier/@Row1" xmlDataType="decimal"/>
    </xmlCellPr>
  </singleXmlCell>
  <singleXmlCell id="3431" xr6:uid="{C38300F6-AE94-4C58-A860-7E75D9A2A3E5}" r="G64" connectionId="0">
    <xmlCellPr id="1" xr6:uid="{08F8956F-A7B5-4F7C-A00D-D530E51AE177}" uniqueName="Row2">
      <xmlPr mapId="7" xpath="/MAKE/AOP/AOP_Side_Pole/HPD_Assessment/HPD_Modifier/HPD_Modifier/@Row2" xmlDataType="decimal"/>
    </xmlCellPr>
  </singleXmlCell>
  <singleXmlCell id="3434" xr6:uid="{E05BBFCF-2FD1-4CEC-BD9E-79EF9A3019A9}" r="I64" connectionId="0">
    <xmlCellPr id="1" xr6:uid="{0D7BF4E9-A400-4F82-ACAA-1896ABBC154E}" uniqueName="Row3">
      <xmlPr mapId="7" xpath="/MAKE/AOP/AOP_Side_Pole/HPD_Assessment/HPD_Modifier/HPD_Modifier/@Row3" xmlDataType="decimal"/>
    </xmlCellPr>
  </singleXmlCell>
  <singleXmlCell id="3479" xr6:uid="{92077244-6ADF-48B4-A666-1142374DEFB0}" r="D65" connectionId="0">
    <xmlCellPr id="1" xr6:uid="{AE7CA5DA-29EF-4D9A-B488-20EB538E34B6}" uniqueName="Row1">
      <xmlPr mapId="7" xpath="/MAKE/AOP/AOP_Side_Pole/HPD_Assessment/HPD_Modifier/HPD_Zone_Coverage/@Row1" xmlDataType="string"/>
    </xmlCellPr>
  </singleXmlCell>
  <singleXmlCell id="3499" xr6:uid="{36D1A5E4-F28F-4A6A-BF99-46CE62188351}" r="F65" connectionId="0">
    <xmlCellPr id="1" xr6:uid="{564B534F-A170-48AC-A638-45F1B74C6463}" uniqueName="Row2">
      <xmlPr mapId="7" xpath="/MAKE/AOP/AOP_Side_Pole/HPD_Assessment/HPD_Modifier/HPD_Zone_Coverage/@Row2" xmlDataType="string"/>
    </xmlCellPr>
  </singleXmlCell>
  <singleXmlCell id="3500" xr6:uid="{69852A1E-1CC6-4BF2-8BCA-F1089BB8ACCB}" r="H65" connectionId="0">
    <xmlCellPr id="1" xr6:uid="{B9F125B6-E7D0-4C1D-80F7-BD087D7ABBB4}" uniqueName="Row3">
      <xmlPr mapId="7" xpath="/MAKE/AOP/AOP_Side_Pole/HPD_Assessment/HPD_Modifier/HPD_Zone_Coverage/@Row3" xmlDataType="string"/>
    </xmlCellPr>
  </singleXmlCell>
  <singleXmlCell id="3501" xr6:uid="{8ECE6638-7A6C-4B03-B697-7AC6352C6265}" r="D66" connectionId="0">
    <xmlCellPr id="1" xr6:uid="{8A35E8DF-F1F9-43C2-8F52-56038D85D00C}" uniqueName="Row1">
      <xmlPr mapId="7" xpath="/MAKE/AOP/AOP_Side_Pole/HPD_Assessment/HPD_Modifier/Within_HPD/@Row1" xmlDataType="string"/>
    </xmlCellPr>
  </singleXmlCell>
  <singleXmlCell id="3502" xr6:uid="{48478CC2-B379-4318-AE5E-D7FE1DBECAEB}" r="F66" connectionId="0">
    <xmlCellPr id="1" xr6:uid="{031E67EC-8751-4925-B9E6-38735B7A9019}" uniqueName="Row2">
      <xmlPr mapId="7" xpath="/MAKE/AOP/AOP_Side_Pole/HPD_Assessment/HPD_Modifier/Within_HPD/@Row2" xmlDataType="string"/>
    </xmlCellPr>
  </singleXmlCell>
  <singleXmlCell id="3503" xr6:uid="{67F8BB1F-16FA-41D2-A3C6-32DFB05A9D11}" r="H66" connectionId="0">
    <xmlCellPr id="1" xr6:uid="{5F143E5E-5503-4091-BCC8-5FD783FE2147}" uniqueName="Row3">
      <xmlPr mapId="7" xpath="/MAKE/AOP/AOP_Side_Pole/HPD_Assessment/HPD_Modifier/Within_HPD/@Row3" xmlDataType="string"/>
    </xmlCellPr>
  </singleXmlCell>
  <singleXmlCell id="3504" xr6:uid="{5569EA31-2BDB-4EC5-A6C9-0BB71435A7F6}" r="D67" connectionId="0">
    <xmlCellPr id="1" xr6:uid="{9823254A-3291-498A-A9C6-694AC8AA37DD}" uniqueName="Row1">
      <xmlPr mapId="7" xpath="/MAKE/AOP/AOP_Side_Pole/HPD_Assessment/HPD_Modifier/Uninflated_Areas/@Row1" xmlDataType="string"/>
    </xmlCellPr>
  </singleXmlCell>
  <singleXmlCell id="3505" xr6:uid="{532ED0DA-6EFD-4305-907C-1B85E748167D}" r="F67" connectionId="0">
    <xmlCellPr id="1" xr6:uid="{7EBE9EBB-34E6-4282-8045-12D50F6DCBEC}" uniqueName="Row2">
      <xmlPr mapId="7" xpath="/MAKE/AOP/AOP_Side_Pole/HPD_Assessment/HPD_Modifier/Uninflated_Areas/@Row2" xmlDataType="string"/>
    </xmlCellPr>
  </singleXmlCell>
  <singleXmlCell id="3506" xr6:uid="{77C0F702-342E-442E-8FBC-68E89A0ADD65}" r="H67" connectionId="0">
    <xmlCellPr id="1" xr6:uid="{796A753F-358E-4CA0-9B5C-6D2BDAA89FEA}" uniqueName="Row3">
      <xmlPr mapId="7" xpath="/MAKE/AOP/AOP_Side_Pole/HPD_Assessment/HPD_Modifier/Uninflated_Areas/@Row3" xmlDataType="string"/>
    </xmlCellPr>
  </singleXmlCell>
  <singleXmlCell id="3226" xr6:uid="{DCA0BE8B-654B-4C62-8C63-10D0CE7290B7}" r="D53" connectionId="0">
    <xmlCellPr id="1" xr6:uid="{A033105F-6523-47CE-A29E-09B6BCE359DA}" uniqueName="Row1">
      <xmlPr mapId="7" xpath="/MAKE/AOP/AOP_Side_Pole/HPD_Assessment/H-Point/H-point_x/@Row1" xmlDataType="decimal"/>
    </xmlCellPr>
  </singleXmlCell>
  <singleXmlCell id="3242" xr6:uid="{4A3FF92F-B0C0-4C45-A227-B4F3C2C37F62}" r="F53" connectionId="0">
    <xmlCellPr id="1" xr6:uid="{3EB8C601-847A-4951-9DA6-59F2CA0BC729}" uniqueName="Row2">
      <xmlPr mapId="7" xpath="/MAKE/AOP/AOP_Side_Pole/HPD_Assessment/H-Point/H-point_x/@Row2" xmlDataType="decimal"/>
    </xmlCellPr>
  </singleXmlCell>
  <singleXmlCell id="3251" xr6:uid="{A3A589D4-F5A0-4590-A76C-018EBB95E74D}" r="H53" connectionId="0">
    <xmlCellPr id="1" xr6:uid="{F7049050-E1EB-45D4-890F-F4B388694B6B}" uniqueName="Row3">
      <xmlPr mapId="7" xpath="/MAKE/AOP/AOP_Side_Pole/HPD_Assessment/H-Point/H-point_x/@Row3" xmlDataType="decimal"/>
    </xmlCellPr>
  </singleXmlCell>
  <singleXmlCell id="3253" xr6:uid="{24089258-C0B2-4AEF-AE2D-1B3FCEB2DBBC}" r="D54" connectionId="0">
    <xmlCellPr id="1" xr6:uid="{CCCE2850-6E7F-4C39-B2E6-F631F56DF2AC}" uniqueName="Row1">
      <xmlPr mapId="7" xpath="/MAKE/AOP/AOP_Side_Pole/HPD_Assessment/H-Point/H-point_z/@Row1" xmlDataType="decimal"/>
    </xmlCellPr>
  </singleXmlCell>
  <singleXmlCell id="3265" xr6:uid="{D3B8BB1A-E0AB-437A-BA52-F74B53BD561C}" r="F54" connectionId="0">
    <xmlCellPr id="1" xr6:uid="{52617A55-E103-4FD3-9608-3EEA055D2F9B}" uniqueName="Row2">
      <xmlPr mapId="7" xpath="/MAKE/AOP/AOP_Side_Pole/HPD_Assessment/H-Point/H-point_z/@Row2" xmlDataType="decimal"/>
    </xmlCellPr>
  </singleXmlCell>
  <singleXmlCell id="3320" xr6:uid="{BC2AA954-59CD-497D-BB3C-25FD3A2E8C84}" r="H54" connectionId="0">
    <xmlCellPr id="1" xr6:uid="{678A028A-2820-43C5-807C-306A9369A70C}" uniqueName="Row3">
      <xmlPr mapId="7" xpath="/MAKE/AOP/AOP_Side_Pole/HPD_Assessment/H-Point/H-point_z/@Row3" xmlDataType="decimal"/>
    </xmlCellPr>
  </singleXmlCell>
  <singleXmlCell id="3321" xr6:uid="{6E9810C6-B7BB-44D7-AF90-E7F69E3BBC9F}" r="D55" connectionId="0">
    <xmlCellPr id="1" xr6:uid="{CCC1FC03-BA22-43A6-B460-0FE87C9AF047}" uniqueName="Row1">
      <xmlPr mapId="7" xpath="/MAKE/AOP/AOP_Side_Pole/HPD_Assessment/H-Point/Seat_Travel_5_50/@Row1" xmlDataType="decimal"/>
    </xmlCellPr>
  </singleXmlCell>
  <singleXmlCell id="3322" xr6:uid="{AB8B1C56-277A-448B-ACD2-2A0B3160250E}" r="D56" connectionId="0">
    <xmlCellPr id="1" xr6:uid="{2955837B-85D0-412C-A5C6-257379FC07B3}" uniqueName="Row1">
      <xmlPr mapId="7" xpath="/MAKE/AOP/AOP_Side_Pole/HPD_Assessment/H-Point/Seat_Travel_50_95/@Row1" xmlDataType="decimal"/>
    </xmlCellPr>
  </singleXmlCell>
  <singleXmlCell id="3327" xr6:uid="{AF352DA4-3E8D-49AA-A199-70915FE23558}" r="F57" connectionId="0">
    <xmlCellPr id="1" xr6:uid="{16649A0C-6EF1-4CD4-9519-128694E1849C}" uniqueName="Row2">
      <xmlPr mapId="7" xpath="/MAKE/AOP/AOP_Side_Pole/HPD_Assessment/H-Point/Rear_Seat_Travel/@Row2" xmlDataType="decimal"/>
    </xmlCellPr>
  </singleXmlCell>
  <singleXmlCell id="3507" xr6:uid="{8E496A50-4329-4079-AF9D-76CA687595C7}" r="H57" connectionId="0">
    <xmlCellPr id="1" xr6:uid="{0E8B87F6-1425-47A6-9633-4D222D101E02}" uniqueName="Row3">
      <xmlPr mapId="7" xpath="/MAKE/AOP/AOP_Side_Pole/HPD_Assessment/H-Point/Rear_Seat_Travel/@Row3" xmlDataType="decimal"/>
    </xmlCellPr>
  </singleXmlCell>
  <singleXmlCell id="5240" xr6:uid="{279EC243-A397-4605-9D7C-5359FFB4B3BF}" r="D71" connectionId="0">
    <xmlCellPr id="1" xr6:uid="{6D87393D-0125-4839-9BDC-A3FF10295AD6}" uniqueName="Capping">
      <xmlPr mapId="7" xpath="/MAKE/AOP/AOP_Side_Pole/@Capping" xmlDataType="string"/>
    </xmlCellPr>
  </singleXmlCell>
</singleXmlCells>
</file>

<file path=xl/tables/tableSingleCells7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3508" xr6:uid="{3083A153-C72A-43CD-A1B9-081E70AB305D}" r="D69" connectionId="0">
    <xmlCellPr id="1" xr6:uid="{624A8902-D8D5-4238-8D66-869307E2EDBC}" uniqueName="Total_Far_Side_Score">
      <xmlPr mapId="7" xpath="/MAKE/AOP/AOP_Far_Side/@Total_Far_Side_Score" xmlDataType="decimal"/>
    </xmlCellPr>
  </singleXmlCell>
  <singleXmlCell id="3521" xr6:uid="{D50F811D-14C2-4128-8D9B-3A6FCE30C208}" r="D12" connectionId="0">
    <xmlCellPr id="1" xr6:uid="{F24D662A-9C8E-4C39-B42E-366BA9024273}" uniqueName="Scaling_Factor">
      <xmlPr mapId="7" xpath="/MAKE/AOP/AOP_Far_Side/AE-MDB/Excursion_Zone/@Scaling_Factor" xmlDataType="anyType"/>
    </xmlCellPr>
  </singleXmlCell>
  <singleXmlCell id="3522" xr6:uid="{5D464A91-84F0-45AC-9EC6-31E1D1C782A0}" r="D10" connectionId="0">
    <xmlCellPr id="1" xr6:uid="{F43A37DA-BBB4-425F-932B-41BD671C21E0}" uniqueName="Excursion_Zone">
      <xmlPr mapId="7" xpath="/MAKE/AOP/AOP_Far_Side/AE-MDB/Excursion_Zone/Excursion_Zone" xmlDataType="string"/>
    </xmlCellPr>
  </singleXmlCell>
  <singleXmlCell id="3523" xr6:uid="{83717CC5-9FB1-407A-8128-11185F779A6F}" r="D11" connectionId="0">
    <xmlCellPr id="1" xr6:uid="{7762D0FE-8861-4B8B-AD87-CA44C18739A5}" uniqueName="Red_line_125mm">
      <xmlPr mapId="7" xpath="/MAKE/AOP/AOP_Far_Side/AE-MDB/Excursion_Zone/Red_line_125mm" xmlDataType="string"/>
    </xmlCellPr>
  </singleXmlCell>
  <singleXmlCell id="3524" xr6:uid="{B2CEE937-E281-43A0-914E-E8ED197DFDAA}" r="D18" connectionId="0">
    <xmlCellPr id="1" xr6:uid="{7C6B444C-B345-4D70-8F62-AC68752D449A}" uniqueName="DriverPoints">
      <xmlPr mapId="7" xpath="/MAKE/AOP/AOP_Far_Side/AE-MDB/Head/@DriverPoints" xmlDataType="decimal"/>
    </xmlCellPr>
  </singleXmlCell>
  <singleXmlCell id="3529" xr6:uid="{5C6C283F-05F6-48DB-BB19-756938E71BF9}" r="D15" connectionId="0">
    <xmlCellPr id="1" xr6:uid="{FC064C83-1E34-4AA8-9517-962EBA7CDF33}" uniqueName="Hard_Contact">
      <xmlPr mapId="7" xpath="/MAKE/AOP/AOP_Far_Side/AE-MDB/Head/Hard_Contact" xmlDataType="string"/>
    </xmlCellPr>
  </singleXmlCell>
  <singleXmlCell id="3530" xr6:uid="{C831D841-D8E3-48F2-9A79-CF660A469C79}" r="D16" connectionId="0">
    <xmlCellPr id="1" xr6:uid="{DBF61D9C-3C5B-494A-AE11-6ADD5FECF345}" uniqueName="HIC15">
      <xmlPr mapId="7" xpath="/MAKE/AOP/AOP_Far_Side/AE-MDB/Head/HIC15" xmlDataType="decimal"/>
    </xmlCellPr>
  </singleXmlCell>
  <singleXmlCell id="3531" xr6:uid="{A260A81E-BD1B-4DCE-8A29-A500DEF2BC33}" r="D17" connectionId="0">
    <xmlCellPr id="1" xr6:uid="{975324D6-CD55-453E-AD93-CE96DBB019FA}" uniqueName="DriverValue">
      <xmlPr mapId="7" xpath="/MAKE/AOP/AOP_Far_Side/AE-MDB/Head/Resultant_3_msec/@DriverValue" xmlDataType="decimal"/>
    </xmlCellPr>
  </singleXmlCell>
  <singleXmlCell id="3532" xr6:uid="{446E6BBC-D0B6-44BC-BEEC-42369B8F3578}" r="E17" connectionId="0">
    <xmlCellPr id="1" xr6:uid="{40D6BCBD-50C9-4C45-8849-083DA4A1D8BF}" uniqueName="DriverPoints">
      <xmlPr mapId="7" xpath="/MAKE/AOP/AOP_Far_Side/AE-MDB/Head/Resultant_3_msec/@DriverPoints" xmlDataType="decimal"/>
    </xmlCellPr>
  </singleXmlCell>
  <singleXmlCell id="3533" xr6:uid="{61B41BCB-F02D-49AD-9BCC-C66020EEED73}" r="D30" connectionId="0">
    <xmlCellPr id="1" xr6:uid="{75922521-1610-433C-8591-A97CFE39CE60}" uniqueName="DriverPoints">
      <xmlPr mapId="7" xpath="/MAKE/AOP/AOP_Far_Side/AE-MDB/Neck/@DriverPoints" xmlDataType="decimal"/>
    </xmlCellPr>
  </singleXmlCell>
  <singleXmlCell id="3534" xr6:uid="{41199814-BEAC-4B60-BA0F-901D18B31A3F}" r="D22" connectionId="0">
    <xmlCellPr id="1" xr6:uid="{43F40A7C-BE2E-468E-A16D-9BF850751A77}" uniqueName="DriverValue">
      <xmlPr mapId="7" xpath="/MAKE/AOP/AOP_Far_Side/AE-MDB/Neck/Tension_Fz/Upper_Neck/@DriverValue" xmlDataType="decimal"/>
    </xmlCellPr>
  </singleXmlCell>
  <singleXmlCell id="3535" xr6:uid="{957741AB-00CF-40E0-9B30-92EDACF48D9B}" r="E22" connectionId="0">
    <xmlCellPr id="1" xr6:uid="{FE282BFA-DD9B-459C-8133-791BCB7CC5BD}" uniqueName="DriverPoints">
      <xmlPr mapId="7" xpath="/MAKE/AOP/AOP_Far_Side/AE-MDB/Neck/Tension_Fz/Upper_Neck/@DriverPoints" xmlDataType="decimal"/>
    </xmlCellPr>
  </singleXmlCell>
  <singleXmlCell id="3536" xr6:uid="{007695D5-7334-4F13-AFB2-EEA416F6D51C}" r="D23" connectionId="0">
    <xmlCellPr id="1" xr6:uid="{0F8BE74E-87EC-4245-9674-1F004B583A1F}" uniqueName="DriverValue">
      <xmlPr mapId="7" xpath="/MAKE/AOP/AOP_Far_Side/AE-MDB/Neck/Tension_Fz/Lower_Neck/@DriverValue" xmlDataType="decimal"/>
    </xmlCellPr>
  </singleXmlCell>
  <singleXmlCell id="3537" xr6:uid="{A1B50393-7C4D-498D-B440-9F8656EC3C79}" r="E23" connectionId="0">
    <xmlCellPr id="1" xr6:uid="{273CB89F-E682-4A5D-B72B-D08129538A87}" uniqueName="DriverPoints">
      <xmlPr mapId="7" xpath="/MAKE/AOP/AOP_Far_Side/AE-MDB/Neck/Tension_Fz/Lower_Neck/@DriverPoints" xmlDataType="decimal"/>
    </xmlCellPr>
  </singleXmlCell>
  <singleXmlCell id="3538" xr6:uid="{FBDD4B47-E8A6-41C3-B104-76840413253B}" r="D25" connectionId="0">
    <xmlCellPr id="1" xr6:uid="{F1D2654D-4047-4A92-86B8-E1807A985A5A}" uniqueName="DriverValue">
      <xmlPr mapId="7" xpath="/MAKE/AOP/AOP_Far_Side/AE-MDB/Neck/Lateral_Flexion/MxOC/@DriverValue" xmlDataType="decimal"/>
    </xmlCellPr>
  </singleXmlCell>
  <singleXmlCell id="3539" xr6:uid="{C6567887-726F-4C97-B3E9-FB6CC9B5C612}" r="E25" connectionId="0">
    <xmlCellPr id="1" xr6:uid="{701B54C8-FD36-4331-BF42-95362C60DA1D}" uniqueName="DriverPoints">
      <xmlPr mapId="7" xpath="/MAKE/AOP/AOP_Far_Side/AE-MDB/Neck/Lateral_Flexion/MxOC/@DriverPoints" xmlDataType="decimal"/>
    </xmlCellPr>
  </singleXmlCell>
  <singleXmlCell id="3540" xr6:uid="{F04E6139-7212-457B-B160-41DC911BE8F5}" r="D26" connectionId="0">
    <xmlCellPr id="1" xr6:uid="{F7A6AC44-4A58-400D-8AD1-D13F2FA4665C}" uniqueName="DriverValue">
      <xmlPr mapId="7" xpath="/MAKE/AOP/AOP_Far_Side/AE-MDB/Neck/Lateral_Flexion/Mx_neck_base/@DriverValue" xmlDataType="decimal"/>
    </xmlCellPr>
  </singleXmlCell>
  <singleXmlCell id="3541" xr6:uid="{7D45849B-224B-4AEE-89C8-11FB2CD96614}" r="E26" connectionId="0">
    <xmlCellPr id="1" xr6:uid="{E3981C3C-F90D-4114-A120-DF3D7FDDACDC}" uniqueName="DriverPoints">
      <xmlPr mapId="7" xpath="/MAKE/AOP/AOP_Far_Side/AE-MDB/Neck/Lateral_Flexion/Mx_neck_base/@DriverPoints" xmlDataType="decimal"/>
    </xmlCellPr>
  </singleXmlCell>
  <singleXmlCell id="3542" xr6:uid="{3B04FEE7-B7D5-434D-B554-DCAB1F1C19D3}" r="D28" connectionId="0">
    <xmlCellPr id="1" xr6:uid="{F1058434-04BF-43CB-8842-5D73320BA561}" uniqueName="DriverValue">
      <xmlPr mapId="7" xpath="/MAKE/AOP/AOP_Far_Side/AE-MDB/Neck/Extension/MyOC/@DriverValue" xmlDataType="decimal"/>
    </xmlCellPr>
  </singleXmlCell>
  <singleXmlCell id="3543" xr6:uid="{BB353948-43DA-45F2-97AD-3A188BF43FF4}" r="E28" connectionId="0">
    <xmlCellPr id="1" xr6:uid="{080FBE21-3045-4A0B-9941-A43B67B2C9A5}" uniqueName="DriverPoints">
      <xmlPr mapId="7" xpath="/MAKE/AOP/AOP_Far_Side/AE-MDB/Neck/Extension/MyOC/@DriverPoints" xmlDataType="decimal"/>
    </xmlCellPr>
  </singleXmlCell>
  <singleXmlCell id="3544" xr6:uid="{24E3E392-CA8E-447C-9B05-AA78BEBC7049}" r="D29" connectionId="0">
    <xmlCellPr id="1" xr6:uid="{D50D9A83-AE23-4E9A-B6D7-DBEA1211CE65}" uniqueName="DriverValue">
      <xmlPr mapId="7" xpath="/MAKE/AOP/AOP_Far_Side/AE-MDB/Neck/Extension/My_neck_base/@DriverValue" xmlDataType="decimal"/>
    </xmlCellPr>
  </singleXmlCell>
  <singleXmlCell id="3547" xr6:uid="{5B96879A-3ED8-414B-89FB-49D15C90AF74}" r="D43" connectionId="0">
    <xmlCellPr id="1" xr6:uid="{42287226-3B43-40C0-8530-2F687C489A7A}" uniqueName="DriverPoints">
      <xmlPr mapId="7" xpath="/MAKE/AOP/AOP_Far_Side/AE-MDB/Chest_and_Abdomen/@DriverPoints" xmlDataType="decimal"/>
    </xmlCellPr>
  </singleXmlCell>
  <singleXmlCell id="3548" xr6:uid="{448FE65B-1737-459B-9613-07574D44B97E}" r="D34" connectionId="0">
    <xmlCellPr id="1" xr6:uid="{27ACE557-75EF-4687-85DE-53FF69121A2C}" uniqueName="DriverValue">
      <xmlPr mapId="7" xpath="/MAKE/AOP/AOP_Far_Side/AE-MDB/Chest_and_Abdomen/Lateral_Compression/Top/@DriverValue" xmlDataType="decimal"/>
    </xmlCellPr>
  </singleXmlCell>
  <singleXmlCell id="3549" xr6:uid="{234001C8-3746-4535-B690-618F4FECE81E}" r="E34" connectionId="0">
    <xmlCellPr id="1" xr6:uid="{2CB8092E-B32A-43CA-AE2C-881824C77712}" uniqueName="DriverPoints">
      <xmlPr mapId="7" xpath="/MAKE/AOP/AOP_Far_Side/AE-MDB/Chest_and_Abdomen/Lateral_Compression/Top/@DriverPoints" xmlDataType="decimal"/>
    </xmlCellPr>
  </singleXmlCell>
  <singleXmlCell id="3550" xr6:uid="{935A225A-97B1-40C6-AE72-4320D5D95B1B}" r="D35" connectionId="0">
    <xmlCellPr id="1" xr6:uid="{C1E18B34-99CB-4766-B01A-E5D1768BD970}" uniqueName="DriverValue">
      <xmlPr mapId="7" xpath="/MAKE/AOP/AOP_Far_Side/AE-MDB/Chest_and_Abdomen/Lateral_Compression/Middle/@DriverValue" xmlDataType="decimal"/>
    </xmlCellPr>
  </singleXmlCell>
  <singleXmlCell id="3551" xr6:uid="{9C8F7522-FCC8-47D2-B37E-3BE78A784BBE}" r="E35" connectionId="0">
    <xmlCellPr id="1" xr6:uid="{23D91B50-13FB-48C5-990A-10C3BAB936B3}" uniqueName="DriverPoints">
      <xmlPr mapId="7" xpath="/MAKE/AOP/AOP_Far_Side/AE-MDB/Chest_and_Abdomen/Lateral_Compression/Middle/@DriverPoints" xmlDataType="decimal"/>
    </xmlCellPr>
  </singleXmlCell>
  <singleXmlCell id="3552" xr6:uid="{C039CF3A-97CA-4271-AA31-4229D1CB9699}" r="D36" connectionId="0">
    <xmlCellPr id="1" xr6:uid="{7900641F-D915-4F4D-B9EB-F25CD15DE279}" uniqueName="DriverValue">
      <xmlPr mapId="7" xpath="/MAKE/AOP/AOP_Far_Side/AE-MDB/Chest_and_Abdomen/Lateral_Compression/Bottom/@DriverValue" xmlDataType="decimal"/>
    </xmlCellPr>
  </singleXmlCell>
  <singleXmlCell id="3553" xr6:uid="{674B9502-F51F-4C9B-BD72-69D46F7E9C90}" r="E36" connectionId="0">
    <xmlCellPr id="1" xr6:uid="{02A187CD-CB73-472B-B0BB-AB1E39484395}" uniqueName="DriverPoints">
      <xmlPr mapId="7" xpath="/MAKE/AOP/AOP_Far_Side/AE-MDB/Chest_and_Abdomen/Lateral_Compression/Bottom/@DriverPoints" xmlDataType="decimal"/>
    </xmlCellPr>
  </singleXmlCell>
  <singleXmlCell id="3554" xr6:uid="{CAA132B7-AB9C-42B1-8430-B1FE969A4FAE}" r="D39" connectionId="0">
    <xmlCellPr id="1" xr6:uid="{5D0536A9-455D-4AB0-8FBC-5881296E7B8A}" uniqueName="DriverValue">
      <xmlPr mapId="7" xpath="/MAKE/AOP/AOP_Far_Side/AE-MDB/Chest_and_Abdomen/Abdom_Rib_Lat_Compress/Top/@DriverValue" xmlDataType="decimal"/>
    </xmlCellPr>
  </singleXmlCell>
  <singleXmlCell id="3555" xr6:uid="{1D045991-B14B-42FF-A199-085BBF4CC12E}" r="E39" connectionId="0">
    <xmlCellPr id="1" xr6:uid="{27D61210-8262-4B59-BA37-64F7FAB030AF}" uniqueName="DriverPoints">
      <xmlPr mapId="7" xpath="/MAKE/AOP/AOP_Far_Side/AE-MDB/Chest_and_Abdomen/Abdom_Rib_Lat_Compress/Top/@DriverPoints" xmlDataType="decimal"/>
    </xmlCellPr>
  </singleXmlCell>
  <singleXmlCell id="3556" xr6:uid="{9331AFC9-6A80-4D2B-B5BE-8B4A3DAFD7B1}" r="D40" connectionId="0">
    <xmlCellPr id="1" xr6:uid="{12C2CFD1-1BC1-40B7-8569-D99DB12C1406}" uniqueName="DriverValue">
      <xmlPr mapId="7" xpath="/MAKE/AOP/AOP_Far_Side/AE-MDB/Chest_and_Abdomen/Abdom_Rib_Lat_Compress/Bottom/@DriverValue" xmlDataType="decimal"/>
    </xmlCellPr>
  </singleXmlCell>
  <singleXmlCell id="3557" xr6:uid="{24A08CC9-77A8-4AF5-A6E9-07ED122D49C3}" r="E40" connectionId="0">
    <xmlCellPr id="1" xr6:uid="{45ECB509-233A-4637-8CB1-D39564831ADC}" uniqueName="DriverPoints">
      <xmlPr mapId="7" xpath="/MAKE/AOP/AOP_Far_Side/AE-MDB/Chest_and_Abdomen/Abdom_Rib_Lat_Compress/Bottom/@DriverPoints" xmlDataType="decimal"/>
    </xmlCellPr>
  </singleXmlCell>
  <singleXmlCell id="3558" xr6:uid="{16CD1638-C914-4CEA-A825-2030513D9D2D}" r="D50" connectionId="0">
    <xmlCellPr id="1" xr6:uid="{485E4061-0BB3-49B4-ACD9-40275B0F1653}" uniqueName="DriverPoints">
      <xmlPr mapId="7" xpath="/MAKE/AOP/AOP_Far_Side/AE-MDB/Pelvis/@DriverPoints" xmlDataType="decimal"/>
    </xmlCellPr>
  </singleXmlCell>
  <singleXmlCell id="3559" xr6:uid="{866723BC-C509-451B-827F-BAB493AF4276}" r="D46" connectionId="0">
    <xmlCellPr id="1" xr6:uid="{9EE64BCD-EAC7-414A-8E55-5977929FD513}" uniqueName="DriverValue">
      <xmlPr mapId="7" xpath="/MAKE/AOP/AOP_Far_Side/AE-MDB/Pelvis/Pubic_Symph/@DriverValue" xmlDataType="decimal"/>
    </xmlCellPr>
  </singleXmlCell>
  <singleXmlCell id="3560" xr6:uid="{D5504C35-497E-4D9C-A753-333DD805F055}" r="E46" connectionId="0">
    <xmlCellPr id="1" xr6:uid="{FCF3AAC1-3967-44B9-B1C9-E4836A20CF55}" uniqueName="DriverPoints">
      <xmlPr mapId="7" xpath="/MAKE/AOP/AOP_Far_Side/AE-MDB/Pelvis/Pubic_Symph/@DriverPoints" xmlDataType="decimal"/>
    </xmlCellPr>
  </singleXmlCell>
  <singleXmlCell id="3561" xr6:uid="{C6C62F3E-69A0-429F-9B98-D8D74BD144D2}" r="D47" connectionId="0">
    <xmlCellPr id="1" xr6:uid="{102CA7F3-7429-4293-B7F2-ACB670213EA9}" uniqueName="DriverValue">
      <xmlPr mapId="7" xpath="/MAKE/AOP/AOP_Far_Side/AE-MDB/Pelvis/Lumbar_Fy/@DriverValue" xmlDataType="decimal"/>
    </xmlCellPr>
  </singleXmlCell>
  <singleXmlCell id="3562" xr6:uid="{B14F8F9F-0549-47D5-918F-AA42A6608A24}" r="E47" connectionId="0">
    <xmlCellPr id="1" xr6:uid="{648EFD32-DB07-4296-A09A-5D94869A234D}" uniqueName="DriverPoints">
      <xmlPr mapId="7" xpath="/MAKE/AOP/AOP_Far_Side/AE-MDB/Pelvis/Lumbar_Fy/@DriverPoints" xmlDataType="decimal"/>
    </xmlCellPr>
  </singleXmlCell>
  <singleXmlCell id="3563" xr6:uid="{A4E642C3-8C75-41FB-8160-FE8CB2D81B27}" r="D48" connectionId="0">
    <xmlCellPr id="1" xr6:uid="{5C27F5A5-751A-457F-A475-23A3C56FCCE5}" uniqueName="DriverValue">
      <xmlPr mapId="7" xpath="/MAKE/AOP/AOP_Far_Side/AE-MDB/Pelvis/Lumbar_Fz/@DriverValue" xmlDataType="decimal"/>
    </xmlCellPr>
  </singleXmlCell>
  <singleXmlCell id="3564" xr6:uid="{6C29B5AB-EC95-4A58-AA02-6C9132487A97}" r="E48" connectionId="0">
    <xmlCellPr id="1" xr6:uid="{ED3595B3-2D1A-43BC-B17C-54F76C53FFE4}" uniqueName="DriverPoints">
      <xmlPr mapId="7" xpath="/MAKE/AOP/AOP_Far_Side/AE-MDB/Pelvis/Lumbar_Fz/@DriverPoints" xmlDataType="decimal"/>
    </xmlCellPr>
  </singleXmlCell>
  <singleXmlCell id="3565" xr6:uid="{B27F3541-BBA1-4F0F-B124-589FA29E7BA6}" r="D49" connectionId="0">
    <xmlCellPr id="1" xr6:uid="{63D275A7-A4E4-42FD-8425-6987D3C50E54}" uniqueName="DriverValue">
      <xmlPr mapId="7" xpath="/MAKE/AOP/AOP_Far_Side/AE-MDB/Pelvis/Lumbar_Mx/@DriverValue" xmlDataType="decimal"/>
    </xmlCellPr>
  </singleXmlCell>
  <singleXmlCell id="3566" xr6:uid="{B7D859C9-A05B-4EB9-8D51-ADB6F7A4550B}" r="E49" connectionId="0">
    <xmlCellPr id="1" xr6:uid="{91324475-13D1-422B-868A-2BCB2410510A}" uniqueName="DriverPoints">
      <xmlPr mapId="7" xpath="/MAKE/AOP/AOP_Far_Side/AE-MDB/Pelvis/Lumbar_Mx/@DriverPoints" xmlDataType="decimal"/>
    </xmlCellPr>
  </singleXmlCell>
  <singleXmlCell id="3567" xr6:uid="{84452600-617A-4A0C-BC2F-9BF6167F57C5}" r="D53" connectionId="0">
    <xmlCellPr id="1" xr6:uid="{777C83ED-A820-4756-9D30-00BCA14C7079}" uniqueName="DriverPoints">
      <xmlPr mapId="7" xpath="/MAKE/AOP/AOP_Far_Side/AE-MDB/SUMMARY/Head_assessment/@DriverPoints" xmlDataType="decimal"/>
    </xmlCellPr>
  </singleXmlCell>
  <singleXmlCell id="3569" xr6:uid="{60ACF29E-622A-4E2E-819C-8F3ED9BDD771}" r="D56" connectionId="0">
    <xmlCellPr id="1" xr6:uid="{FFFAE2A5-55D2-477F-933C-E87F231E30F6}" uniqueName="DriverPoints">
      <xmlPr mapId="7" xpath="/MAKE/AOP/AOP_Far_Side/AE-MDB/SUMMARY/Pelvis_assessment/@DriverPoints" xmlDataType="decimal"/>
    </xmlCellPr>
  </singleXmlCell>
  <singleXmlCell id="3571" xr6:uid="{B33FB384-7D6F-428C-ABBB-2946E2E4AA40}" r="D62" connectionId="0">
    <xmlCellPr id="1" xr6:uid="{0069C7FA-B1C8-41C4-85B7-13E7AE3506AA}" uniqueName="Assessment">
      <xmlPr mapId="7" xpath="/MAKE/AOP/AOP_Far_Side/AE-MDB/Occupant_to_Occupant/Head_to_Head/@Assessment" xmlDataType="string"/>
    </xmlCellPr>
  </singleXmlCell>
  <singleXmlCell id="3572" xr6:uid="{05033669-69BF-4C75-BD27-66A3F9740551}" r="E62" connectionId="0">
    <xmlCellPr id="1" xr6:uid="{87183135-3E9F-4236-A889-2A25E50B8DB8}" uniqueName="Score">
      <xmlPr mapId="7" xpath="/MAKE/AOP/AOP_Far_Side/AE-MDB/Occupant_to_Occupant/Head_to_Head/@Score" xmlDataType="decimal"/>
    </xmlCellPr>
  </singleXmlCell>
  <singleXmlCell id="3573" xr6:uid="{BDC242C7-7BC9-4062-B4B4-646CD77B3724}" r="D63" connectionId="0">
    <xmlCellPr id="1" xr6:uid="{1FCDA137-80C9-4998-A8E5-6ED4C25C735F}" uniqueName="DriverValue">
      <xmlPr mapId="7" xpath="/MAKE/AOP/AOP_Far_Side/AE-MDB/Occupant_to_Occupant/HIC15/@DriverValue" xmlDataType="decimal"/>
    </xmlCellPr>
  </singleXmlCell>
  <singleXmlCell id="3574" xr6:uid="{4D2E9501-D46B-41F2-B7A1-BA7AFB9F44A9}" r="E63" connectionId="0">
    <xmlCellPr id="1" xr6:uid="{6EA49C4C-9620-40F7-9E6E-D59902C54D25}" uniqueName="DriverPoints">
      <xmlPr mapId="7" xpath="/MAKE/AOP/AOP_Far_Side/AE-MDB/Occupant_to_Occupant/HIC15/@DriverPoints" xmlDataType="decimal"/>
    </xmlCellPr>
  </singleXmlCell>
  <singleXmlCell id="3575" xr6:uid="{240ECC26-9EC9-4B37-9B52-C7837CFAD033}" r="D64" connectionId="0">
    <xmlCellPr id="1" xr6:uid="{FE2DFC4A-9A51-4538-A162-84728D6F3C1B}" uniqueName="DriverValue">
      <xmlPr mapId="7" xpath="/MAKE/AOP/AOP_Far_Side/AE-MDB/Occupant_to_Occupant/Res_3msec_exceed/@DriverValue" xmlDataType="decimal"/>
    </xmlCellPr>
  </singleXmlCell>
  <singleXmlCell id="3576" xr6:uid="{667D38FB-F5FB-4034-BDD4-A8E84690DDF7}" r="E64" connectionId="0">
    <xmlCellPr id="1" xr6:uid="{8C4B2B3A-7599-4E87-BC4B-B3818EAB998D}" uniqueName="DriverPoints">
      <xmlPr mapId="7" xpath="/MAKE/AOP/AOP_Far_Side/AE-MDB/Occupant_to_Occupant/Res_3msec_exceed/@DriverPoints" xmlDataType="decimal"/>
    </xmlCellPr>
  </singleXmlCell>
  <singleXmlCell id="3577" xr6:uid="{0BDF1844-4081-442D-B6E4-2042256C95DE}" r="D65" connectionId="0">
    <xmlCellPr id="1" xr6:uid="{5B5897EE-A33B-4D1F-98F8-E25205EFF4DC}" uniqueName="Assessment">
      <xmlPr mapId="7" xpath="/MAKE/AOP/AOP_Far_Side/AE-MDB/Occupant_to_Occupant/Symmetrical_Performance/@Assessment" xmlDataType="string"/>
    </xmlCellPr>
  </singleXmlCell>
  <singleXmlCell id="3578" xr6:uid="{AC381414-2903-4DA0-9531-6EF5746AE082}" r="E65" connectionId="0">
    <xmlCellPr id="1" xr6:uid="{61EAB591-F287-4575-B970-586C6FE69EA2}" uniqueName="Score">
      <xmlPr mapId="7" xpath="/MAKE/AOP/AOP_Far_Side/AE-MDB/Occupant_to_Occupant/Symmetrical_Performance/@Score" xmlDataType="decimal"/>
    </xmlCellPr>
  </singleXmlCell>
  <singleXmlCell id="3579" xr6:uid="{6EF27536-7607-4F80-9601-7FA0C9001B70}" r="D66" connectionId="0">
    <xmlCellPr id="1" xr6:uid="{CE542C74-D6AA-44B5-A07A-EFD97F597865}" uniqueName="Assessment">
      <xmlPr mapId="7" xpath="/MAKE/AOP/AOP_Far_Side/AE-MDB/Occupant_to_Occupant/Protection_Zone/@Assessment" xmlDataType="string"/>
    </xmlCellPr>
  </singleXmlCell>
  <singleXmlCell id="3580" xr6:uid="{F8B91304-086B-4D7C-BF94-67EEF3EFDCA6}" r="E66" connectionId="0">
    <xmlCellPr id="1" xr6:uid="{00778D54-FCA0-4094-AA27-F3A6B0B9039C}" uniqueName="Score">
      <xmlPr mapId="7" xpath="/MAKE/AOP/AOP_Far_Side/AE-MDB/Occupant_to_Occupant/Protection_Zone/@Score" xmlDataType="decimal"/>
    </xmlCellPr>
  </singleXmlCell>
  <singleXmlCell id="3581" xr6:uid="{ECF63C32-DB36-404B-83D7-B3DC85BEB283}" r="F12" connectionId="0">
    <xmlCellPr id="1" xr6:uid="{C71B443A-0F9E-4E5E-BF19-A51069967607}" uniqueName="Scaling_Factor">
      <xmlPr mapId="7" xpath="/MAKE/AOP/AOP_Far_Side/POLE/Excursion_Zone/@Scaling_Factor" xmlDataType="anyType"/>
    </xmlCellPr>
  </singleXmlCell>
  <singleXmlCell id="3582" xr6:uid="{0FA94760-4818-48B2-AF56-79E8CFF10D8C}" r="F10" connectionId="0">
    <xmlCellPr id="1" xr6:uid="{E09DCB07-B60F-4991-9414-85300E3D1DE1}" uniqueName="Excursion_Zone">
      <xmlPr mapId="7" xpath="/MAKE/AOP/AOP_Far_Side/POLE/Excursion_Zone/Excursion_Zone" xmlDataType="string"/>
    </xmlCellPr>
  </singleXmlCell>
  <singleXmlCell id="3583" xr6:uid="{BFCFF490-8666-4BE8-863B-77FCE9778F22}" r="F11" connectionId="0">
    <xmlCellPr id="1" xr6:uid="{9AA9F615-850A-4FF2-88CB-ADC773ED958E}" uniqueName="Red_line_125mm">
      <xmlPr mapId="7" xpath="/MAKE/AOP/AOP_Far_Side/POLE/Excursion_Zone/Red_line_125mm" xmlDataType="string"/>
    </xmlCellPr>
  </singleXmlCell>
  <singleXmlCell id="3585" xr6:uid="{2416185E-C082-4513-B187-D2A4C856AC10}" r="F18" connectionId="0">
    <xmlCellPr id="1" xr6:uid="{85E5A827-1A70-41F0-BC06-F3E6E41D04D4}" uniqueName="DriverPoints">
      <xmlPr mapId="7" xpath="/MAKE/AOP/AOP_Far_Side/POLE/Head/@DriverPoints" xmlDataType="decimal"/>
    </xmlCellPr>
  </singleXmlCell>
  <singleXmlCell id="3590" xr6:uid="{75A5B268-C415-4B6F-A3B6-C599818C24DA}" r="F15" connectionId="0">
    <xmlCellPr id="1" xr6:uid="{A60D1DBA-EA52-4760-A0F0-1C0316859719}" uniqueName="Hard_Contact">
      <xmlPr mapId="7" xpath="/MAKE/AOP/AOP_Far_Side/POLE/Head/Hard_Contact" xmlDataType="string"/>
    </xmlCellPr>
  </singleXmlCell>
  <singleXmlCell id="3591" xr6:uid="{BCC7F5D9-9C64-4AEF-ADB5-7CA9E8062CDA}" r="F16" connectionId="0">
    <xmlCellPr id="1" xr6:uid="{CD6D840A-703E-478D-BA72-20ADFC570B32}" uniqueName="HIC15">
      <xmlPr mapId="7" xpath="/MAKE/AOP/AOP_Far_Side/POLE/Head/HIC15" xmlDataType="decimal"/>
    </xmlCellPr>
  </singleXmlCell>
  <singleXmlCell id="3592" xr6:uid="{AE1A12E6-E525-4CBB-B61B-3CD3002BBDAE}" r="F17" connectionId="0">
    <xmlCellPr id="1" xr6:uid="{888D4E99-E1B2-458F-9662-7BB4346E8AE6}" uniqueName="DriverValue">
      <xmlPr mapId="7" xpath="/MAKE/AOP/AOP_Far_Side/POLE/Head/Resultant_3_msec/@DriverValue" xmlDataType="decimal"/>
    </xmlCellPr>
  </singleXmlCell>
  <singleXmlCell id="3593" xr6:uid="{EA43802F-FDE6-4910-BDDA-71AF49B346CD}" r="G17" connectionId="0">
    <xmlCellPr id="1" xr6:uid="{510ED94E-A06A-4F6D-9DBB-762C26A52A15}" uniqueName="DriverPoints">
      <xmlPr mapId="7" xpath="/MAKE/AOP/AOP_Far_Side/POLE/Head/Resultant_3_msec/@DriverPoints" xmlDataType="decimal"/>
    </xmlCellPr>
  </singleXmlCell>
  <singleXmlCell id="3594" xr6:uid="{BE56DCF9-F02C-4E3A-9B7E-99DB8657F65F}" r="F22" connectionId="0">
    <xmlCellPr id="1" xr6:uid="{13404364-D8AA-4896-866B-54A2C6EA87A9}" uniqueName="DriverValue">
      <xmlPr mapId="7" xpath="/MAKE/AOP/AOP_Far_Side/POLE/Neck/Tension_Fz/Upper_Neck/@DriverValue" xmlDataType="decimal"/>
    </xmlCellPr>
  </singleXmlCell>
  <singleXmlCell id="3595" xr6:uid="{E8074597-29B2-4A43-94CC-D9AC9724D662}" r="G22" connectionId="0">
    <xmlCellPr id="1" xr6:uid="{BC2EBE17-7456-45AF-89F7-DA71396166F6}" uniqueName="DriverPoints">
      <xmlPr mapId="7" xpath="/MAKE/AOP/AOP_Far_Side/POLE/Neck/Tension_Fz/Upper_Neck/@DriverPoints" xmlDataType="decimal"/>
    </xmlCellPr>
  </singleXmlCell>
  <singleXmlCell id="3596" xr6:uid="{0EDE6807-F831-4973-A155-6A1B3773D6B7}" r="F23" connectionId="0">
    <xmlCellPr id="1" xr6:uid="{C7495E4B-DD61-4187-92AE-2481955E2D30}" uniqueName="DriverValue">
      <xmlPr mapId="7" xpath="/MAKE/AOP/AOP_Far_Side/POLE/Neck/Tension_Fz/Lower_Neck/@DriverValue" xmlDataType="decimal"/>
    </xmlCellPr>
  </singleXmlCell>
  <singleXmlCell id="3597" xr6:uid="{8A834F57-6AA0-4441-A069-8E2355AF40D5}" r="G23" connectionId="0">
    <xmlCellPr id="1" xr6:uid="{49DE2189-CA71-4783-A3DD-E9F0D8BC7EBD}" uniqueName="DriverPoints">
      <xmlPr mapId="7" xpath="/MAKE/AOP/AOP_Far_Side/POLE/Neck/Tension_Fz/Lower_Neck/@DriverPoints" xmlDataType="decimal"/>
    </xmlCellPr>
  </singleXmlCell>
  <singleXmlCell id="3598" xr6:uid="{BBAD4E80-F771-4B79-AE61-A6CDE4178E52}" r="F25" connectionId="0">
    <xmlCellPr id="1" xr6:uid="{5F331F6C-33E5-44CD-AB9F-AF32E16E67B1}" uniqueName="DriverValue">
      <xmlPr mapId="7" xpath="/MAKE/AOP/AOP_Far_Side/POLE/Neck/Lateral_Flexion/MxOC/@DriverValue" xmlDataType="decimal"/>
    </xmlCellPr>
  </singleXmlCell>
  <singleXmlCell id="3599" xr6:uid="{2AEFA46E-7C28-4DA7-9C29-04266EEA6DAF}" r="G25" connectionId="0">
    <xmlCellPr id="1" xr6:uid="{D43EF463-7CEC-4173-85CF-F9CBF91AB83D}" uniqueName="DriverPoints">
      <xmlPr mapId="7" xpath="/MAKE/AOP/AOP_Far_Side/POLE/Neck/Lateral_Flexion/MxOC/@DriverPoints" xmlDataType="decimal"/>
    </xmlCellPr>
  </singleXmlCell>
  <singleXmlCell id="3600" xr6:uid="{68B47825-09E0-4A75-A151-AFCB1BD5EE8A}" r="F26" connectionId="0">
    <xmlCellPr id="1" xr6:uid="{93F22D5B-9714-4347-BAFD-93C7D01ACA5A}" uniqueName="DriverValue">
      <xmlPr mapId="7" xpath="/MAKE/AOP/AOP_Far_Side/POLE/Neck/Lateral_Flexion/Mx_neck_base/@DriverValue" xmlDataType="decimal"/>
    </xmlCellPr>
  </singleXmlCell>
  <singleXmlCell id="3601" xr6:uid="{2BCF7E46-663C-4C1A-9BE0-61D036E57AC6}" r="G26" connectionId="0">
    <xmlCellPr id="1" xr6:uid="{0DE7CAE6-07B4-4639-8693-CEE817C18EF5}" uniqueName="DriverPoints">
      <xmlPr mapId="7" xpath="/MAKE/AOP/AOP_Far_Side/POLE/Neck/Lateral_Flexion/Mx_neck_base/@DriverPoints" xmlDataType="decimal"/>
    </xmlCellPr>
  </singleXmlCell>
  <singleXmlCell id="3602" xr6:uid="{2F4DD7A3-A900-4DBE-A17E-34AD8F760AEA}" r="F28" connectionId="0">
    <xmlCellPr id="1" xr6:uid="{E52B64AA-D135-4C98-A12E-BA50D13B49F9}" uniqueName="DriverValue">
      <xmlPr mapId="7" xpath="/MAKE/AOP/AOP_Far_Side/POLE/Neck/Extension/MyOC/@DriverValue" xmlDataType="decimal"/>
    </xmlCellPr>
  </singleXmlCell>
  <singleXmlCell id="3603" xr6:uid="{837A6DF2-E4FF-43B0-856B-DA2FD851BBE0}" r="G28" connectionId="0">
    <xmlCellPr id="1" xr6:uid="{6586CEE9-31A2-45C7-BC17-063B671359DA}" uniqueName="DriverPoints">
      <xmlPr mapId="7" xpath="/MAKE/AOP/AOP_Far_Side/POLE/Neck/Extension/MyOC/@DriverPoints" xmlDataType="decimal"/>
    </xmlCellPr>
  </singleXmlCell>
  <singleXmlCell id="3604" xr6:uid="{5392FA98-190D-4189-BFEC-6DF5E32805E8}" r="F29" connectionId="0">
    <xmlCellPr id="1" xr6:uid="{0DB13D1E-9125-40BB-B71D-7B6516BE7CFD}" uniqueName="DriverValue">
      <xmlPr mapId="7" xpath="/MAKE/AOP/AOP_Far_Side/POLE/Neck/Extension/My_neck_base/@DriverValue" xmlDataType="decimal"/>
    </xmlCellPr>
  </singleXmlCell>
  <singleXmlCell id="3606" xr6:uid="{5DC18ED7-E7D6-4182-BD25-FBA1E69E3BDB}" r="F30" connectionId="0">
    <xmlCellPr id="1" xr6:uid="{F191D09E-1512-48F8-8075-E280FB5A2FAC}" uniqueName="DriverPoints">
      <xmlPr mapId="7" xpath="/MAKE/AOP/AOP_Far_Side/POLE/Neck/@DriverPoints" xmlDataType="decimal"/>
    </xmlCellPr>
  </singleXmlCell>
  <singleXmlCell id="3607" xr6:uid="{80FE3903-AA51-41F0-8D5C-165CD8346AD7}" r="F43" connectionId="0">
    <xmlCellPr id="1" xr6:uid="{D41D2801-FC6F-46A1-BB7C-F79B77DFBC4C}" uniqueName="DriverPoints">
      <xmlPr mapId="7" xpath="/MAKE/AOP/AOP_Far_Side/POLE/Chest_and_Abdomen/@DriverPoints" xmlDataType="decimal"/>
    </xmlCellPr>
  </singleXmlCell>
  <singleXmlCell id="3608" xr6:uid="{BD5F9E46-40FE-4C9E-86ED-383F50190DFE}" r="F34" connectionId="0">
    <xmlCellPr id="1" xr6:uid="{086A985E-0BA7-4DC9-A0F6-4288FD5346D6}" uniqueName="DriverValue">
      <xmlPr mapId="7" xpath="/MAKE/AOP/AOP_Far_Side/POLE/Chest_and_Abdomen/Lateral_Compression/Top/@DriverValue" xmlDataType="decimal"/>
    </xmlCellPr>
  </singleXmlCell>
  <singleXmlCell id="3609" xr6:uid="{18B80E1A-3902-4DBD-94E7-72CC0CD8760F}" r="G34" connectionId="0">
    <xmlCellPr id="1" xr6:uid="{A3C7333D-45D2-4A35-BE36-C85FBFB379DB}" uniqueName="DriverPoints">
      <xmlPr mapId="7" xpath="/MAKE/AOP/AOP_Far_Side/POLE/Chest_and_Abdomen/Lateral_Compression/Top/@DriverPoints" xmlDataType="decimal"/>
    </xmlCellPr>
  </singleXmlCell>
  <singleXmlCell id="3610" xr6:uid="{9E770FB9-1D9F-4BD9-9781-E56CACEBF31D}" r="F35" connectionId="0">
    <xmlCellPr id="1" xr6:uid="{7FDE9210-B1E7-40B4-B1F4-F167061EE9D9}" uniqueName="DriverValue">
      <xmlPr mapId="7" xpath="/MAKE/AOP/AOP_Far_Side/POLE/Chest_and_Abdomen/Lateral_Compression/Middle/@DriverValue" xmlDataType="decimal"/>
    </xmlCellPr>
  </singleXmlCell>
  <singleXmlCell id="3611" xr6:uid="{C5E6E688-553E-407E-AA97-CDB193BEBAA2}" r="G35" connectionId="0">
    <xmlCellPr id="1" xr6:uid="{00148444-5349-4ED7-87D2-B31E136A7C7F}" uniqueName="DriverPoints">
      <xmlPr mapId="7" xpath="/MAKE/AOP/AOP_Far_Side/POLE/Chest_and_Abdomen/Lateral_Compression/Middle/@DriverPoints" xmlDataType="decimal"/>
    </xmlCellPr>
  </singleXmlCell>
  <singleXmlCell id="3612" xr6:uid="{E40DE0B8-6567-49AD-B61B-0EA1D653710B}" r="F36" connectionId="0">
    <xmlCellPr id="1" xr6:uid="{F4E4188E-B673-4E3A-AE61-C33180811BFF}" uniqueName="DriverValue">
      <xmlPr mapId="7" xpath="/MAKE/AOP/AOP_Far_Side/POLE/Chest_and_Abdomen/Lateral_Compression/Bottom/@DriverValue" xmlDataType="decimal"/>
    </xmlCellPr>
  </singleXmlCell>
  <singleXmlCell id="3613" xr6:uid="{667198DD-C408-415C-8395-680B2E3D0048}" r="G36" connectionId="0">
    <xmlCellPr id="1" xr6:uid="{25031CA5-389C-41B9-B3C6-2EDB4D4D8B36}" uniqueName="DriverPoints">
      <xmlPr mapId="7" xpath="/MAKE/AOP/AOP_Far_Side/POLE/Chest_and_Abdomen/Lateral_Compression/Bottom/@DriverPoints" xmlDataType="decimal"/>
    </xmlCellPr>
  </singleXmlCell>
  <singleXmlCell id="3614" xr6:uid="{E290315D-96D6-4A58-A9C9-2B1A3BD871C6}" r="F39" connectionId="0">
    <xmlCellPr id="1" xr6:uid="{571EE7BC-B76B-4B3A-BD18-BC0F15ECDE54}" uniqueName="DriverValue">
      <xmlPr mapId="7" xpath="/MAKE/AOP/AOP_Far_Side/POLE/Chest_and_Abdomen/Abdom_Rib_Lat_Compress/Top/@DriverValue" xmlDataType="decimal"/>
    </xmlCellPr>
  </singleXmlCell>
  <singleXmlCell id="3615" xr6:uid="{C0610071-BF3B-4A43-AD16-6205B11965D7}" r="G39" connectionId="0">
    <xmlCellPr id="1" xr6:uid="{2DCC2A29-847E-446B-9AE9-CE1EF851B708}" uniqueName="DriverPoints">
      <xmlPr mapId="7" xpath="/MAKE/AOP/AOP_Far_Side/POLE/Chest_and_Abdomen/Abdom_Rib_Lat_Compress/Top/@DriverPoints" xmlDataType="decimal"/>
    </xmlCellPr>
  </singleXmlCell>
  <singleXmlCell id="3616" xr6:uid="{B71E56EE-F574-4E9F-8940-EC54B017F8FB}" r="F40" connectionId="0">
    <xmlCellPr id="1" xr6:uid="{325FA0FB-1B39-41CD-B8A2-FE1D39237FAF}" uniqueName="DriverValue">
      <xmlPr mapId="7" xpath="/MAKE/AOP/AOP_Far_Side/POLE/Chest_and_Abdomen/Abdom_Rib_Lat_Compress/Bottom/@DriverValue" xmlDataType="decimal"/>
    </xmlCellPr>
  </singleXmlCell>
  <singleXmlCell id="3617" xr6:uid="{FC8E9C65-88D0-43E7-8E9A-E9BEBEBD4237}" r="G40" connectionId="0">
    <xmlCellPr id="1" xr6:uid="{D003F971-2CFD-46D6-BCE6-2007F73FF727}" uniqueName="DriverPoints">
      <xmlPr mapId="7" xpath="/MAKE/AOP/AOP_Far_Side/POLE/Chest_and_Abdomen/Abdom_Rib_Lat_Compress/Bottom/@DriverPoints" xmlDataType="decimal"/>
    </xmlCellPr>
  </singleXmlCell>
  <singleXmlCell id="3618" xr6:uid="{35535971-5245-4118-AA39-29C950FB237A}" r="F50" connectionId="0">
    <xmlCellPr id="1" xr6:uid="{97103302-9018-477E-BAEC-8BA6778D08C6}" uniqueName="DriverPoints">
      <xmlPr mapId="7" xpath="/MAKE/AOP/AOP_Far_Side/POLE/Pelvis/@DriverPoints" xmlDataType="decimal"/>
    </xmlCellPr>
  </singleXmlCell>
  <singleXmlCell id="3619" xr6:uid="{198495A7-3C34-4B67-BA89-3752F5B182A0}" r="F46" connectionId="0">
    <xmlCellPr id="1" xr6:uid="{63E41CB1-44DD-40BE-AFB9-99403D58C810}" uniqueName="DriverValue">
      <xmlPr mapId="7" xpath="/MAKE/AOP/AOP_Far_Side/POLE/Pelvis/Pubic_Symph/@DriverValue" xmlDataType="decimal"/>
    </xmlCellPr>
  </singleXmlCell>
  <singleXmlCell id="3620" xr6:uid="{07313950-51CB-49EC-A384-46294AB97EDE}" r="G46" connectionId="0">
    <xmlCellPr id="1" xr6:uid="{7760833C-8FD6-44ED-B565-83F4D13042F1}" uniqueName="DriverPoints">
      <xmlPr mapId="7" xpath="/MAKE/AOP/AOP_Far_Side/POLE/Pelvis/Pubic_Symph/@DriverPoints" xmlDataType="decimal"/>
    </xmlCellPr>
  </singleXmlCell>
  <singleXmlCell id="3621" xr6:uid="{37A96CF0-6382-4B39-8EE6-B3FE31EC44A7}" r="F47" connectionId="0">
    <xmlCellPr id="1" xr6:uid="{998DF2EF-09C4-4881-B3A9-DE839B12A782}" uniqueName="DriverValue">
      <xmlPr mapId="7" xpath="/MAKE/AOP/AOP_Far_Side/POLE/Pelvis/Lumbar_Fy/@DriverValue" xmlDataType="decimal"/>
    </xmlCellPr>
  </singleXmlCell>
  <singleXmlCell id="3622" xr6:uid="{1D9E18FA-01AC-43CB-91D8-1C7FC588A801}" r="G47" connectionId="0">
    <xmlCellPr id="1" xr6:uid="{E8F764AD-FF69-4B39-83D0-FEE2D99ECEFA}" uniqueName="DriverPoints">
      <xmlPr mapId="7" xpath="/MAKE/AOP/AOP_Far_Side/POLE/Pelvis/Lumbar_Fy/@DriverPoints" xmlDataType="decimal"/>
    </xmlCellPr>
  </singleXmlCell>
  <singleXmlCell id="3623" xr6:uid="{F9E77F35-0C17-44CE-80D0-571B732F50FB}" r="F48" connectionId="0">
    <xmlCellPr id="1" xr6:uid="{23B086ED-5655-48C5-8A83-B89A4725C411}" uniqueName="DriverValue">
      <xmlPr mapId="7" xpath="/MAKE/AOP/AOP_Far_Side/POLE/Pelvis/Lumbar_Fz/@DriverValue" xmlDataType="decimal"/>
    </xmlCellPr>
  </singleXmlCell>
  <singleXmlCell id="3624" xr6:uid="{201E7EAD-771C-4E3B-95E5-9FD2F6B7675E}" r="G48" connectionId="0">
    <xmlCellPr id="1" xr6:uid="{C7394214-F41F-4124-BC25-E3E124ECF176}" uniqueName="DriverPoints">
      <xmlPr mapId="7" xpath="/MAKE/AOP/AOP_Far_Side/POLE/Pelvis/Lumbar_Fz/@DriverPoints" xmlDataType="decimal"/>
    </xmlCellPr>
  </singleXmlCell>
  <singleXmlCell id="3625" xr6:uid="{56368EB8-8E16-4ECC-B809-234ED3055F64}" r="F49" connectionId="0">
    <xmlCellPr id="1" xr6:uid="{0D374A3A-36F8-4B3F-88C4-EE742877B4BD}" uniqueName="DriverValue">
      <xmlPr mapId="7" xpath="/MAKE/AOP/AOP_Far_Side/POLE/Pelvis/Lumbar_Mx/@DriverValue" xmlDataType="decimal"/>
    </xmlCellPr>
  </singleXmlCell>
  <singleXmlCell id="3626" xr6:uid="{37A57E2E-D96F-4257-B202-4DC86EFD100D}" r="G49" connectionId="0">
    <xmlCellPr id="1" xr6:uid="{705415FB-349A-4499-85C7-CDDF0ABF5AED}" uniqueName="DriverPoints">
      <xmlPr mapId="7" xpath="/MAKE/AOP/AOP_Far_Side/POLE/Pelvis/Lumbar_Mx/@DriverPoints" xmlDataType="decimal"/>
    </xmlCellPr>
  </singleXmlCell>
  <singleXmlCell id="3627" xr6:uid="{F37BCA5F-56AA-4E15-A134-2AAC75BF975A}" r="F53" connectionId="0">
    <xmlCellPr id="1" xr6:uid="{85A673FC-C4CD-4580-ABE2-234DC727396E}" uniqueName="DriverPoints">
      <xmlPr mapId="7" xpath="/MAKE/AOP/AOP_Far_Side/POLE/SUMMARY/Head_assessment/@DriverPoints" xmlDataType="decimal"/>
    </xmlCellPr>
  </singleXmlCell>
  <singleXmlCell id="3628" xr6:uid="{6F52896A-58A9-4D4B-950A-39994B1B2083}" r="F56" connectionId="0">
    <xmlCellPr id="1" xr6:uid="{7C846BF4-950A-4F23-BCC9-7BD02C9F1ACD}" uniqueName="DriverPoints">
      <xmlPr mapId="7" xpath="/MAKE/AOP/AOP_Far_Side/POLE/SUMMARY/Pelvis_assessment/@DriverPoints" xmlDataType="decimal"/>
    </xmlCellPr>
  </singleXmlCell>
  <singleXmlCell id="3629" xr6:uid="{68B3B8E6-DDFD-4F0C-A90C-32CF940F8C28}" r="D59" connectionId="0">
    <xmlCellPr id="1" xr6:uid="{C502BB47-625A-4329-AFB1-F0BBFBF9B302}" uniqueName="TEST_SCORE">
      <xmlPr mapId="7" xpath="/MAKE/AOP/AOP_Far_Side/AE-MDB/TEST_SCORE" xmlDataType="decimal"/>
    </xmlCellPr>
  </singleXmlCell>
  <singleXmlCell id="3630" xr6:uid="{BC380C31-F4D7-43DC-888C-55D3D9F0568C}" r="F59" connectionId="0">
    <xmlCellPr id="1" xr6:uid="{2042EEBB-88D5-4B6E-9068-61771A187900}" uniqueName="TEST_SCORE">
      <xmlPr mapId="7" xpath="/MAKE/AOP/AOP_Far_Side/POLE/TEST_SCORE" xmlDataType="decimal"/>
    </xmlCellPr>
  </singleXmlCell>
  <singleXmlCell id="3631" xr6:uid="{0A9C7E39-75A4-4D9C-832E-FB84F9B14973}" r="F62" connectionId="0">
    <xmlCellPr id="1" xr6:uid="{291DDDD0-45B5-4810-8AED-C7D9D7207B22}" uniqueName="Assessment">
      <xmlPr mapId="7" xpath="/MAKE/AOP/AOP_Far_Side/POLE/Occupant_to_Occupant/Head_to_Head/@Assessment" xmlDataType="string"/>
    </xmlCellPr>
  </singleXmlCell>
  <singleXmlCell id="3632" xr6:uid="{53FB6CFE-753D-45FF-97D8-7D0ED3DC6185}" r="G62" connectionId="0">
    <xmlCellPr id="1" xr6:uid="{9B136806-9A2F-4A49-B8A1-568E1A2818DB}" uniqueName="Score">
      <xmlPr mapId="7" xpath="/MAKE/AOP/AOP_Far_Side/POLE/Occupant_to_Occupant/Head_to_Head/@Score" xmlDataType="decimal"/>
    </xmlCellPr>
  </singleXmlCell>
  <singleXmlCell id="3633" xr6:uid="{F547161C-6C0F-413A-96F0-F6EEBC2548A9}" r="F63" connectionId="0">
    <xmlCellPr id="1" xr6:uid="{98117462-A05F-4CF6-BEE0-0929FA3F284B}" uniqueName="DriverValue">
      <xmlPr mapId="7" xpath="/MAKE/AOP/AOP_Far_Side/POLE/Occupant_to_Occupant/HIC15/@DriverValue" xmlDataType="decimal"/>
    </xmlCellPr>
  </singleXmlCell>
  <singleXmlCell id="3634" xr6:uid="{E042C71A-8DD8-4E37-BA7E-5738B6820C4F}" r="G63" connectionId="0">
    <xmlCellPr id="1" xr6:uid="{E2CC3B72-02AF-497D-9DBF-260DA98617A9}" uniqueName="DriverPoints">
      <xmlPr mapId="7" xpath="/MAKE/AOP/AOP_Far_Side/POLE/Occupant_to_Occupant/HIC15/@DriverPoints" xmlDataType="decimal"/>
    </xmlCellPr>
  </singleXmlCell>
  <singleXmlCell id="3635" xr6:uid="{10A3494C-548A-4976-85E2-D82B7729C273}" r="F64" connectionId="0">
    <xmlCellPr id="1" xr6:uid="{F30D8AAA-7DAA-4854-8F49-0589048C11B7}" uniqueName="DriverValue">
      <xmlPr mapId="7" xpath="/MAKE/AOP/AOP_Far_Side/POLE/Occupant_to_Occupant/Res_3msec_exceed/@DriverValue" xmlDataType="decimal"/>
    </xmlCellPr>
  </singleXmlCell>
  <singleXmlCell id="3636" xr6:uid="{16C21F80-A9BD-47D2-8B6A-CAB14A7B532F}" r="G64" connectionId="0">
    <xmlCellPr id="1" xr6:uid="{A483C227-DBFC-4660-98A8-639E11B90E2A}" uniqueName="DriverPoints">
      <xmlPr mapId="7" xpath="/MAKE/AOP/AOP_Far_Side/POLE/Occupant_to_Occupant/Res_3msec_exceed/@DriverPoints" xmlDataType="decimal"/>
    </xmlCellPr>
  </singleXmlCell>
  <singleXmlCell id="3637" xr6:uid="{5D03FBFA-1FEC-48DA-8837-761ACED0C39B}" r="F65" connectionId="0">
    <xmlCellPr id="1" xr6:uid="{ABB31CA1-26F1-46DB-BC17-86C807CDF47E}" uniqueName="Assessment">
      <xmlPr mapId="7" xpath="/MAKE/AOP/AOP_Far_Side/POLE/Occupant_to_Occupant/Symmetrical_Performance/@Assessment" xmlDataType="string"/>
    </xmlCellPr>
  </singleXmlCell>
  <singleXmlCell id="3638" xr6:uid="{A5DFB885-8847-4D51-B7B2-F3C7F8468048}" r="G65" connectionId="0">
    <xmlCellPr id="1" xr6:uid="{6F24F4CF-CAE2-4531-BE78-C54024A94161}" uniqueName="Score">
      <xmlPr mapId="7" xpath="/MAKE/AOP/AOP_Far_Side/POLE/Occupant_to_Occupant/Symmetrical_Performance/@Score" xmlDataType="decimal"/>
    </xmlCellPr>
  </singleXmlCell>
  <singleXmlCell id="3639" xr6:uid="{355473FF-D753-4489-88D4-A540D6FC47CD}" r="F66" connectionId="0">
    <xmlCellPr id="1" xr6:uid="{5641037D-C122-42B1-9FF2-9499CA91154A}" uniqueName="Assessment">
      <xmlPr mapId="7" xpath="/MAKE/AOP/AOP_Far_Side/POLE/Occupant_to_Occupant/Protection_Zone/@Assessment" xmlDataType="string"/>
    </xmlCellPr>
  </singleXmlCell>
  <singleXmlCell id="3640" xr6:uid="{4322C48C-4E3A-4D6A-BA37-07318C731BBA}" r="G66" connectionId="0">
    <xmlCellPr id="1" xr6:uid="{7137E26D-3974-48AF-AC1D-42BD9A4597A2}" uniqueName="Score">
      <xmlPr mapId="7" xpath="/MAKE/AOP/AOP_Far_Side/POLE/Occupant_to_Occupant/Protection_Zone/@Score" xmlDataType="decimal"/>
    </xmlCellPr>
  </singleXmlCell>
  <singleXmlCell id="3519" xr6:uid="{6BE52CB5-658C-498C-8549-A5EB9E6139F7}" r="D54" connectionId="0">
    <xmlCellPr id="1" xr6:uid="{2090D093-7EDD-43D4-AF56-08EAA4D40777}" uniqueName="DriverPoints">
      <xmlPr mapId="7" xpath="/MAKE/AOP/AOP_Far_Side/AE-MDB/SUMMARY/Neck_assessment/@DriverPoints" xmlDataType="decimal"/>
    </xmlCellPr>
  </singleXmlCell>
  <singleXmlCell id="3520" xr6:uid="{7A03D092-0F45-4142-A25F-165BEF6EC4A7}" r="D55" connectionId="0">
    <xmlCellPr id="1" xr6:uid="{079D509E-31C3-4D0C-A565-F0EEA7377D84}" uniqueName="DriverPoints">
      <xmlPr mapId="7" xpath="/MAKE/AOP/AOP_Far_Side/AE-MDB/SUMMARY/Chest_abdomen_assessment/@DriverPoints" xmlDataType="decimal"/>
    </xmlCellPr>
  </singleXmlCell>
  <singleXmlCell id="3546" xr6:uid="{1C00C98E-7FF0-4372-993E-D2180E599F07}" r="F54" connectionId="0">
    <xmlCellPr id="1" xr6:uid="{26FE119A-006E-477E-8A24-4F19D5A03DD4}" uniqueName="DriverPoints">
      <xmlPr mapId="7" xpath="/MAKE/AOP/AOP_Far_Side/POLE/SUMMARY/Neck_assessment/@DriverPoints" xmlDataType="decimal"/>
    </xmlCellPr>
  </singleXmlCell>
  <singleXmlCell id="3568" xr6:uid="{A5013F8E-2258-4561-8BDB-21A8349D2641}" r="F55" connectionId="0">
    <xmlCellPr id="1" xr6:uid="{72C6CE9D-D2EB-45CA-A6FC-DCB8C82C5AA4}" uniqueName="DriverPoints">
      <xmlPr mapId="7" xpath="/MAKE/AOP/AOP_Far_Side/POLE/SUMMARY/Chest_abdomen_assessment/@DriverPoints" xmlDataType="decimal"/>
    </xmlCellPr>
  </singleXmlCell>
  <singleXmlCell id="3570" xr6:uid="{06130223-DBEC-4DE9-8544-267509B82C9D}" r="F6" connectionId="0">
    <xmlCellPr id="1" xr6:uid="{DDFA4F62-0B24-4ECC-AD48-69DA44F84810}" uniqueName="Structural_Failue">
      <xmlPr mapId="7" xpath="/MAKE/AOP/AOP_Far_Side/POLE/Prerequisites/Structural_Failue" xmlDataType="string"/>
    </xmlCellPr>
  </singleXmlCell>
  <singleXmlCell id="3584" xr6:uid="{EA352EF8-EE3D-4DC6-B16B-B9EDE579310A}" r="F7" connectionId="0">
    <xmlCellPr id="1" xr6:uid="{C6A04963-CC5C-4C6C-B0FC-B3346D744794}" uniqueName="Restraint_Failue">
      <xmlPr mapId="7" xpath="/MAKE/AOP/AOP_Far_Side/POLE/Prerequisites/Restraint_Failue" xmlDataType="string"/>
    </xmlCellPr>
  </singleXmlCell>
  <singleXmlCell id="3641" xr6:uid="{6BA142A0-3D13-490F-B363-49D7C78FDBD9}" r="D6" connectionId="0">
    <xmlCellPr id="1" xr6:uid="{F9082EC6-F3FD-450F-8728-61808A5FC41B}" uniqueName="Structural_Failue">
      <xmlPr mapId="7" xpath="/MAKE/AOP/AOP_Far_Side/AE-MDB/Prerequisites/Structural_Failue" xmlDataType="string"/>
    </xmlCellPr>
  </singleXmlCell>
  <singleXmlCell id="3642" xr6:uid="{8D87374A-B94C-4498-BB9A-C3ED40D7469B}" r="D7" connectionId="0">
    <xmlCellPr id="1" xr6:uid="{3E3D16B8-738C-4BF4-B3BD-4C9BBC1F8975}" uniqueName="Restraint_Failue">
      <xmlPr mapId="7" xpath="/MAKE/AOP/AOP_Far_Side/AE-MDB/Prerequisites/Restraint_Failue" xmlDataType="string"/>
    </xmlCellPr>
  </singleXmlCell>
</singleXmlCells>
</file>

<file path=xl/tables/tableSingleCells8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3643" xr6:uid="{1E5E4B40-BFD9-4C9D-99B8-2C6E2E235664}" r="D76" connectionId="0">
    <xmlCellPr id="1" xr6:uid="{590F9574-8E9E-4A24-A0C3-1A8E7A2770E6}" uniqueName="TOTAL_WHIPLASH">
      <xmlPr mapId="7" xpath="/MAKE/AOP/AOP_Whiplash/@TOTAL_WHIPLASH" xmlDataType="decimal"/>
    </xmlCellPr>
  </singleXmlCell>
  <singleXmlCell id="3647" xr6:uid="{FC88488C-136D-4D2F-BC38-EAD9704544C2}" r="D13" connectionId="0">
    <xmlCellPr id="1" xr6:uid="{6A5F27E5-DA80-485D-BD3C-46A372CB8A65}" uniqueName="Total">
      <xmlPr mapId="7" xpath="/MAKE/AOP/AOP_Whiplash/Static_assessment/Geometric_assessment_test_position/@Total" xmlDataType="decimal"/>
    </xmlCellPr>
  </singleXmlCell>
  <singleXmlCell id="3659" xr6:uid="{97314B5A-2FCC-4FAF-910E-72789B452998}" r="D12" connectionId="0">
    <xmlCellPr id="1" xr6:uid="{DA20BB20-96AB-424B-B867-08DBE6BDE03D}" uniqueName="MidPulseValue">
      <xmlPr mapId="7" xpath="/MAKE/AOP/AOP_Whiplash/Static_assessment/Geometric_assessment_test_position/Test_position/Backset_HRMD_mm/@MidPulseValue" xmlDataType="decimal"/>
    </xmlCellPr>
  </singleXmlCell>
  <singleXmlCell id="3660" xr6:uid="{9DDA3C24-57FD-49A1-9075-37608D1B81E8}" r="F12" connectionId="0">
    <xmlCellPr id="1" xr6:uid="{BD4ADC53-66D1-4B28-B8C4-F75E48685723}" uniqueName="HighPulseValue">
      <xmlPr mapId="7" xpath="/MAKE/AOP/AOP_Whiplash/Static_assessment/Geometric_assessment_test_position/Test_position/Backset_HRMD_mm/@HighPulseValue" xmlDataType="decimal"/>
    </xmlCellPr>
  </singleXmlCell>
  <singleXmlCell id="3661" xr6:uid="{EFE89067-8C28-4685-9ABB-ECBEF1B0E65A}" r="D11" connectionId="0">
    <xmlCellPr id="1" xr6:uid="{48CC8821-FF77-4EFD-A69B-EA9480C1985D}" uniqueName="MidPulseValue">
      <xmlPr mapId="7" xpath="/MAKE/AOP/AOP_Whiplash/Static_assessment/Geometric_assessment_test_position/Test_position/Height_HRMD_mm/@MidPulseValue" xmlDataType="decimal"/>
    </xmlCellPr>
  </singleXmlCell>
  <singleXmlCell id="3662" xr6:uid="{8A446E43-B460-4CD0-B4C6-9FEE13C8A091}" r="F11" connectionId="0">
    <xmlCellPr id="1" xr6:uid="{AFAEFBA5-704C-4D18-950E-2F2B68B59F0F}" uniqueName="HighPulseValue">
      <xmlPr mapId="7" xpath="/MAKE/AOP/AOP_Whiplash/Static_assessment/Geometric_assessment_test_position/Test_position/Height_HRMD_mm/@HighPulseValue" xmlDataType="decimal"/>
    </xmlCellPr>
  </singleXmlCell>
  <singleXmlCell id="3684" xr6:uid="{23A75BC1-FE89-40FB-B6F0-203319CB41BA}" r="D40" connectionId="0">
    <xmlCellPr id="1" xr6:uid="{15924844-26C6-42E8-9D78-3C1224975AF5}" uniqueName="Total2">
      <xmlPr mapId="7" xpath="/MAKE/AOP/AOP_Whiplash/Dynamic_assessment/@Total2" xmlDataType="decimal"/>
    </xmlCellPr>
  </singleXmlCell>
  <singleXmlCell id="3685" xr6:uid="{9A7ECD01-93DD-42C5-AC94-39E98432ED72}" r="F40" connectionId="0">
    <xmlCellPr id="1" xr6:uid="{93314E99-1EEF-47BD-8271-68AF1247AA31}" uniqueName="Total3">
      <xmlPr mapId="7" xpath="/MAKE/AOP/AOP_Whiplash/Dynamic_assessment/@Total3" xmlDataType="decimal"/>
    </xmlCellPr>
  </singleXmlCell>
  <singleXmlCell id="3696" xr6:uid="{016E62AF-99FF-4C84-8813-FC3ABD52FCCC}" r="D30" connectionId="0">
    <xmlCellPr id="1" xr6:uid="{7987C40B-EB17-4094-B5FE-3561738D4ECE}" uniqueName="MidPulseValue">
      <xmlPr mapId="7" xpath="/MAKE/AOP/AOP_Whiplash/Dynamic_assessment/Nkm/@MidPulseValue" xmlDataType="decimal"/>
    </xmlCellPr>
  </singleXmlCell>
  <singleXmlCell id="3697" xr6:uid="{A11A1F8B-78F5-48D1-9BD7-7318703CC9B4}" r="F30" connectionId="0">
    <xmlCellPr id="1" xr6:uid="{1EB5BEB7-6104-4897-92B9-E9D9430672F4}" uniqueName="HighPulseValue">
      <xmlPr mapId="7" xpath="/MAKE/AOP/AOP_Whiplash/Dynamic_assessment/Nkm/@HighPulseValue" xmlDataType="decimal"/>
    </xmlCellPr>
  </singleXmlCell>
  <singleXmlCell id="3698" xr6:uid="{C1D4583F-95D5-49A5-A663-15864BD8F328}" r="D31" connectionId="0">
    <xmlCellPr id="1" xr6:uid="{2A029279-1519-4DC6-929C-1181444F37B9}" uniqueName="MidPulseValue">
      <xmlPr mapId="7" xpath="/MAKE/AOP/AOP_Whiplash/Dynamic_assessment/Rebound_head_vel_rel_sled_ms/@MidPulseValue" xmlDataType="decimal"/>
    </xmlCellPr>
  </singleXmlCell>
  <singleXmlCell id="3699" xr6:uid="{8667F850-10C9-416F-BD42-E5C4AAB6B1D4}" r="F31" connectionId="0">
    <xmlCellPr id="1" xr6:uid="{26715384-277E-42B1-8556-728DB0F2DA87}" uniqueName="HighPulseValue">
      <xmlPr mapId="7" xpath="/MAKE/AOP/AOP_Whiplash/Dynamic_assessment/Rebound_head_vel_rel_sled_ms/@HighPulseValue" xmlDataType="decimal"/>
    </xmlCellPr>
  </singleXmlCell>
  <singleXmlCell id="3700" xr6:uid="{2FCDF9EC-28F2-480E-88E7-7463F3335978}" r="D32" connectionId="0">
    <xmlCellPr id="1" xr6:uid="{430D97AA-65C5-4910-9033-86F93430FA79}" uniqueName="MidPulseValue">
      <xmlPr mapId="7" xpath="/MAKE/AOP/AOP_Whiplash/Dynamic_assessment/UPPER_Neck_Shear_Neg_Fx/@MidPulseValue" xmlDataType="decimal"/>
    </xmlCellPr>
  </singleXmlCell>
  <singleXmlCell id="3701" xr6:uid="{C4187FDE-F057-4F9F-BF71-6946F3853591}" r="F32" connectionId="0">
    <xmlCellPr id="1" xr6:uid="{253F981F-5684-4DA2-9F8A-FF2C20DC0384}" uniqueName="HighPulseValue">
      <xmlPr mapId="7" xpath="/MAKE/AOP/AOP_Whiplash/Dynamic_assessment/UPPER_Neck_Shear_Neg_Fx/@HighPulseValue" xmlDataType="decimal"/>
    </xmlCellPr>
  </singleXmlCell>
  <singleXmlCell id="3702" xr6:uid="{28951DEE-EE5A-47C8-AFED-76845C059D0E}" r="D33" connectionId="0">
    <xmlCellPr id="1" xr6:uid="{93A1E80B-9F05-4E6D-A794-16DDEE70E46E}" uniqueName="MidPulseValue">
      <xmlPr mapId="7" xpath="/MAKE/AOP/AOP_Whiplash/Dynamic_assessment/UPPER_Neck_Extension_Flexion_My/@MidPulseValue" xmlDataType="decimal"/>
    </xmlCellPr>
  </singleXmlCell>
  <singleXmlCell id="3703" xr6:uid="{693A6C06-F9A6-4CA2-8A5F-22ECA3ACBFBC}" r="F33" connectionId="0">
    <xmlCellPr id="1" xr6:uid="{2232F655-2D08-424B-9915-8BBD66AD2ADB}" uniqueName="HighPulseValue">
      <xmlPr mapId="7" xpath="/MAKE/AOP/AOP_Whiplash/Dynamic_assessment/UPPER_Neck_Extension_Flexion_My/@HighPulseValue" xmlDataType="decimal"/>
    </xmlCellPr>
  </singleXmlCell>
  <singleXmlCell id="3704" xr6:uid="{30718890-9A72-4A71-872B-C8FC1C2C9D59}" r="D34" connectionId="0">
    <xmlCellPr id="1" xr6:uid="{8F414CA6-7E88-4AA7-A62B-7115244163C3}" uniqueName="MidPulseValue">
      <xmlPr mapId="7" xpath="/MAKE/AOP/AOP_Whiplash/Dynamic_assessment/LOWER_Neck_Shear_Abs_Fx/@MidPulseValue" xmlDataType="decimal"/>
    </xmlCellPr>
  </singleXmlCell>
  <singleXmlCell id="3705" xr6:uid="{BE9784AA-99C0-440F-B979-55C3D9C48746}" r="F34" connectionId="0">
    <xmlCellPr id="1" xr6:uid="{6724B769-CD78-4028-8F33-1C6D369ECE76}" uniqueName="HighPulseValue">
      <xmlPr mapId="7" xpath="/MAKE/AOP/AOP_Whiplash/Dynamic_assessment/LOWER_Neck_Shear_Abs_Fx/@HighPulseValue" xmlDataType="decimal"/>
    </xmlCellPr>
  </singleXmlCell>
  <singleXmlCell id="3706" xr6:uid="{B30800EA-01DF-4AAC-BA58-ACAE5545DE67}" r="D35" connectionId="0">
    <xmlCellPr id="1" xr6:uid="{9CC0597B-A092-46F8-8D3A-449B80F84112}" uniqueName="MidPulseValue">
      <xmlPr mapId="7" xpath="/MAKE/AOP/AOP_Whiplash/Dynamic_assessment/LOWER_Neck_Extension_Flexion_My/@MidPulseValue" xmlDataType="decimal"/>
    </xmlCellPr>
  </singleXmlCell>
  <singleXmlCell id="3707" xr6:uid="{B89E6D1A-589E-4C44-9CEC-2DCE0BB6447A}" r="F35" connectionId="0">
    <xmlCellPr id="1" xr6:uid="{2635D52F-D5FB-48B4-B7F7-91B76666F529}" uniqueName="HighPulseValue">
      <xmlPr mapId="7" xpath="/MAKE/AOP/AOP_Whiplash/Dynamic_assessment/LOWER_Neck_Extension_Flexion_My/@HighPulseValue" xmlDataType="decimal"/>
    </xmlCellPr>
  </singleXmlCell>
  <singleXmlCell id="3708" xr6:uid="{762186EC-3202-4F8D-AF85-2F7D53CE1D9B}" r="D36" connectionId="0">
    <xmlCellPr id="1" xr6:uid="{337BC3CA-7176-424C-8A47-E499EE38AA57}" uniqueName="MidPulseValue">
      <xmlPr mapId="7" xpath="/MAKE/AOP/AOP_Whiplash/Dynamic_assessment/T1_x_acc_g/@MidPulseValue" xmlDataType="decimal"/>
    </xmlCellPr>
  </singleXmlCell>
  <singleXmlCell id="3709" xr6:uid="{B3F0323A-2598-4064-856C-7E137F49E8E3}" r="F36" connectionId="0">
    <xmlCellPr id="1" xr6:uid="{5AC019F5-8E97-4369-AD4C-A3CC08DA3032}" uniqueName="HighPulseValue">
      <xmlPr mapId="7" xpath="/MAKE/AOP/AOP_Whiplash/Dynamic_assessment/T1_x_acc_g/@HighPulseValue" xmlDataType="decimal"/>
    </xmlCellPr>
  </singleXmlCell>
  <singleXmlCell id="3710" xr6:uid="{11075F15-CC22-4C4A-9A01-B0CC8E6A69D7}" r="D37" connectionId="0">
    <xmlCellPr id="1" xr6:uid="{074F8BE0-4D17-4FA0-9AAA-6840C1E0BB35}" uniqueName="MidPulseValue">
      <xmlPr mapId="7" xpath="/MAKE/AOP/AOP_Whiplash/Dynamic_assessment/Head_contact_start_ms/@MidPulseValue" xmlDataType="decimal"/>
    </xmlCellPr>
  </singleXmlCell>
  <singleXmlCell id="3711" xr6:uid="{046EEB9D-930F-475A-A522-E53ABAA0E726}" r="F37" connectionId="0">
    <xmlCellPr id="1" xr6:uid="{635A072C-78C3-471E-8264-76B59941FEF5}" uniqueName="HighPulseValue">
      <xmlPr mapId="7" xpath="/MAKE/AOP/AOP_Whiplash/Dynamic_assessment/Head_contact_start_ms/@HighPulseValue" xmlDataType="decimal"/>
    </xmlCellPr>
  </singleXmlCell>
  <singleXmlCell id="3712" xr6:uid="{5B769357-B946-445D-97AC-D66FE8E513DA}" r="F39" connectionId="0">
    <xmlCellPr id="1" xr6:uid="{32C711C0-28D9-4BCC-9494-400DF6FA9F9B}" uniqueName="HighPulseValue">
      <xmlPr mapId="7" xpath="/MAKE/AOP/AOP_Whiplash/Dynamic_assessment/Max_Seat_Back_Dynamic_Deflection_degree/@HighPulseValue" xmlDataType="decimal"/>
    </xmlCellPr>
  </singleXmlCell>
  <singleXmlCell id="3716" xr6:uid="{4F935503-4176-4DE5-A7A9-5CA8E27B0BF6}" r="D74" connectionId="0">
    <xmlCellPr id="1" xr6:uid="{D59713DE-0A3F-4765-81DD-E8895B005096}" uniqueName="Points">
      <xmlPr mapId="7" xpath="/MAKE/AOP/AOP_Whiplash/TOTAL_REAR_WHIPLASH/@Points" xmlDataType="decimal"/>
    </xmlCellPr>
  </singleXmlCell>
  <singleXmlCell id="3717" xr6:uid="{42B0C8FA-03B4-42AE-8665-15E276848D92}" r="D73" connectionId="0">
    <xmlCellPr id="1" xr6:uid="{BE8E2282-C198-4F64-9CBD-6A4336D0FD97}" uniqueName="Points">
      <xmlPr mapId="7" xpath="/MAKE/AOP/AOP_Whiplash/TOTAL_FRONT_WHIPLASH/@Points" xmlDataType="decimal"/>
    </xmlCellPr>
  </singleXmlCell>
  <singleXmlCell id="3718" xr6:uid="{08E053AD-AC19-480E-A5CA-1F05F33F6620}" r="D69" connectionId="0">
    <xmlCellPr id="1" xr6:uid="{DA81AB91-EF8D-4073-9ED4-003C7E8626D5}" uniqueName="Static_assessment">
      <xmlPr mapId="7" xpath="/MAKE/AOP/AOP_Whiplash/SUMMARY/Static_assessment" xmlDataType="decimal"/>
    </xmlCellPr>
  </singleXmlCell>
  <singleXmlCell id="3719" xr6:uid="{545D6620-2F34-4F11-A173-16717E77122E}" r="D70" connectionId="0">
    <xmlCellPr id="1" xr6:uid="{C37D37E2-AC87-44BB-A443-79A8DF833C5A}" uniqueName="Dynamic_assessment">
      <xmlPr mapId="7" xpath="/MAKE/AOP/AOP_Whiplash/SUMMARY/Dynamic_assessment" xmlDataType="decimal"/>
    </xmlCellPr>
  </singleXmlCell>
  <singleXmlCell id="3720" xr6:uid="{EDCCC4D8-CC2A-4D01-86A6-A746CFF19A28}" r="D71" connectionId="0">
    <xmlCellPr id="1" xr6:uid="{0EAE1213-57AD-4D32-BD9D-46A70D8CAC2D}" uniqueName="Dummy_Artifact_Loading">
      <xmlPr mapId="7" xpath="/MAKE/AOP/AOP_Whiplash/SUMMARY/Dummy_Artifact_Loading" xmlDataType="decimal"/>
    </xmlCellPr>
  </singleXmlCell>
  <singleXmlCell id="3722" xr6:uid="{09C49332-DD3D-43FD-8366-6B91A86DAD04}" r="D6" connectionId="0">
    <xmlCellPr id="1" xr6:uid="{4C71713A-0078-4720-92E0-A953FC6D5637}" uniqueName="Driver">
      <xmlPr mapId="7" xpath="/MAKE/GENERAL/SAFETY_EQUIPMENT/ADULT_OCCUPANT/WHIPLASH/head_restraint/@Driver" xmlDataType="string"/>
    </xmlCellPr>
  </singleXmlCell>
  <singleXmlCell id="3723" xr6:uid="{BFAE5EF7-6936-4027-947C-FB79215A4496}" r="D7" connectionId="0">
    <xmlCellPr id="1" xr6:uid="{E52ED099-86BB-4408-B319-C7076E979BF5}" uniqueName="Driver">
      <xmlPr mapId="7" xpath="/MAKE/GENERAL/SAFETY_EQUIPMENT/ADULT_OCCUPANT/WHIPLASH/type_of_seat/@Driver" xmlDataType="string"/>
    </xmlCellPr>
  </singleXmlCell>
  <singleXmlCell id="3724" xr6:uid="{2854E39E-84EE-48FC-9D3A-73A80EDB3085}" r="D64" connectionId="0">
    <xmlCellPr id="1" xr6:uid="{169EA5DC-5E48-4658-9609-4C1512144762}" uniqueName="Total">
      <xmlPr mapId="7" xpath="/MAKE/AOP/AOP_Whiplash/Rear_Whiplash_assessment/Rear_NonUse_Position_Assessment/@Total" xmlDataType="decimal"/>
    </xmlCellPr>
  </singleXmlCell>
  <singleXmlCell id="3725" xr6:uid="{C109D00F-05F3-40C6-8CF8-556B7A777510}" r="D59" connectionId="0">
    <xmlCellPr id="1" xr6:uid="{EA3F7643-D88C-4804-81E5-FA4B4481AD11}" uniqueName="Automatic_return_head_restraints">
      <xmlPr mapId="7" xpath="/MAKE/AOP/AOP_Whiplash/Rear_Whiplash_assessment/Rear_NonUse_Position_Assessment/Automatic_return_head_restraints" xmlDataType="string"/>
    </xmlCellPr>
  </singleXmlCell>
  <singleXmlCell id="3726" xr6:uid="{F2E9130C-11E5-40C4-9BB8-98BB7E38B0A6}" r="D60" connectionId="0">
    <xmlCellPr id="1" xr6:uid="{D544E6CB-6E17-4F1F-9087-A2A236C867FF}" uniqueName="Rotation_evaluation">
      <xmlPr mapId="7" xpath="/MAKE/AOP/AOP_Whiplash/Rear_Whiplash_assessment/Rear_NonUse_Position_Assessment/Rotation_evaluation" xmlDataType="string"/>
    </xmlCellPr>
  </singleXmlCell>
  <singleXmlCell id="3727" xr6:uid="{033156E8-EC14-4DF6-A73D-C4D44703833F}" r="D61" connectionId="0">
    <xmlCellPr id="1" xr6:uid="{05A2247B-74FE-4BBF-A235-87A1AAC9B88B}" uniqueName="Torso_line_change">
      <xmlPr mapId="7" xpath="/MAKE/AOP/AOP_Whiplash/Rear_Whiplash_assessment/Rear_NonUse_Position_Assessment/Torso_line_change" xmlDataType="string"/>
    </xmlCellPr>
  </singleXmlCell>
  <singleXmlCell id="3728" xr6:uid="{A319BB9B-B6C5-4D5A-B5A0-0698D143526B}" r="D62" connectionId="0">
    <xmlCellPr id="1" xr6:uid="{9DAF31E7-9129-4521-AFF5-2F0544A20E02}" uniqueName="Discomfort_metric">
      <xmlPr mapId="7" xpath="/MAKE/AOP/AOP_Whiplash/Rear_Whiplash_assessment/Rear_NonUse_Position_Assessment/Discomfort_metric" xmlDataType="string"/>
    </xmlCellPr>
  </singleXmlCell>
  <singleXmlCell id="3729" xr6:uid="{AE0C4345-8D2F-4318-B048-4C3F1DE2ADCB}" r="F59" connectionId="0">
    <xmlCellPr id="1" xr6:uid="{C4FF62C9-2EFA-4A57-B280-FD43F1AAD0B2}" uniqueName="Row3_Auto_return">
      <xmlPr mapId="7" xpath="/MAKE/AOP/AOP_Whiplash/Rear_Whiplash_assessment/Rear_NonUse_Position_Assessment/Automatic_return_head_restraints/@Row3_Auto_return" xmlDataType="string"/>
    </xmlCellPr>
  </singleXmlCell>
  <singleXmlCell id="3730" xr6:uid="{211C6C42-162E-4D8F-9205-45060A63B3BC}" r="F60" connectionId="0">
    <xmlCellPr id="1" xr6:uid="{E80541AF-D611-4AEF-B251-4BDE104BAF17}" uniqueName="Row3_Rotation">
      <xmlPr mapId="7" xpath="/MAKE/AOP/AOP_Whiplash/Rear_Whiplash_assessment/Rear_NonUse_Position_Assessment/Rotation_evaluation/@Row3_Rotation" xmlDataType="string"/>
    </xmlCellPr>
  </singleXmlCell>
  <singleXmlCell id="3731" xr6:uid="{9797AF0A-B3F8-4A71-9AE3-ECE9850C4DEB}" r="F61" connectionId="0">
    <xmlCellPr id="1" xr6:uid="{6FDB21D9-047B-40DB-BF57-74AC9E8F9F3B}" uniqueName="Row3_Torsoline">
      <xmlPr mapId="7" xpath="/MAKE/AOP/AOP_Whiplash/Rear_Whiplash_assessment/Rear_NonUse_Position_Assessment/Torso_line_change/@Row3_Torsoline" xmlDataType="string"/>
    </xmlCellPr>
  </singleXmlCell>
  <singleXmlCell id="3732" xr6:uid="{315B938D-2F60-4E5C-BA3B-D0B1F3CC98ED}" r="F62" connectionId="0">
    <xmlCellPr id="1" xr6:uid="{3184F40D-6FD1-4BF5-86FE-9F8FC97FE0CA}" uniqueName="Row3_Discomfort">
      <xmlPr mapId="7" xpath="/MAKE/AOP/AOP_Whiplash/Rear_Whiplash_assessment/Rear_NonUse_Position_Assessment/Discomfort_metric/@Row3_Discomfort" xmlDataType="string"/>
    </xmlCellPr>
  </singleXmlCell>
  <singleXmlCell id="3733" xr6:uid="{62596F4C-8B12-424E-821E-DCA85A45BC83}" r="D56" connectionId="0">
    <xmlCellPr id="1" xr6:uid="{0BD7591F-2B94-4C13-8862-2EF7C62E0A15}" uniqueName="Total">
      <xmlPr mapId="7" xpath="/MAKE/AOP/AOP_Whiplash/Rear_Whiplash_assessment/Rear_Backset_Assessment/@Total" xmlDataType="decimal"/>
    </xmlCellPr>
  </singleXmlCell>
  <singleXmlCell id="3734" xr6:uid="{DC96D263-3166-4238-8639-C86DA8A2D84A}" r="D52" connectionId="0">
    <xmlCellPr id="1" xr6:uid="{87F9AE13-F46A-4375-B0AC-A6690CF03300}" uniqueName="Value1">
      <xmlPr mapId="7" xpath="/MAKE/AOP/AOP_Whiplash/Rear_Whiplash_assessment/Rear_Backset_Assessment/Torso_angle_deg/@Value1" xmlDataType="decimal"/>
    </xmlCellPr>
  </singleXmlCell>
  <singleXmlCell id="3735" xr6:uid="{862A4164-2B55-41B6-984B-07702FBA44A7}" r="D53" connectionId="0">
    <xmlCellPr id="1" xr6:uid="{B4869833-947A-483B-9F30-FB7CB4385428}" uniqueName="Value1">
      <xmlPr mapId="7" xpath="/MAKE/AOP/AOP_Whiplash/Rear_Whiplash_assessment/Rear_Backset_Assessment/ΔCP_X_mid_position_mm/@Value1" xmlDataType="decimal"/>
    </xmlCellPr>
  </singleXmlCell>
  <singleXmlCell id="3736" xr6:uid="{E23208C9-735C-457F-AC25-2DB41A5BE3AE}" r="D54" connectionId="0">
    <xmlCellPr id="1" xr6:uid="{14DBEF42-F5C4-4C2D-9501-B31E8BAD95E2}" uniqueName="Value1">
      <xmlPr mapId="7" xpath="/MAKE/AOP/AOP_Whiplash/Rear_Whiplash_assessment/Rear_Backset_Assessment/ΔCP_X_worst_case_position_mm/@Value1" xmlDataType="decimal"/>
    </xmlCellPr>
  </singleXmlCell>
  <singleXmlCell id="3737" xr6:uid="{2805260A-6D66-4349-8D58-7142BFD10379}" r="F52" connectionId="0">
    <xmlCellPr id="1" xr6:uid="{9030D164-663E-4487-B962-8F4324765591}" uniqueName="Row3_Value1">
      <xmlPr mapId="7" xpath="/MAKE/AOP/AOP_Whiplash/Rear_Whiplash_assessment/Rear_Backset_Assessment/Torso_angle_deg/@Row3_Value1" xmlDataType="decimal"/>
    </xmlCellPr>
  </singleXmlCell>
  <singleXmlCell id="3738" xr6:uid="{B02AB6D1-1BD0-49F1-8749-77BD36DB3999}" r="F53" connectionId="0">
    <xmlCellPr id="1" xr6:uid="{86D06DB9-39EF-4810-8CC6-45E5958619A7}" uniqueName="Row3_Value1">
      <xmlPr mapId="7" xpath="/MAKE/AOP/AOP_Whiplash/Rear_Whiplash_assessment/Rear_Backset_Assessment/ΔCP_X_mid_position_mm/@Row3_Value1" xmlDataType="decimal"/>
    </xmlCellPr>
  </singleXmlCell>
  <singleXmlCell id="3739" xr6:uid="{7F8FC107-CA0E-43A7-85F8-9AEC93BACE5B}" r="F54" connectionId="0">
    <xmlCellPr id="1" xr6:uid="{1E5B2D81-6D93-4C6C-BE0B-B6DF81513941}" uniqueName="Row3_Value1">
      <xmlPr mapId="7" xpath="/MAKE/AOP/AOP_Whiplash/Rear_Whiplash_assessment/Rear_Backset_Assessment/ΔCP_X_worst_case_position_mm/@Row3_Value1" xmlDataType="decimal"/>
    </xmlCellPr>
  </singleXmlCell>
  <singleXmlCell id="3740" xr6:uid="{4B7CFB60-1E30-4BD7-B441-23F6E3A1D837}" r="D49" connectionId="0">
    <xmlCellPr id="1" xr6:uid="{2357C89C-3F2F-408E-88D0-1128BE271BA8}" uniqueName="Total">
      <xmlPr mapId="7" xpath="/MAKE/AOP/AOP_Whiplash/Rear_Whiplash_assessment/Rear_Effective_Height_assessment/@Total" xmlDataType="decimal"/>
    </xmlCellPr>
  </singleXmlCell>
  <singleXmlCell id="3741" xr6:uid="{D3D829E4-E0F5-46F5-B2FB-AD750DF21B43}" r="D46" connectionId="0">
    <xmlCellPr id="1" xr6:uid="{142C783C-8A33-4CDD-A2D5-FBB8722409F3}" uniqueName="Value">
      <xmlPr mapId="7" xpath="/MAKE/AOP/AOP_Whiplash/Rear_Whiplash_assessment/Rear_Effective_Height_assessment/Effective_Height/Lowest_position_mm/@Value" xmlDataType="decimal"/>
    </xmlCellPr>
  </singleXmlCell>
  <singleXmlCell id="3742" xr6:uid="{17A4269E-181B-41DF-80C1-A0870BCCD015}" r="E46" connectionId="0">
    <xmlCellPr id="1" xr6:uid="{4C417040-5DEB-48D8-8B08-9880178422CB}" uniqueName="Pass_Fail">
      <xmlPr mapId="7" xpath="/MAKE/AOP/AOP_Whiplash/Rear_Whiplash_assessment/Rear_Effective_Height_assessment/Effective_Height/Lowest_position_mm/@Pass_Fail" xmlDataType="string"/>
    </xmlCellPr>
  </singleXmlCell>
  <singleXmlCell id="3743" xr6:uid="{94203833-AB5E-4EBB-A662-88AF9E31114D}" r="F46" connectionId="0">
    <xmlCellPr id="1" xr6:uid="{04EAB535-DF6B-43EF-A95D-84AECE9C6347}" uniqueName="Row3_Value">
      <xmlPr mapId="7" xpath="/MAKE/AOP/AOP_Whiplash/Rear_Whiplash_assessment/Rear_Effective_Height_assessment/Effective_Height/Lowest_position_mm/@Row3_Value" xmlDataType="decimal"/>
    </xmlCellPr>
  </singleXmlCell>
  <singleXmlCell id="3744" xr6:uid="{D601F361-99B9-4B25-AF23-2B2A2237DB49}" r="G46" connectionId="0">
    <xmlCellPr id="1" xr6:uid="{6ADBC853-7BD3-4EB3-B741-8895F816F3A9}" uniqueName="Row3_Pass_Fail">
      <xmlPr mapId="7" xpath="/MAKE/AOP/AOP_Whiplash/Rear_Whiplash_assessment/Rear_Effective_Height_assessment/Effective_Height/Lowest_position_mm/@Row3_Pass_Fail" xmlDataType="string"/>
    </xmlCellPr>
  </singleXmlCell>
  <singleXmlCell id="3746" xr6:uid="{02C073EE-77B3-4C8F-9E25-A476D5C8A6EB}" r="D47" connectionId="0">
    <xmlCellPr id="1" xr6:uid="{FB481114-78C0-45D5-A403-A08B642C63EB}" uniqueName="Value">
      <xmlPr mapId="7" xpath="/MAKE/AOP/AOP_Whiplash/Rear_Whiplash_assessment/Rear_Effective_Height_assessment/Effective_Height/Highest_position_mm/@Value" xmlDataType="decimal"/>
    </xmlCellPr>
  </singleXmlCell>
  <singleXmlCell id="3747" xr6:uid="{08B9636E-70AF-44E2-AE24-09F8BDF1333E}" r="E47" connectionId="0">
    <xmlCellPr id="1" xr6:uid="{8624FC7A-4AE9-4567-A442-5CDBBA99E1DF}" uniqueName="Pass_Fail">
      <xmlPr mapId="7" xpath="/MAKE/AOP/AOP_Whiplash/Rear_Whiplash_assessment/Rear_Effective_Height_assessment/Effective_Height/Highest_position_mm/@Pass_Fail" xmlDataType="string"/>
    </xmlCellPr>
  </singleXmlCell>
  <singleXmlCell id="3748" xr6:uid="{9DE6C41F-D927-4096-989E-F9EA423CF413}" r="F47" connectionId="0">
    <xmlCellPr id="1" xr6:uid="{0BA321E8-CB60-4DFC-8261-19079D4525D9}" uniqueName="Row3_Value">
      <xmlPr mapId="7" xpath="/MAKE/AOP/AOP_Whiplash/Rear_Whiplash_assessment/Rear_Effective_Height_assessment/Effective_Height/Highest_position_mm/@Row3_Value" xmlDataType="decimal"/>
    </xmlCellPr>
  </singleXmlCell>
  <singleXmlCell id="3749" xr6:uid="{6600CEC8-C9D3-4FD7-9217-FF9B75311C5E}" r="G47" connectionId="0">
    <xmlCellPr id="1" xr6:uid="{2BD51DC1-015B-4965-9E78-B800E689B7F6}" uniqueName="Row3_Pass_Fail">
      <xmlPr mapId="7" xpath="/MAKE/AOP/AOP_Whiplash/Rear_Whiplash_assessment/Rear_Effective_Height_assessment/Effective_Height/Highest_position_mm/@Row3_Pass_Fail" xmlDataType="string"/>
    </xmlCellPr>
  </singleXmlCell>
  <singleXmlCell id="3750" xr6:uid="{0603AC1D-1011-478B-8C63-56A2E85C2971}" r="D48" connectionId="0">
    <xmlCellPr id="1" xr6:uid="{FADD7DE3-22E9-40D5-BC95-1E9ABD7D5148}" uniqueName="Less_than_50mm">
      <xmlPr mapId="7" xpath="/MAKE/AOP/AOP_Whiplash/Rear_Whiplash_assessment/Rear_Effective_Height_assessment/Effective_Height/Less_than_50mm" xmlDataType="string"/>
    </xmlCellPr>
  </singleXmlCell>
  <singleXmlCell id="3545" xr6:uid="{F5EA3933-D6A7-47EF-80D3-1B8927F17C24}" r="D26" connectionId="0">
    <xmlCellPr id="1" xr6:uid="{C26EC655-FB16-455E-B5BD-0CBD8D53309F}" uniqueName="Row1_Value">
      <xmlPr mapId="7" xpath="/MAKE/AOP/AOP_Whiplash/Dynamic_assessment/NIC_max_m2s2/@Row1_Value" xmlDataType="decimal"/>
    </xmlCellPr>
  </singleXmlCell>
  <singleXmlCell id="3605" xr6:uid="{B2E76D92-E63E-4516-A76A-6DD6F7AF0AFF}" r="E26" connectionId="0">
    <xmlCellPr id="1" xr6:uid="{BC464988-8BBC-4C06-852B-12A5E0A42099}" uniqueName="Row1_Points">
      <xmlPr mapId="7" xpath="/MAKE/AOP/AOP_Whiplash/Dynamic_assessment/NIC_max_m2s2/@Row1_Points" xmlDataType="decimal"/>
    </xmlCellPr>
  </singleXmlCell>
  <singleXmlCell id="3648" xr6:uid="{D2C8BAAC-96BA-4CA7-801A-789F8091FD0D}" r="F26" connectionId="0">
    <xmlCellPr id="1" xr6:uid="{2492438C-C465-487E-B253-230123BE74A3}" uniqueName="Row2_Value">
      <xmlPr mapId="7" xpath="/MAKE/AOP/AOP_Whiplash/Dynamic_assessment/NIC_max_m2s2/@Row2_Value" xmlDataType="decimal"/>
    </xmlCellPr>
  </singleXmlCell>
  <singleXmlCell id="3649" xr6:uid="{4D84E9FE-F7A9-4DEC-809D-7918C7A8DDE4}" r="G26" connectionId="0">
    <xmlCellPr id="1" xr6:uid="{565041C5-C0B8-48F9-8E15-8D0EC4975272}" uniqueName="Row2_Points">
      <xmlPr mapId="7" xpath="/MAKE/AOP/AOP_Whiplash/Dynamic_assessment/NIC_max_m2s2/@Row2_Points" xmlDataType="decimal"/>
    </xmlCellPr>
  </singleXmlCell>
  <singleXmlCell id="3650" xr6:uid="{8ADD9FC1-1D98-4604-9CEE-401815FCC312}" r="D27" connectionId="0">
    <xmlCellPr id="1" xr6:uid="{CE47EB8A-5128-4509-9269-67FE92D727CD}" uniqueName="Row1_Value">
      <xmlPr mapId="7" xpath="/MAKE/AOP/AOP_Whiplash/Dynamic_assessment/Upper_Neck_ShearP_Pos_Fx/@Row1_Value" xmlDataType="decimal"/>
    </xmlCellPr>
  </singleXmlCell>
  <singleXmlCell id="3651" xr6:uid="{94E7DE5A-D094-43C6-9A9A-56752CCB783C}" r="E27" connectionId="0">
    <xmlCellPr id="1" xr6:uid="{1CC45F57-E901-43AA-AE04-AD5B61B7135E}" uniqueName="Row1_Points">
      <xmlPr mapId="7" xpath="/MAKE/AOP/AOP_Whiplash/Dynamic_assessment/Upper_Neck_ShearP_Pos_Fx/@Row1_Points" xmlDataType="decimal"/>
    </xmlCellPr>
  </singleXmlCell>
  <singleXmlCell id="3652" xr6:uid="{91CF6B3E-B605-40D4-939F-21D3F8FF87F6}" r="F27" connectionId="0">
    <xmlCellPr id="1" xr6:uid="{1926CEDF-A395-48CC-8871-2C4ED1356398}" uniqueName="Row2_Value">
      <xmlPr mapId="7" xpath="/MAKE/AOP/AOP_Whiplash/Dynamic_assessment/Upper_Neck_ShearP_Pos_Fx/@Row2_Value" xmlDataType="decimal"/>
    </xmlCellPr>
  </singleXmlCell>
  <singleXmlCell id="3653" xr6:uid="{B42E3CCA-0C80-4FE7-A981-7BC6E20637C6}" r="G27" connectionId="0">
    <xmlCellPr id="1" xr6:uid="{8B013570-5E8B-4112-841B-2C284AC00161}" uniqueName="Row2_Points">
      <xmlPr mapId="7" xpath="/MAKE/AOP/AOP_Whiplash/Dynamic_assessment/Upper_Neck_ShearP_Pos_Fx/@Row2_Points" xmlDataType="decimal"/>
    </xmlCellPr>
  </singleXmlCell>
  <singleXmlCell id="3654" xr6:uid="{3F3536BE-37EA-465D-B4E8-8BE0AB3E8030}" r="D28" connectionId="0">
    <xmlCellPr id="1" xr6:uid="{59313251-05E7-4769-8D13-45DC6588AC1E}" uniqueName="Row1_Value">
      <xmlPr mapId="7" xpath="/MAKE/AOP/AOP_Whiplash/Dynamic_assessment/Upper_Neck_Tension/@Row1_Value" xmlDataType="decimal"/>
    </xmlCellPr>
  </singleXmlCell>
  <singleXmlCell id="3655" xr6:uid="{D96E47AB-73D0-4671-AAF2-25FB54B03952}" r="E28" connectionId="0">
    <xmlCellPr id="1" xr6:uid="{B53D28DC-3B3F-4A4C-A854-A3EFA95CBD51}" uniqueName="Row1_Points">
      <xmlPr mapId="7" xpath="/MAKE/AOP/AOP_Whiplash/Dynamic_assessment/Upper_Neck_Tension/@Row1_Points" xmlDataType="decimal"/>
    </xmlCellPr>
  </singleXmlCell>
  <singleXmlCell id="3656" xr6:uid="{AC4297A0-432F-4176-AC3B-E4FE636BAA25}" r="F28" connectionId="0">
    <xmlCellPr id="1" xr6:uid="{E32DACFB-D5ED-41F0-B72C-CA477C2C05CF}" uniqueName="Row2_Value">
      <xmlPr mapId="7" xpath="/MAKE/AOP/AOP_Whiplash/Dynamic_assessment/Upper_Neck_Tension/@Row2_Value" xmlDataType="decimal"/>
    </xmlCellPr>
  </singleXmlCell>
  <singleXmlCell id="3657" xr6:uid="{D54C7E42-2BE3-44E3-9C0F-574FAA167095}" r="G28" connectionId="0">
    <xmlCellPr id="1" xr6:uid="{5218986E-6CCB-4B24-9A3A-60375ECD9494}" uniqueName="Row2_Points">
      <xmlPr mapId="7" xpath="/MAKE/AOP/AOP_Whiplash/Dynamic_assessment/Upper_Neck_Tension/@Row2_Points" xmlDataType="decimal"/>
    </xmlCellPr>
  </singleXmlCell>
  <singleXmlCell id="3664" xr6:uid="{221DB3A5-C65D-4930-A9CE-7C374A580A76}" r="D43" connectionId="0">
    <xmlCellPr id="1" xr6:uid="{78E64B08-EAF8-4D2E-B2CA-1E28697A2B67}" uniqueName="Row2">
      <xmlPr mapId="7" xpath="/MAKE/AOP/AOP_Whiplash/Rear_Whiplash_assessment/Head_Rest_All_Pos/@Row2" xmlDataType="string"/>
    </xmlCellPr>
  </singleXmlCell>
  <singleXmlCell id="3672" xr6:uid="{4E819C35-E72B-41AB-8E42-42ADB0BD9332}" r="F43" connectionId="0">
    <xmlCellPr id="1" xr6:uid="{E116E035-A13D-4800-BD89-B4A27EC55373}" uniqueName="Row3">
      <xmlPr mapId="7" xpath="/MAKE/AOP/AOP_Whiplash/Rear_Whiplash_assessment/Head_Rest_All_Pos/@Row3" xmlDataType="string"/>
    </xmlCellPr>
  </singleXmlCell>
  <singleXmlCell id="3674" xr6:uid="{C80CE8E7-C924-480A-8D37-52D4A2F6A87A}" r="D44" connectionId="0">
    <xmlCellPr id="1" xr6:uid="{E83A4477-A84E-4387-801A-7CA6CD492D0F}" uniqueName="Row2">
      <xmlPr mapId="7" xpath="/MAKE/AOP/AOP_Whiplash/Rear_Whiplash_assessment/R17-08_Compliant/@Row2" xmlDataType="string"/>
    </xmlCellPr>
  </singleXmlCell>
  <singleXmlCell id="3677" xr6:uid="{102A2CD4-39B7-47C7-92DE-B4DE62E6C1CA}" r="F44" connectionId="0">
    <xmlCellPr id="1" xr6:uid="{3FD639F4-BBD7-47C3-9FE4-A72AB965EB2E}" uniqueName="Row3">
      <xmlPr mapId="7" xpath="/MAKE/AOP/AOP_Whiplash/Rear_Whiplash_assessment/R17-08_Compliant/@Row3" xmlDataType="string"/>
    </xmlCellPr>
  </singleXmlCell>
  <singleXmlCell id="5083" xr6:uid="{179BDB75-B141-478B-B5B1-F4F902537233}" r="E11" connectionId="0">
    <xmlCellPr id="1" xr6:uid="{AA5FFB40-B046-45B6-8503-1F41F2B77F2D}" uniqueName="MidPulsePoints">
      <xmlPr mapId="7" xpath="/MAKE/AOP/AOP_Whiplash/Static_assessment/Geometric_assessment_test_position/Test_position/Height_HRMD_mm/@MidPulsePoints" xmlDataType="decimal"/>
    </xmlCellPr>
  </singleXmlCell>
  <singleXmlCell id="5084" xr6:uid="{8806D760-03EC-4438-970F-D681F223905E}" r="G11" connectionId="0">
    <xmlCellPr id="1" xr6:uid="{49850F1C-DF9B-4AF4-9682-84152DE1D5E1}" uniqueName="HighPulsePoints">
      <xmlPr mapId="7" xpath="/MAKE/AOP/AOP_Whiplash/Static_assessment/Geometric_assessment_test_position/Test_position/Height_HRMD_mm/@HighPulsePoints" xmlDataType="decimal"/>
    </xmlCellPr>
  </singleXmlCell>
  <singleXmlCell id="5085" xr6:uid="{86F16D82-F24F-48B4-88C4-5F2C9F4BC27D}" r="E12" connectionId="0">
    <xmlCellPr id="1" xr6:uid="{1736A5F9-D276-4B56-A52E-9412EC0F3C81}" uniqueName="MidPulsePoints">
      <xmlPr mapId="7" xpath="/MAKE/AOP/AOP_Whiplash/Static_assessment/Geometric_assessment_test_position/Test_position/Backset_HRMD_mm/@MidPulsePoints" xmlDataType="decimal"/>
    </xmlCellPr>
  </singleXmlCell>
  <singleXmlCell id="5086" xr6:uid="{2A02E216-5BAD-4612-A3CC-709CCAED7430}" r="G12" connectionId="0">
    <xmlCellPr id="1" xr6:uid="{6B4F6597-70D5-420E-8BD8-D91472015813}" uniqueName="HighPulsePoints">
      <xmlPr mapId="7" xpath="/MAKE/AOP/AOP_Whiplash/Static_assessment/Geometric_assessment_test_position/Test_position/Backset_HRMD_mm/@HighPulsePoints" xmlDataType="decimal"/>
    </xmlCellPr>
  </singleXmlCell>
  <singleXmlCell id="5087" xr6:uid="{F1C3AF2F-0879-4BE8-94E2-59FE8DEA5218}" r="D66" connectionId="0">
    <xmlCellPr id="1" xr6:uid="{5EB4C192-3C07-48C1-AE2F-BB8FBC08E169}" uniqueName="Total">
      <xmlPr mapId="7" xpath="/MAKE/AOP/AOP_Whiplash/Rear_Whiplash_assessment/@Total" xmlDataType="decimal"/>
    </xmlCellPr>
  </singleXmlCell>
  <singleXmlCell id="2307" xr6:uid="{01B340BC-1F15-493B-8557-36A9F620FE75}" r="D21" connectionId="0">
    <xmlCellPr id="1" xr6:uid="{482725A0-E454-421F-B97A-71BF62637980}" uniqueName="Total">
      <xmlPr mapId="7" xpath="/MAKE/AOP/AOP_Whiplash/Static_assessment/Ease_of_Adjustment/@Total" xmlDataType="decimal"/>
    </xmlCellPr>
  </singleXmlCell>
  <singleXmlCell id="3673" xr6:uid="{78798BD0-77C3-4B0A-B8EC-6256C5055303}" r="D17" connectionId="0">
    <xmlCellPr id="1" xr6:uid="{594D35B7-C986-4E95-A896-88094B3F072B}" uniqueName="Mid_Value">
      <xmlPr mapId="7" xpath="/MAKE/AOP/AOP_Whiplash/Static_assessment/Ease_of_Adjustment/Down_Back/Backset_HRMD_mm/@Mid_Value" xmlDataType="decimal"/>
    </xmlCellPr>
  </singleXmlCell>
  <singleXmlCell id="3675" xr6:uid="{45D74678-3F58-4ABB-A585-86228B369F8C}" r="E17" connectionId="0">
    <xmlCellPr id="1" xr6:uid="{C26B7384-EA5F-4782-B7E4-72C499E95A61}" uniqueName="Mid_Pass_Fail">
      <xmlPr mapId="7" xpath="/MAKE/AOP/AOP_Whiplash/Static_assessment/Ease_of_Adjustment/Down_Back/Backset_HRMD_mm/@Mid_Pass_Fail" xmlDataType="string"/>
    </xmlCellPr>
  </singleXmlCell>
  <singleXmlCell id="3676" xr6:uid="{F97C1DE6-3435-4AD3-848F-176407FC8D73}" r="F17" connectionId="0">
    <xmlCellPr id="1" xr6:uid="{B4023EAB-1FFF-4523-B000-29A6F20CF6AB}" uniqueName="High_Value">
      <xmlPr mapId="7" xpath="/MAKE/AOP/AOP_Whiplash/Static_assessment/Ease_of_Adjustment/Down_Back/Backset_HRMD_mm/@High_Value" xmlDataType="decimal"/>
    </xmlCellPr>
  </singleXmlCell>
  <singleXmlCell id="3678" xr6:uid="{8A452620-7C7F-410F-B4F8-72E23CE2790A}" r="G17" connectionId="0">
    <xmlCellPr id="1" xr6:uid="{4B31B7C9-3ADD-453A-BF43-33C304F570AE}" uniqueName="High_Pass_Fail">
      <xmlPr mapId="7" xpath="/MAKE/AOP/AOP_Whiplash/Static_assessment/Ease_of_Adjustment/Down_Back/Backset_HRMD_mm/@High_Pass_Fail" xmlDataType="string"/>
    </xmlCellPr>
  </singleXmlCell>
  <singleXmlCell id="3679" xr6:uid="{12CCC587-DC25-4FEC-A365-3B7539F3AB96}" r="D16" connectionId="0">
    <xmlCellPr id="1" xr6:uid="{B1816317-C0F1-4B1E-98BD-F8E704A9194C}" uniqueName="Mid_Value">
      <xmlPr mapId="7" xpath="/MAKE/AOP/AOP_Whiplash/Static_assessment/Ease_of_Adjustment/Down_Back/Height_HRMD_mm/@Mid_Value" xmlDataType="decimal"/>
    </xmlCellPr>
  </singleXmlCell>
  <singleXmlCell id="3680" xr6:uid="{D5A48F46-F553-4E78-AD1B-41C484A01F2D}" r="E16" connectionId="0">
    <xmlCellPr id="1" xr6:uid="{B141D6D1-2E13-4BC1-AE05-8C02B84FE464}" uniqueName="Mid_Pass_Fail">
      <xmlPr mapId="7" xpath="/MAKE/AOP/AOP_Whiplash/Static_assessment/Ease_of_Adjustment/Down_Back/Height_HRMD_mm/@Mid_Pass_Fail" xmlDataType="string"/>
    </xmlCellPr>
  </singleXmlCell>
  <singleXmlCell id="3681" xr6:uid="{5E688624-C3DA-49BE-8FDC-290382C4D071}" r="F16" connectionId="0">
    <xmlCellPr id="1" xr6:uid="{B0EB1BA5-2014-441E-BB0E-ED82B49F1FB0}" uniqueName="High_Value">
      <xmlPr mapId="7" xpath="/MAKE/AOP/AOP_Whiplash/Static_assessment/Ease_of_Adjustment/Down_Back/Height_HRMD_mm/@High_Value" xmlDataType="decimal"/>
    </xmlCellPr>
  </singleXmlCell>
  <singleXmlCell id="3682" xr6:uid="{68C6E472-14D7-4EE0-90CA-191D383F74A6}" r="G16" connectionId="0">
    <xmlCellPr id="1" xr6:uid="{1CE7516D-8E4B-4703-92C8-75766C94BF6C}" uniqueName="High_Pass_Fail">
      <xmlPr mapId="7" xpath="/MAKE/AOP/AOP_Whiplash/Static_assessment/Ease_of_Adjustment/Down_Back/Height_HRMD_mm/@High_Pass_Fail" xmlDataType="string"/>
    </xmlCellPr>
  </singleXmlCell>
  <singleXmlCell id="3683" xr6:uid="{8A542976-2D49-4150-88D4-27C626462691}" r="D20" connectionId="0">
    <xmlCellPr id="1" xr6:uid="{F7ED5F54-096D-40C2-AFF0-2829276D7373}" uniqueName="Mid_Value">
      <xmlPr mapId="7" xpath="/MAKE/AOP/AOP_Whiplash/Static_assessment/Ease_of_Adjustment/Passenger_Seat_Backset_HRMD_mm/@Mid_Value" xmlDataType="decimal"/>
    </xmlCellPr>
  </singleXmlCell>
  <singleXmlCell id="5288" xr6:uid="{90B42D09-D8C8-4743-87B1-68F8B0620A5F}" r="E20" connectionId="0">
    <xmlCellPr id="1" xr6:uid="{97912378-CB5E-49F5-92FA-801E6A25D319}" uniqueName="Mid_Pass_Fail">
      <xmlPr mapId="7" xpath="/MAKE/AOP/AOP_Whiplash/Static_assessment/Ease_of_Adjustment/Passenger_Seat_Backset_HRMD_mm/@Mid_Pass_Fail" xmlDataType="string"/>
    </xmlCellPr>
  </singleXmlCell>
  <singleXmlCell id="5289" xr6:uid="{0FA53BAE-FD7D-4BB9-87B4-C8E23E0441FA}" r="F20" connectionId="0">
    <xmlCellPr id="1" xr6:uid="{4048EFCE-4FC8-4E2E-A6EA-2EAA755E3590}" uniqueName="High_Value">
      <xmlPr mapId="7" xpath="/MAKE/AOP/AOP_Whiplash/Static_assessment/Ease_of_Adjustment/Passenger_Seat_Backset_HRMD_mm/@High_Value" xmlDataType="decimal"/>
    </xmlCellPr>
  </singleXmlCell>
  <singleXmlCell id="5290" xr6:uid="{9B86A3EA-872A-4DB2-B232-36337D53987F}" r="G20" connectionId="0">
    <xmlCellPr id="1" xr6:uid="{75FAA7F0-119E-4EFC-A912-B0479FF728BF}" uniqueName="High_Pass_Fail">
      <xmlPr mapId="7" xpath="/MAKE/AOP/AOP_Whiplash/Static_assessment/Ease_of_Adjustment/Passenger_Seat_Backset_HRMD_mm/@High_Pass_Fail" xmlDataType="string"/>
    </xmlCellPr>
  </singleXmlCell>
  <singleXmlCell id="5291" xr6:uid="{9FD072F5-A708-4C4D-B620-A016F8E050FE}" r="D19" connectionId="0">
    <xmlCellPr id="1" xr6:uid="{DBF7BD8F-A648-48E3-8566-B6DC385D9CAB}" uniqueName="Mid_Value">
      <xmlPr mapId="7" xpath="/MAKE/AOP/AOP_Whiplash/Static_assessment/Ease_of_Adjustment/Passenger_Seat_Height_HRMD_mm/@Mid_Value" xmlDataType="decimal"/>
    </xmlCellPr>
  </singleXmlCell>
  <singleXmlCell id="5292" xr6:uid="{83977C41-0C16-4B59-8E77-7CFDF8FF5C2B}" r="E19" connectionId="0">
    <xmlCellPr id="1" xr6:uid="{8201CEAD-4CA1-4498-A320-92C7709F4BF2}" uniqueName="Mid_Pass_Fail">
      <xmlPr mapId="7" xpath="/MAKE/AOP/AOP_Whiplash/Static_assessment/Ease_of_Adjustment/Passenger_Seat_Height_HRMD_mm/@Mid_Pass_Fail" xmlDataType="string"/>
    </xmlCellPr>
  </singleXmlCell>
  <singleXmlCell id="5293" xr6:uid="{CB95BB98-6695-46E0-9FC0-940141B082BB}" r="F19" connectionId="0">
    <xmlCellPr id="1" xr6:uid="{0EE8813B-2643-4E34-8F37-AF45FBD27574}" uniqueName="High_Value">
      <xmlPr mapId="7" xpath="/MAKE/AOP/AOP_Whiplash/Static_assessment/Ease_of_Adjustment/Passenger_Seat_Height_HRMD_mm/@High_Value" xmlDataType="decimal"/>
    </xmlCellPr>
  </singleXmlCell>
  <singleXmlCell id="5294" xr6:uid="{F5414AE3-60CC-49FB-9F2B-2380AAAA90D6}" r="G19" connectionId="0">
    <xmlCellPr id="1" xr6:uid="{892769E3-2E4C-4CA6-A0EC-EAEC2A7ABD6D}" uniqueName="High_Pass_Fail">
      <xmlPr mapId="7" xpath="/MAKE/AOP/AOP_Whiplash/Static_assessment/Ease_of_Adjustment/Passenger_Seat_Height_HRMD_mm/@High_Pass_Fail" xmlDataType="string"/>
    </xmlCellPr>
  </singleXmlCell>
  <singleXmlCell id="5295" xr6:uid="{7C9C5810-7FA9-46F6-897A-C0CE1830F6C3}" r="D23" connectionId="0">
    <xmlCellPr id="1" xr6:uid="{E4E2265D-48E4-4F13-9EE8-6D7F848B91B7}" uniqueName="Total">
      <xmlPr mapId="7" xpath="/MAKE/AOP/AOP_Whiplash/Static_assessment/@Total" xmlDataType="decimal"/>
    </xmlCellPr>
  </singleXmlCell>
</singleXmlCells>
</file>

<file path=xl/tables/tableSingleCells9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53" xr6:uid="{B07AFE93-328F-433C-9852-CDF6D8EFEF49}" r="D15" connectionId="0">
    <xmlCellPr id="1" xr6:uid="{482C34D6-5237-445B-B9A5-46CA589534C2}" uniqueName="MPDB_Driver">
      <xmlPr mapId="7" xpath="/MAKE/AOP/RESCUE/Extrication/Auto_Door_Locking/Front/@MPDB_Driver" xmlDataType="string"/>
    </xmlCellPr>
  </singleXmlCell>
  <singleXmlCell id="54" xr6:uid="{BD4FAD39-0A49-42AF-8030-E68F6651A4E6}" r="E15" connectionId="0">
    <xmlCellPr id="1" xr6:uid="{855ADA9C-B0A3-4531-B171-0238AAF01781}" uniqueName="MPDB_Passenger">
      <xmlPr mapId="7" xpath="/MAKE/AOP/RESCUE/Extrication/Auto_Door_Locking/Front/@MPDB_Passenger" xmlDataType="string"/>
    </xmlCellPr>
  </singleXmlCell>
  <singleXmlCell id="55" xr6:uid="{E9BA14D6-CBE9-4525-9D75-E9E1B4CC9CEA}" r="F15" connectionId="0">
    <xmlCellPr id="1" xr6:uid="{8CC79A98-4E4A-488A-A719-E3A3678A03BB}" uniqueName="FW_Driver">
      <xmlPr mapId="7" xpath="/MAKE/AOP/RESCUE/Extrication/Auto_Door_Locking/Front/@FW_Driver" xmlDataType="string"/>
    </xmlCellPr>
  </singleXmlCell>
  <singleXmlCell id="56" xr6:uid="{2E3D899D-833F-4DB6-9861-A81589FFFA7D}" r="G15" connectionId="0">
    <xmlCellPr id="1" xr6:uid="{83CC54BB-7A72-43E6-A647-C102BBA1369F}" uniqueName="FW_Passenger">
      <xmlPr mapId="7" xpath="/MAKE/AOP/RESCUE/Extrication/Auto_Door_Locking/Front/@FW_Passenger" xmlDataType="string"/>
    </xmlCellPr>
  </singleXmlCell>
  <singleXmlCell id="57" xr6:uid="{1FAED906-4DA3-45FD-B450-107ED78B61FF}" r="H15" connectionId="0">
    <xmlCellPr id="1" xr6:uid="{BEFA6AF2-A679-4193-877A-F8FF7FDC1711}" uniqueName="AEMDB_Driver">
      <xmlPr mapId="7" xpath="/MAKE/AOP/RESCUE/Extrication/Auto_Door_Locking/Front/@AEMDB_Driver" xmlDataType="string"/>
    </xmlCellPr>
  </singleXmlCell>
  <singleXmlCell id="58" xr6:uid="{4B80C687-B618-448E-B567-87FF6158D6E4}" r="I15" connectionId="0">
    <xmlCellPr id="1" xr6:uid="{06D57165-4F16-46E1-9B3B-D4E0E6C63283}" uniqueName="AEMDB_Passenger">
      <xmlPr mapId="7" xpath="/MAKE/AOP/RESCUE/Extrication/Auto_Door_Locking/Front/@AEMDB_Passenger" xmlDataType="string"/>
    </xmlCellPr>
  </singleXmlCell>
  <singleXmlCell id="59" xr6:uid="{EEF480A2-5974-4225-B973-63B4585186FE}" r="J15" connectionId="0">
    <xmlCellPr id="1" xr6:uid="{C5B294C0-9498-4567-B5B0-900EA2D558C3}" uniqueName="Pole_Driver">
      <xmlPr mapId="7" xpath="/MAKE/AOP/RESCUE/Extrication/Auto_Door_Locking/Front/@Pole_Driver" xmlDataType="string"/>
    </xmlCellPr>
  </singleXmlCell>
  <singleXmlCell id="60" xr6:uid="{247E830D-4393-4C1F-A55E-D5E3BB5BD96F}" r="K15" connectionId="0">
    <xmlCellPr id="1" xr6:uid="{3984E857-B485-452D-93E6-DF4958FDD465}" uniqueName="Pole_Passenger">
      <xmlPr mapId="7" xpath="/MAKE/AOP/RESCUE/Extrication/Auto_Door_Locking/Front/@Pole_Passenger" xmlDataType="string"/>
    </xmlCellPr>
  </singleXmlCell>
  <singleXmlCell id="61" xr6:uid="{0775266D-2102-4124-A418-762399D4BA3C}" r="D16" connectionId="0">
    <xmlCellPr id="1" xr6:uid="{85AD508E-BE93-435F-8C77-E9CF90C8247B}" uniqueName="MPDB_Driver">
      <xmlPr mapId="7" xpath="/MAKE/AOP/RESCUE/Extrication/Auto_Door_Locking/Rear/@MPDB_Driver" xmlDataType="string"/>
    </xmlCellPr>
  </singleXmlCell>
  <singleXmlCell id="62" xr6:uid="{D0736BD1-4937-4974-B470-C93D63E19C77}" r="E16" connectionId="0">
    <xmlCellPr id="1" xr6:uid="{F3AE374F-A2DC-4F19-9267-FBFE3671E388}" uniqueName="MPDB_Passenger">
      <xmlPr mapId="7" xpath="/MAKE/AOP/RESCUE/Extrication/Auto_Door_Locking/Rear/@MPDB_Passenger" xmlDataType="string"/>
    </xmlCellPr>
  </singleXmlCell>
  <singleXmlCell id="63" xr6:uid="{5695C11C-9D0E-4D40-915B-CBAFAD79AA62}" r="F16" connectionId="0">
    <xmlCellPr id="1" xr6:uid="{4AA497D8-6661-446C-9100-95B182AE155D}" uniqueName="FW_Driver">
      <xmlPr mapId="7" xpath="/MAKE/AOP/RESCUE/Extrication/Auto_Door_Locking/Rear/@FW_Driver" xmlDataType="string"/>
    </xmlCellPr>
  </singleXmlCell>
  <singleXmlCell id="64" xr6:uid="{8165DE8D-A00A-4C6C-815F-38D156DB1888}" r="G16" connectionId="0">
    <xmlCellPr id="1" xr6:uid="{A4BE7C8C-72A9-4FB1-A8AE-16ECC19D679E}" uniqueName="FW_Passenger">
      <xmlPr mapId="7" xpath="/MAKE/AOP/RESCUE/Extrication/Auto_Door_Locking/Rear/@FW_Passenger" xmlDataType="string"/>
    </xmlCellPr>
  </singleXmlCell>
  <singleXmlCell id="65" xr6:uid="{23638FF3-C5F5-43DA-87B1-AC17AA5182D5}" r="H16" connectionId="0">
    <xmlCellPr id="1" xr6:uid="{3D59A70C-BE11-4DF1-BDFF-1642E12322C0}" uniqueName="AEMDB_Driver">
      <xmlPr mapId="7" xpath="/MAKE/AOP/RESCUE/Extrication/Auto_Door_Locking/Rear/@AEMDB_Driver" xmlDataType="string"/>
    </xmlCellPr>
  </singleXmlCell>
  <singleXmlCell id="66" xr6:uid="{751BD15F-B8EE-4C05-8754-C97F7558BEF5}" r="I16" connectionId="0">
    <xmlCellPr id="1" xr6:uid="{5C9E33B5-BBA1-42A7-9763-3B6BE55F9CE3}" uniqueName="AEMDB_Passenger">
      <xmlPr mapId="7" xpath="/MAKE/AOP/RESCUE/Extrication/Auto_Door_Locking/Rear/@AEMDB_Passenger" xmlDataType="string"/>
    </xmlCellPr>
  </singleXmlCell>
  <singleXmlCell id="67" xr6:uid="{E09CD296-20EA-4775-80A5-88B58A946CA2}" r="J16" connectionId="0">
    <xmlCellPr id="1" xr6:uid="{6CFDE5F4-E66F-48BB-AC64-C7E5E4FA4B6A}" uniqueName="Pole_Driver">
      <xmlPr mapId="7" xpath="/MAKE/AOP/RESCUE/Extrication/Auto_Door_Locking/Rear/@Pole_Driver" xmlDataType="string"/>
    </xmlCellPr>
  </singleXmlCell>
  <singleXmlCell id="68" xr6:uid="{17BA5111-02F9-421A-9276-8E0B363F9CB1}" r="K16" connectionId="0">
    <xmlCellPr id="1" xr6:uid="{545719A0-AAFF-454B-A611-CE4A2F3CCCF1}" uniqueName="Pole_Passenger">
      <xmlPr mapId="7" xpath="/MAKE/AOP/RESCUE/Extrication/Auto_Door_Locking/Rear/@Pole_Passenger" xmlDataType="string"/>
    </xmlCellPr>
  </singleXmlCell>
  <singleXmlCell id="69" xr6:uid="{E994418E-C92A-4347-9AE7-611E393E85CA}" r="D17" connectionId="0">
    <xmlCellPr id="1" xr6:uid="{089A24C6-2070-4A0B-84F2-B615DB0C8606}" uniqueName="Auto_Doorlock_Points">
      <xmlPr mapId="7" xpath="/MAKE/AOP/RESCUE/Extrication/Auto_Door_Locking/@Auto_Doorlock_Points" xmlDataType="decimal"/>
    </xmlCellPr>
  </singleXmlCell>
  <singleXmlCell id="70" xr6:uid="{F4AA64B4-56E9-4D8A-905A-FB60BDC1DBFC}" r="D22" connectionId="0">
    <xmlCellPr id="1" xr6:uid="{1927E7B6-C17F-4D90-A3C8-2A5D83F1C91A}" uniqueName="Door_opening_Points">
      <xmlPr mapId="7" xpath="/MAKE/AOP/RESCUE/Extrication/Door_Opening_Forces/@Door_opening_Points" xmlDataType="decimal"/>
    </xmlCellPr>
  </singleXmlCell>
  <singleXmlCell id="71" xr6:uid="{F9D3D1E2-0AF5-4C06-A497-2661EB94145E}" r="D20" connectionId="0">
    <xmlCellPr id="1" xr6:uid="{0C04B80E-0171-4204-B6A7-E23E45A313EA}" uniqueName="MPDB_Driver">
      <xmlPr mapId="7" xpath="/MAKE/AOP/RESCUE/Extrication/Door_Opening_Forces/Front/@MPDB_Driver" xmlDataType="string"/>
    </xmlCellPr>
  </singleXmlCell>
  <singleXmlCell id="72" xr6:uid="{608731A2-62B0-4E02-9262-0F792E319512}" r="E20" connectionId="0">
    <xmlCellPr id="1" xr6:uid="{C47F0293-B910-4707-BF84-2F40776616F3}" uniqueName="MPDB_Passenger">
      <xmlPr mapId="7" xpath="/MAKE/AOP/RESCUE/Extrication/Door_Opening_Forces/Front/@MPDB_Passenger" xmlDataType="string"/>
    </xmlCellPr>
  </singleXmlCell>
  <singleXmlCell id="73" xr6:uid="{60A9933C-E4A8-419D-BD68-1DB9FCB82EB0}" r="F20" connectionId="0">
    <xmlCellPr id="1" xr6:uid="{A1ACFBB0-19FC-4BD4-8BA7-6392658DE1BB}" uniqueName="FW_Driver">
      <xmlPr mapId="7" xpath="/MAKE/AOP/RESCUE/Extrication/Door_Opening_Forces/Front/@FW_Driver" xmlDataType="string"/>
    </xmlCellPr>
  </singleXmlCell>
  <singleXmlCell id="74" xr6:uid="{8C6DB402-FBBE-444D-853C-B9FA3D86EB78}" r="G20" connectionId="0">
    <xmlCellPr id="1" xr6:uid="{24413063-95F3-4C01-8645-F360C2720732}" uniqueName="FW_Passenger">
      <xmlPr mapId="7" xpath="/MAKE/AOP/RESCUE/Extrication/Door_Opening_Forces/Front/@FW_Passenger" xmlDataType="string"/>
    </xmlCellPr>
  </singleXmlCell>
  <singleXmlCell id="75" xr6:uid="{84DFC8A7-FDD8-4831-80E7-DE2310FDD4E9}" r="H20" connectionId="0">
    <xmlCellPr id="1" xr6:uid="{DEBA7AF9-42E3-4CAF-88DF-04A299D0B154}" uniqueName="AEMDB_Driver">
      <xmlPr mapId="7" xpath="/MAKE/AOP/RESCUE/Extrication/Door_Opening_Forces/Front/@AEMDB_Driver" xmlDataType="string"/>
    </xmlCellPr>
  </singleXmlCell>
  <singleXmlCell id="76" xr6:uid="{71FB5ED6-0D8B-487D-8482-C7807FC104D5}" r="I20" connectionId="0">
    <xmlCellPr id="1" xr6:uid="{2665F4B3-6D7B-4294-B27F-AF6FC61DF0EB}" uniqueName="AEMDB_Passenger">
      <xmlPr mapId="7" xpath="/MAKE/AOP/RESCUE/Extrication/Door_Opening_Forces/Front/@AEMDB_Passenger" xmlDataType="string"/>
    </xmlCellPr>
  </singleXmlCell>
  <singleXmlCell id="77" xr6:uid="{AF51B53B-4528-4374-BB91-41C8F07F6EAF}" r="J20" connectionId="0">
    <xmlCellPr id="1" xr6:uid="{DA0C5887-A1EE-4C7C-AA83-538C7D1D9AD9}" uniqueName="Pole_Driver">
      <xmlPr mapId="7" xpath="/MAKE/AOP/RESCUE/Extrication/Door_Opening_Forces/Front/@Pole_Driver" xmlDataType="string"/>
    </xmlCellPr>
  </singleXmlCell>
  <singleXmlCell id="78" xr6:uid="{E1A6091B-A3F7-4DE9-B95B-F060D20B3626}" r="K20" connectionId="0">
    <xmlCellPr id="1" xr6:uid="{4B150A21-9E55-4E84-8989-AFAC39AFE4DA}" uniqueName="Pole_Passenger">
      <xmlPr mapId="7" xpath="/MAKE/AOP/RESCUE/Extrication/Door_Opening_Forces/Front/@Pole_Passenger" xmlDataType="string"/>
    </xmlCellPr>
  </singleXmlCell>
  <singleXmlCell id="79" xr6:uid="{52947AC3-9517-4C37-8FE7-5B5C88A82ADF}" r="D21" connectionId="0">
    <xmlCellPr id="1" xr6:uid="{D3F92042-AEAB-4D84-8D34-4CE0DEDD1C4F}" uniqueName="MPDB_Driver">
      <xmlPr mapId="7" xpath="/MAKE/AOP/RESCUE/Extrication/Door_Opening_Forces/Rear/@MPDB_Driver" xmlDataType="string"/>
    </xmlCellPr>
  </singleXmlCell>
  <singleXmlCell id="80" xr6:uid="{084F5311-6F32-41DF-8F94-9E2DB2B298C6}" r="E21" connectionId="0">
    <xmlCellPr id="1" xr6:uid="{54918152-722E-4511-96AD-BBFD08656BD9}" uniqueName="MPDB_Passenger">
      <xmlPr mapId="7" xpath="/MAKE/AOP/RESCUE/Extrication/Door_Opening_Forces/Rear/@MPDB_Passenger" xmlDataType="string"/>
    </xmlCellPr>
  </singleXmlCell>
  <singleXmlCell id="81" xr6:uid="{A95EC35C-2B70-4333-8ECA-7BB5F648A840}" r="F21" connectionId="0">
    <xmlCellPr id="1" xr6:uid="{C1DDA383-F0A0-4B1E-BDB4-76EBCDFF1FE9}" uniqueName="FW_Driver">
      <xmlPr mapId="7" xpath="/MAKE/AOP/RESCUE/Extrication/Door_Opening_Forces/Rear/@FW_Driver" xmlDataType="string"/>
    </xmlCellPr>
  </singleXmlCell>
  <singleXmlCell id="82" xr6:uid="{5EB1A680-ED36-4F5A-BE92-96ED04A19859}" r="G21" connectionId="0">
    <xmlCellPr id="1" xr6:uid="{0AFE1A5F-03E3-4933-B147-BDB7D83EF011}" uniqueName="FW_Passenger">
      <xmlPr mapId="7" xpath="/MAKE/AOP/RESCUE/Extrication/Door_Opening_Forces/Rear/@FW_Passenger" xmlDataType="string"/>
    </xmlCellPr>
  </singleXmlCell>
  <singleXmlCell id="83" xr6:uid="{6C0D86B7-D0CF-45CE-8BD3-442D57B5F93F}" r="H21" connectionId="0">
    <xmlCellPr id="1" xr6:uid="{6CCCF90A-9A84-4EA3-9991-A2D59BB488A1}" uniqueName="AEMDB_Driver">
      <xmlPr mapId="7" xpath="/MAKE/AOP/RESCUE/Extrication/Door_Opening_Forces/Rear/@AEMDB_Driver" xmlDataType="string"/>
    </xmlCellPr>
  </singleXmlCell>
  <singleXmlCell id="84" xr6:uid="{27A8385A-0F70-4375-A4BF-91B7A151B2B0}" r="I21" connectionId="0">
    <xmlCellPr id="1" xr6:uid="{E4FCC29A-F063-4D9B-8736-D7F7669A5A83}" uniqueName="AEMDB_Passenger">
      <xmlPr mapId="7" xpath="/MAKE/AOP/RESCUE/Extrication/Door_Opening_Forces/Rear/@AEMDB_Passenger" xmlDataType="string"/>
    </xmlCellPr>
  </singleXmlCell>
  <singleXmlCell id="85" xr6:uid="{9CC10D58-B7BD-4226-890E-F753AE08A182}" r="J21" connectionId="0">
    <xmlCellPr id="1" xr6:uid="{853395F1-C052-4F2E-AD0A-96259FC46735}" uniqueName="Pole_Driver">
      <xmlPr mapId="7" xpath="/MAKE/AOP/RESCUE/Extrication/Door_Opening_Forces/Rear/@Pole_Driver" xmlDataType="string"/>
    </xmlCellPr>
  </singleXmlCell>
  <singleXmlCell id="86" xr6:uid="{FD47EE7C-E519-4F8C-8196-ADD2CDCC9E1A}" r="K21" connectionId="0">
    <xmlCellPr id="1" xr6:uid="{5FC289A9-A15E-4E43-BE24-843C63EC74FC}" uniqueName="Pole_Passenger">
      <xmlPr mapId="7" xpath="/MAKE/AOP/RESCUE/Extrication/Door_Opening_Forces/Rear/@Pole_Passenger" xmlDataType="string"/>
    </xmlCellPr>
  </singleXmlCell>
  <singleXmlCell id="87" xr6:uid="{23584A4D-2261-4F7E-A020-A5CE36B073B3}" r="D27" connectionId="0">
    <xmlCellPr id="1" xr6:uid="{71FC1970-CD40-4861-81CE-3867B06C40CF}" uniqueName="Retracting_Points">
      <xmlPr mapId="7" xpath="/MAKE/AOP/RESCUE/Extrication/Retracting_Door_Handles/@Retracting_Points" xmlDataType="decimal"/>
    </xmlCellPr>
  </singleXmlCell>
  <singleXmlCell id="88" xr6:uid="{7111BD06-CA6A-4C0F-8BB4-D38A7C6352CC}" r="D25" connectionId="0">
    <xmlCellPr id="1" xr6:uid="{B5299ACC-64FE-427B-8138-A668468DD25C}" uniqueName="MPDB_Driver">
      <xmlPr mapId="7" xpath="/MAKE/AOP/RESCUE/Extrication/Retracting_Door_Handles/Front/@MPDB_Driver" xmlDataType="string"/>
    </xmlCellPr>
  </singleXmlCell>
  <singleXmlCell id="89" xr6:uid="{51A5F0B4-6CD3-4FDE-B778-D34AD77C3878}" r="E25" connectionId="0">
    <xmlCellPr id="1" xr6:uid="{0DBC6F3D-2E2E-4B50-BB18-44698DFA83E9}" uniqueName="MPDB_Passenger">
      <xmlPr mapId="7" xpath="/MAKE/AOP/RESCUE/Extrication/Retracting_Door_Handles/Front/@MPDB_Passenger" xmlDataType="string"/>
    </xmlCellPr>
  </singleXmlCell>
  <singleXmlCell id="90" xr6:uid="{8DF5BA5F-38AE-4F5F-BF45-6C27750C5A7E}" r="F25" connectionId="0">
    <xmlCellPr id="1" xr6:uid="{F3789C54-CFD9-4977-96D2-9FD2D35AEF6B}" uniqueName="FW_Driver">
      <xmlPr mapId="7" xpath="/MAKE/AOP/RESCUE/Extrication/Retracting_Door_Handles/Front/@FW_Driver" xmlDataType="string"/>
    </xmlCellPr>
  </singleXmlCell>
  <singleXmlCell id="91" xr6:uid="{75A264C7-79E7-43DF-9EFD-90DAA1702EC9}" r="G25" connectionId="0">
    <xmlCellPr id="1" xr6:uid="{AE936B38-F061-432F-B12D-AFDD5B2DBDAE}" uniqueName="FW_Passenger">
      <xmlPr mapId="7" xpath="/MAKE/AOP/RESCUE/Extrication/Retracting_Door_Handles/Front/@FW_Passenger" xmlDataType="string"/>
    </xmlCellPr>
  </singleXmlCell>
  <singleXmlCell id="92" xr6:uid="{710E9496-E4A5-47BD-A2B3-A7DA4B189941}" r="H25" connectionId="0">
    <xmlCellPr id="1" xr6:uid="{E02EBA86-0EFC-4060-B2EC-39CC25DF467C}" uniqueName="AEMDB_Driver">
      <xmlPr mapId="7" xpath="/MAKE/AOP/RESCUE/Extrication/Retracting_Door_Handles/Front/@AEMDB_Driver" xmlDataType="string"/>
    </xmlCellPr>
  </singleXmlCell>
  <singleXmlCell id="93" xr6:uid="{45CC6C14-237A-4D2E-8338-78D07D8F6F0F}" r="I25" connectionId="0">
    <xmlCellPr id="1" xr6:uid="{9D660969-9DBC-4D65-B1DC-FABF884588CA}" uniqueName="AEMDB_Passenger">
      <xmlPr mapId="7" xpath="/MAKE/AOP/RESCUE/Extrication/Retracting_Door_Handles/Front/@AEMDB_Passenger" xmlDataType="string"/>
    </xmlCellPr>
  </singleXmlCell>
  <singleXmlCell id="94" xr6:uid="{D93B51BB-22A3-4F60-B17B-A5CBAA46E6EA}" r="J25" connectionId="0">
    <xmlCellPr id="1" xr6:uid="{BFEC2D83-271D-4AE8-BB5E-4B33299A85FF}" uniqueName="Pole_Driver">
      <xmlPr mapId="7" xpath="/MAKE/AOP/RESCUE/Extrication/Retracting_Door_Handles/Front/@Pole_Driver" xmlDataType="string"/>
    </xmlCellPr>
  </singleXmlCell>
  <singleXmlCell id="95" xr6:uid="{7C408368-BDEA-4D1F-B84B-3369CDF79253}" r="K25" connectionId="0">
    <xmlCellPr id="1" xr6:uid="{A4C0A37A-DC1C-4E28-A181-EA0AF8B80BE2}" uniqueName="Pole_Passenger">
      <xmlPr mapId="7" xpath="/MAKE/AOP/RESCUE/Extrication/Retracting_Door_Handles/Front/@Pole_Passenger" xmlDataType="string"/>
    </xmlCellPr>
  </singleXmlCell>
  <singleXmlCell id="96" xr6:uid="{668FB5FE-67A7-43FC-B025-7C15EBF1B5B7}" r="D26" connectionId="0">
    <xmlCellPr id="1" xr6:uid="{74C023F2-A23E-437E-A508-8D32F357C704}" uniqueName="MPDB_Driver">
      <xmlPr mapId="7" xpath="/MAKE/AOP/RESCUE/Extrication/Retracting_Door_Handles/Rear/@MPDB_Driver" xmlDataType="string"/>
    </xmlCellPr>
  </singleXmlCell>
  <singleXmlCell id="97" xr6:uid="{7289C223-1637-4795-BA34-26D28C0CCABD}" r="E26" connectionId="0">
    <xmlCellPr id="1" xr6:uid="{0A1595AC-D544-4AA0-967C-08C2AF7D54CB}" uniqueName="MPDB_Passenger">
      <xmlPr mapId="7" xpath="/MAKE/AOP/RESCUE/Extrication/Retracting_Door_Handles/Rear/@MPDB_Passenger" xmlDataType="string"/>
    </xmlCellPr>
  </singleXmlCell>
  <singleXmlCell id="98" xr6:uid="{49885E37-F798-4560-941C-CB9DA9A8CAAC}" r="F26" connectionId="0">
    <xmlCellPr id="1" xr6:uid="{C562AF5D-CD0E-4272-BE31-2B196FDC1670}" uniqueName="FW_Driver">
      <xmlPr mapId="7" xpath="/MAKE/AOP/RESCUE/Extrication/Retracting_Door_Handles/Rear/@FW_Driver" xmlDataType="string"/>
    </xmlCellPr>
  </singleXmlCell>
  <singleXmlCell id="99" xr6:uid="{2A9E4FF5-3AFB-487D-AD5E-CCF9A9A1D81F}" r="G26" connectionId="0">
    <xmlCellPr id="1" xr6:uid="{D293C8C4-2007-4E33-BACF-AA33565D1573}" uniqueName="FW_Passenger">
      <xmlPr mapId="7" xpath="/MAKE/AOP/RESCUE/Extrication/Retracting_Door_Handles/Rear/@FW_Passenger" xmlDataType="string"/>
    </xmlCellPr>
  </singleXmlCell>
  <singleXmlCell id="100" xr6:uid="{A1994FD9-4F62-4182-90FE-423314BA1718}" r="H26" connectionId="0">
    <xmlCellPr id="1" xr6:uid="{541D78BB-8A10-4CEE-8EAF-B82174274C79}" uniqueName="AEMDB_Driver">
      <xmlPr mapId="7" xpath="/MAKE/AOP/RESCUE/Extrication/Retracting_Door_Handles/Rear/@AEMDB_Driver" xmlDataType="string"/>
    </xmlCellPr>
  </singleXmlCell>
  <singleXmlCell id="101" xr6:uid="{990D15F6-DBBD-420D-B0C5-DA77312EE1DE}" r="I26" connectionId="0">
    <xmlCellPr id="1" xr6:uid="{A70EB681-02EC-4630-A245-0E431129F4E7}" uniqueName="AEMDB_Passenger">
      <xmlPr mapId="7" xpath="/MAKE/AOP/RESCUE/Extrication/Retracting_Door_Handles/Rear/@AEMDB_Passenger" xmlDataType="string"/>
    </xmlCellPr>
  </singleXmlCell>
  <singleXmlCell id="102" xr6:uid="{62E3B7A9-FB60-49C3-A28E-26D2E757EFA2}" r="J26" connectionId="0">
    <xmlCellPr id="1" xr6:uid="{BD58AB29-FA23-4E73-9F45-B21A77149295}" uniqueName="Pole_Driver">
      <xmlPr mapId="7" xpath="/MAKE/AOP/RESCUE/Extrication/Retracting_Door_Handles/Rear/@Pole_Driver" xmlDataType="string"/>
    </xmlCellPr>
  </singleXmlCell>
  <singleXmlCell id="103" xr6:uid="{A839DDBC-DF57-4908-8477-3FCAC1BB6AF2}" r="K26" connectionId="0">
    <xmlCellPr id="1" xr6:uid="{B1531B5D-B653-4AE5-82DF-D30D2BAD06ED}" uniqueName="Pole_Passenger">
      <xmlPr mapId="7" xpath="/MAKE/AOP/RESCUE/Extrication/Retracting_Door_Handles/Rear/@Pole_Passenger" xmlDataType="string"/>
    </xmlCellPr>
  </singleXmlCell>
  <singleXmlCell id="104" xr6:uid="{95FB92C4-7627-4931-9749-7313AEA4BBD8}" r="D32" connectionId="0">
    <xmlCellPr id="1" xr6:uid="{B42D2DFC-1DE8-4817-A06A-611A7DF6050E}" uniqueName="Unlatching_Points">
      <xmlPr mapId="7" xpath="/MAKE/AOP/RESCUE/Extrication/Seatbelt_Unlatching/@Unlatching_Points" xmlDataType="decimal"/>
    </xmlCellPr>
  </singleXmlCell>
  <singleXmlCell id="105" xr6:uid="{C75BFB82-6F7F-4520-94B2-B7A1BE758B64}" r="D30" connectionId="0">
    <xmlCellPr id="1" xr6:uid="{157C93AD-455F-49BC-BBDE-5CA46D5AF6EA}" uniqueName="MPDB_Driver">
      <xmlPr mapId="7" xpath="/MAKE/AOP/RESCUE/Extrication/Seatbelt_Unlatching/Front/@MPDB_Driver" xmlDataType="string"/>
    </xmlCellPr>
  </singleXmlCell>
  <singleXmlCell id="106" xr6:uid="{25C25742-82E1-4FF8-9895-46B477DD1E2C}" r="E30" connectionId="0">
    <xmlCellPr id="1" xr6:uid="{753883FE-A1F8-4684-9F31-72BE1AE79593}" uniqueName="MPDB_Passenger">
      <xmlPr mapId="7" xpath="/MAKE/AOP/RESCUE/Extrication/Seatbelt_Unlatching/Front/@MPDB_Passenger" xmlDataType="string"/>
    </xmlCellPr>
  </singleXmlCell>
  <singleXmlCell id="107" xr6:uid="{F3437BB2-9DC0-46C7-8330-908F5E8BEE07}" r="F30" connectionId="0">
    <xmlCellPr id="1" xr6:uid="{8B5E8315-FE27-404E-9E3D-F0FCE38C0A17}" uniqueName="FW_Driver">
      <xmlPr mapId="7" xpath="/MAKE/AOP/RESCUE/Extrication/Seatbelt_Unlatching/Front/@FW_Driver" xmlDataType="string"/>
    </xmlCellPr>
  </singleXmlCell>
  <singleXmlCell id="108" xr6:uid="{68EDBA3C-CB53-49BB-9DC4-188E9A0ACA78}" r="G30" connectionId="0">
    <xmlCellPr id="1" xr6:uid="{67098051-E75C-4452-9CF4-AF897C8C0837}" uniqueName="FW_Passenger">
      <xmlPr mapId="7" xpath="/MAKE/AOP/RESCUE/Extrication/Seatbelt_Unlatching/Front/@FW_Passenger" xmlDataType="string"/>
    </xmlCellPr>
  </singleXmlCell>
  <singleXmlCell id="109" xr6:uid="{8B63EE03-0BCF-4F16-8EDF-F8AFB156E46E}" r="H30" connectionId="0">
    <xmlCellPr id="1" xr6:uid="{4DF0768B-4BDD-433D-A3B4-B21677D6EC4E}" uniqueName="AEMDB_Driver">
      <xmlPr mapId="7" xpath="/MAKE/AOP/RESCUE/Extrication/Seatbelt_Unlatching/Front/@AEMDB_Driver" xmlDataType="string"/>
    </xmlCellPr>
  </singleXmlCell>
  <singleXmlCell id="110" xr6:uid="{61EC3947-61B8-4D76-9B76-CE2C34420788}" r="I30" connectionId="0">
    <xmlCellPr id="1" xr6:uid="{CA68343B-378B-4AF1-A395-0B61DD143FCE}" uniqueName="AEMDB_Passenger">
      <xmlPr mapId="7" xpath="/MAKE/AOP/RESCUE/Extrication/Seatbelt_Unlatching/Front/@AEMDB_Passenger" xmlDataType="string"/>
    </xmlCellPr>
  </singleXmlCell>
  <singleXmlCell id="111" xr6:uid="{DDBCDBDD-FD2B-4ABF-8D55-B9A6BB843A8A}" r="J30" connectionId="0">
    <xmlCellPr id="1" xr6:uid="{0E450BE5-0739-4855-B7B7-786133DCC344}" uniqueName="Pole_Driver">
      <xmlPr mapId="7" xpath="/MAKE/AOP/RESCUE/Extrication/Seatbelt_Unlatching/Front/@Pole_Driver" xmlDataType="string"/>
    </xmlCellPr>
  </singleXmlCell>
  <singleXmlCell id="112" xr6:uid="{CA71CAEF-EF1C-492B-B54D-4D1FCFE25DF8}" r="K30" connectionId="0">
    <xmlCellPr id="1" xr6:uid="{9B9544A3-7B16-4ED6-8E0D-C9C8A0F524F0}" uniqueName="Pole_Passenger">
      <xmlPr mapId="7" xpath="/MAKE/AOP/RESCUE/Extrication/Seatbelt_Unlatching/Front/@Pole_Passenger" xmlDataType="string"/>
    </xmlCellPr>
  </singleXmlCell>
  <singleXmlCell id="113" xr6:uid="{D0249A1D-9BA9-4965-A760-3FE88C214EBB}" r="D31" connectionId="0">
    <xmlCellPr id="1" xr6:uid="{792DD092-2E11-47A6-B9F8-0C67C62FA47B}" uniqueName="MPDB_Driver">
      <xmlPr mapId="7" xpath="/MAKE/AOP/RESCUE/Extrication/Seatbelt_Unlatching/Rear/@MPDB_Driver" xmlDataType="string"/>
    </xmlCellPr>
  </singleXmlCell>
  <singleXmlCell id="114" xr6:uid="{8E66F3F0-6486-421B-BEF7-4A2977F69296}" r="E31" connectionId="0">
    <xmlCellPr id="1" xr6:uid="{3AA6B836-3348-437F-BEE5-9542FE0624FA}" uniqueName="MPDB_Passenger">
      <xmlPr mapId="7" xpath="/MAKE/AOP/RESCUE/Extrication/Seatbelt_Unlatching/Rear/@MPDB_Passenger" xmlDataType="string"/>
    </xmlCellPr>
  </singleXmlCell>
  <singleXmlCell id="115" xr6:uid="{EBD8B65F-2FC0-4E52-916D-94C6D773AAB3}" r="F31" connectionId="0">
    <xmlCellPr id="1" xr6:uid="{D56267C0-654B-463B-A22E-A347923E7B42}" uniqueName="FW_Driver">
      <xmlPr mapId="7" xpath="/MAKE/AOP/RESCUE/Extrication/Seatbelt_Unlatching/Rear/@FW_Driver" xmlDataType="string"/>
    </xmlCellPr>
  </singleXmlCell>
  <singleXmlCell id="116" xr6:uid="{1ECEF4E1-C16B-4CD7-80A5-BA7B2F0AD37F}" r="G31" connectionId="0">
    <xmlCellPr id="1" xr6:uid="{7644D1B3-6907-4507-8514-3755506EA6EE}" uniqueName="FW_Passenger">
      <xmlPr mapId="7" xpath="/MAKE/AOP/RESCUE/Extrication/Seatbelt_Unlatching/Rear/@FW_Passenger" xmlDataType="string"/>
    </xmlCellPr>
  </singleXmlCell>
  <singleXmlCell id="117" xr6:uid="{693702EE-CDC2-4992-AED8-48FEB5AFC288}" r="H31" connectionId="0">
    <xmlCellPr id="1" xr6:uid="{1B77722D-B779-4845-ACF0-0D04F0C385D7}" uniqueName="AEMDB_Driver">
      <xmlPr mapId="7" xpath="/MAKE/AOP/RESCUE/Extrication/Seatbelt_Unlatching/Rear/@AEMDB_Driver" xmlDataType="string"/>
    </xmlCellPr>
  </singleXmlCell>
  <singleXmlCell id="118" xr6:uid="{1A1B3C74-BE29-4116-83C4-3C1F0D751F15}" r="I31" connectionId="0">
    <xmlCellPr id="1" xr6:uid="{880A7F2C-40F2-4CFE-BDB2-FA6C9C871C04}" uniqueName="AEMDB_Passenger">
      <xmlPr mapId="7" xpath="/MAKE/AOP/RESCUE/Extrication/Seatbelt_Unlatching/Rear/@AEMDB_Passenger" xmlDataType="string"/>
    </xmlCellPr>
  </singleXmlCell>
  <singleXmlCell id="119" xr6:uid="{8DAD7AE5-BBC1-46CE-8F2A-98C496AC6315}" r="J31" connectionId="0">
    <xmlCellPr id="1" xr6:uid="{387B1237-92DC-497C-BE07-3E9843A8943B}" uniqueName="Pole_Driver">
      <xmlPr mapId="7" xpath="/MAKE/AOP/RESCUE/Extrication/Seatbelt_Unlatching/Rear/@Pole_Driver" xmlDataType="string"/>
    </xmlCellPr>
  </singleXmlCell>
  <singleXmlCell id="120" xr6:uid="{54156261-162A-435B-BFD7-107D7A3F9BC0}" r="K31" connectionId="0">
    <xmlCellPr id="1" xr6:uid="{E4D932D0-D4F6-4B13-9DBB-1D825D74653C}" uniqueName="Pole_Passenger">
      <xmlPr mapId="7" xpath="/MAKE/AOP/RESCUE/Extrication/Seatbelt_Unlatching/Rear/@Pole_Passenger" xmlDataType="string"/>
    </xmlCellPr>
  </singleXmlCell>
  <singleXmlCell id="121" xr6:uid="{698DABCF-4EF0-4F18-B20A-C31533A3587D}" r="D38" connectionId="0">
    <xmlCellPr id="1" xr6:uid="{654CEDDE-C849-480D-9549-084CFEA7BC63}" uniqueName="Extrication_Points">
      <xmlPr mapId="7" xpath="/MAKE/AOP/RESCUE/Extrication/@Extrication_Points" xmlDataType="decimal"/>
    </xmlCellPr>
  </singleXmlCell>
  <singleXmlCell id="1" xr6:uid="{7602101B-1718-4B17-9699-6CE80C1D4836}" r="D34" connectionId="0">
    <xmlCellPr id="1" xr6:uid="{B6B87C96-BE8F-489A-95BB-42CB7D736C23}" uniqueName="Comply_ECE_Regs_EV">
      <xmlPr mapId="7" xpath="/MAKE/AOP/RESCUE/Extrication/Comply_ECE_Regs_EV" xmlDataType="string"/>
    </xmlCellPr>
  </singleXmlCell>
  <singleXmlCell id="2" xr6:uid="{B36E14E7-31D1-43FB-BD0F-0A2925F53CDE}" r="D36" connectionId="0">
    <xmlCellPr id="1" xr6:uid="{49307E8B-6AE7-4D94-A679-B15777B1D445}" uniqueName="ID_Direct_Haz_Disabling">
      <xmlPr mapId="7" xpath="/MAKE/AOP/RESCUE/Extrication/ID_Direct_Haz_Disabling" xmlDataType="string"/>
    </xmlCellPr>
  </singleXmlCell>
  <singleXmlCell id="3" xr6:uid="{A10042DF-ED41-4139-87C0-31BCCF357D6C}" r="D42" connectionId="0">
    <xmlCellPr id="1" xr6:uid="{18191317-CC36-485D-AEA9-9332CEDACEA5}" uniqueName="Pass_Fail">
      <xmlPr mapId="7" xpath="/MAKE/AOP/RESCUE/Post-Crash_Tech/Advanced_eCall/Pot_No_Occupants/@Pass_Fail" xmlDataType="string"/>
    </xmlCellPr>
  </singleXmlCell>
  <singleXmlCell id="4" xr6:uid="{C2DDCC50-AAF5-4BA9-AEF4-5A2494A4AF47}" r="H42" connectionId="0">
    <xmlCellPr id="1" xr6:uid="{CEC6D677-9EC8-4EB6-AF81-78315A62F1AB}" uniqueName="Score">
      <xmlPr mapId="7" xpath="/MAKE/AOP/RESCUE/Post-Crash_Tech/Advanced_eCall/Pot_No_Occupants/@Score" xmlDataType="decimal"/>
    </xmlCellPr>
  </singleXmlCell>
  <singleXmlCell id="5" xr6:uid="{DB964D5E-84C6-4332-A014-7339DD339FE7}" r="D43" connectionId="0">
    <xmlCellPr id="1" xr6:uid="{EC6FE5E5-2812-4E9E-A5F9-B3B532BEE4C9}" uniqueName="Pass_Fail">
      <xmlPr mapId="7" xpath="/MAKE/AOP/RESCUE/Post-Crash_Tech/Advanced_eCall/Recent_Veh_Locations/@Pass_Fail" xmlDataType="string"/>
    </xmlCellPr>
  </singleXmlCell>
  <singleXmlCell id="6" xr6:uid="{63D00088-0E70-4A4E-A898-98B2859F82A2}" r="H43" connectionId="0">
    <xmlCellPr id="1" xr6:uid="{6CFB585A-189A-4E74-8137-F490FE9760BA}" uniqueName="Score">
      <xmlPr mapId="7" xpath="/MAKE/AOP/RESCUE/Post-Crash_Tech/Advanced_eCall/Recent_Veh_Locations/@Score" xmlDataType="decimal"/>
    </xmlCellPr>
  </singleXmlCell>
  <singleXmlCell id="7" xr6:uid="{113EA2D8-E8F8-463F-B196-D6A26E02CB96}" r="D45" connectionId="0">
    <xmlCellPr id="1" xr6:uid="{FA6F2023-ED84-47C1-BB98-2944995632D4}" uniqueName="Score">
      <xmlPr mapId="7" xpath="/MAKE/AOP/RESCUE/Post-Crash_Tech/Advanced_eCall/@Score" xmlDataType="decimal"/>
    </xmlCellPr>
  </singleXmlCell>
  <singleXmlCell id="8" xr6:uid="{AE97504C-46B1-4EE9-8E38-83C093B1B65C}" r="D53" connectionId="0">
    <xmlCellPr id="1" xr6:uid="{CD6D6033-9B20-4507-B53A-8A5AB3451CBE}" uniqueName="Score">
      <xmlPr mapId="7" xpath="/MAKE/AOP/RESCUE/Post-Crash_Tech/Third_Party_Service_eCall/@Score" xmlDataType="decimal"/>
    </xmlCellPr>
  </singleXmlCell>
  <singleXmlCell id="9" xr6:uid="{26CA861C-7435-4722-87FD-FE68442C2566}" r="D48" connectionId="0">
    <xmlCellPr id="1" xr6:uid="{DDF18509-A118-42FA-BA5D-0DC9980B75E6}" uniqueName="Pass_Fail">
      <xmlPr mapId="7" xpath="/MAKE/AOP/RESCUE/Post-Crash_Tech/Third_Party_Service_eCall/Multi_Lang_Comm/@Pass_Fail" xmlDataType="string"/>
    </xmlCellPr>
  </singleXmlCell>
  <singleXmlCell id="10" xr6:uid="{9363DE52-85A5-4602-9B5E-8ED3FBE94046}" r="H48" connectionId="0">
    <xmlCellPr id="1" xr6:uid="{1E264E82-F91C-47CA-A7D5-5A4345E36938}" uniqueName="Score">
      <xmlPr mapId="7" xpath="/MAKE/AOP/RESCUE/Post-Crash_Tech/Third_Party_Service_eCall/Multi_Lang_Comm/@Score" xmlDataType="decimal"/>
    </xmlCellPr>
  </singleXmlCell>
  <singleXmlCell id="11" xr6:uid="{F798F1FB-8226-4FEE-B4A9-D04EE715D7B4}" r="D49" connectionId="0">
    <xmlCellPr id="1" xr6:uid="{6728658C-9FB1-4586-804A-4C16B25802AA}" uniqueName="Pass_Fail">
      <xmlPr mapId="7" xpath="/MAKE/AOP/RESCUE/Post-Crash_Tech/Third_Party_Service_eCall/Hazard_Detect/@Pass_Fail" xmlDataType="string"/>
    </xmlCellPr>
  </singleXmlCell>
  <singleXmlCell id="12" xr6:uid="{F7FF5B74-7FC6-4361-9E6C-32454D46E94A}" r="H49" connectionId="0">
    <xmlCellPr id="1" xr6:uid="{FB1FF83F-6B87-438C-B552-2A5C5DFCC202}" uniqueName="Score">
      <xmlPr mapId="7" xpath="/MAKE/AOP/RESCUE/Post-Crash_Tech/Third_Party_Service_eCall/Hazard_Detect/@Score" xmlDataType="decimal"/>
    </xmlCellPr>
  </singleXmlCell>
  <singleXmlCell id="13" xr6:uid="{86DC5E88-E46D-4460-966E-DBC955082099}" r="D50" connectionId="0">
    <xmlCellPr id="1" xr6:uid="{C2950563-0710-49B9-AB91-1BCA9580F3E8}" uniqueName="Pass_Fail">
      <xmlPr mapId="7" xpath="/MAKE/AOP/RESCUE/Post-Crash_Tech/Third_Party_Service_eCall/Transfer_Paired_Mobile/@Pass_Fail" xmlDataType="string"/>
    </xmlCellPr>
  </singleXmlCell>
  <singleXmlCell id="14" xr6:uid="{6AF035F8-6A35-4B01-9CEB-A09810A6F031}" r="H50" connectionId="0">
    <xmlCellPr id="1" xr6:uid="{3D8659BB-C7CD-4B77-9728-6716371F84F4}" uniqueName="Score">
      <xmlPr mapId="7" xpath="/MAKE/AOP/RESCUE/Post-Crash_Tech/Third_Party_Service_eCall/Transfer_Paired_Mobile/@Score" xmlDataType="decimal"/>
    </xmlCellPr>
  </singleXmlCell>
  <singleXmlCell id="15" xr6:uid="{B7F9373E-2E08-421A-823E-EB50896B623A}" r="D51" connectionId="0">
    <xmlCellPr id="1" xr6:uid="{AACFB883-0773-462C-9D2E-7FE7BADF5B5D}" uniqueName="Pass_Fail">
      <xmlPr mapId="7" xpath="/MAKE/AOP/RESCUE/Post-Crash_Tech/Third_Party_Service_eCall/Transfer_Vehicle_Type/@Pass_Fail" xmlDataType="string"/>
    </xmlCellPr>
  </singleXmlCell>
  <singleXmlCell id="16" xr6:uid="{B5C3C8E6-3664-462F-B6BD-DA9071905120}" r="H51" connectionId="0">
    <xmlCellPr id="1" xr6:uid="{B78A2D37-B970-4A63-B161-79E7FD1D6BE0}" uniqueName="Score">
      <xmlPr mapId="7" xpath="/MAKE/AOP/RESCUE/Post-Crash_Tech/Third_Party_Service_eCall/Transfer_Vehicle_Type/@Score" xmlDataType="decimal"/>
    </xmlCellPr>
  </singleXmlCell>
  <singleXmlCell id="17" xr6:uid="{512D8F02-6B37-488D-AA5C-95285A549376}" r="D52" connectionId="0">
    <xmlCellPr id="1" xr6:uid="{7BE8A4D5-6184-4850-B3D9-F38AC9646B2E}" uniqueName="Pass_Fail">
      <xmlPr mapId="7" xpath="/MAKE/AOP/RESCUE/Post-Crash_Tech/Third_Party_Service_eCall/Any_New_Function/@Pass_Fail" xmlDataType="string"/>
    </xmlCellPr>
  </singleXmlCell>
  <singleXmlCell id="18" xr6:uid="{4D5CE3C6-3EF4-437E-8E99-81E1F56C71FD}" r="H52" connectionId="0">
    <xmlCellPr id="1" xr6:uid="{E568879F-F866-4678-86CF-89C6014F5EB9}" uniqueName="Score">
      <xmlPr mapId="7" xpath="/MAKE/AOP/RESCUE/Post-Crash_Tech/Third_Party_Service_eCall/Any_New_Function/@Score" xmlDataType="decimal"/>
    </xmlCellPr>
  </singleXmlCell>
  <singleXmlCell id="19" xr6:uid="{BC37EFD7-3884-4574-B11C-E08E55407DB6}" r="D58" connectionId="0">
    <xmlCellPr id="1" xr6:uid="{62566CD2-CA57-4DCA-B07F-F12BB460B02E}" uniqueName="Score">
      <xmlPr mapId="7" xpath="/MAKE/AOP/RESCUE/Post-Crash_Tech/Vehicle_Submergence/@Score" xmlDataType="decimal"/>
    </xmlCellPr>
  </singleXmlCell>
  <singleXmlCell id="20" xr6:uid="{880C9EAD-47E9-4D54-9F4B-FB328FC9B835}" r="D56" connectionId="0">
    <xmlCellPr id="1" xr6:uid="{7EA71F76-B6D6-4F2C-BB00-CB4EE9C903AE}" uniqueName="Pass_Fail">
      <xmlPr mapId="7" xpath="/MAKE/AOP/RESCUE/Post-Crash_Tech/Vehicle_Submergence/Door_Opening/@Pass_Fail" xmlDataType="string"/>
    </xmlCellPr>
  </singleXmlCell>
  <singleXmlCell id="21" xr6:uid="{5DC4AA2A-92C7-45BA-9010-FD7B82F15E42}" r="H56" connectionId="0">
    <xmlCellPr id="1" xr6:uid="{F086C676-65AB-4561-9243-A82FB632DF3D}" uniqueName="Score">
      <xmlPr mapId="7" xpath="/MAKE/AOP/RESCUE/Post-Crash_Tech/Vehicle_Submergence/Door_Opening/@Score" xmlDataType="decimal"/>
    </xmlCellPr>
  </singleXmlCell>
  <singleXmlCell id="22" xr6:uid="{32038A8F-B7EF-4449-B74D-4CFB211EDA54}" r="D57" connectionId="0">
    <xmlCellPr id="1" xr6:uid="{81EFFDA2-B7CF-4E72-BBB8-A68049ABE347}" uniqueName="Pass_Fail">
      <xmlPr mapId="7" xpath="/MAKE/AOP/RESCUE/Post-Crash_Tech/Vehicle_Submergence/Window_Opening/@Pass_Fail" xmlDataType="string"/>
    </xmlCellPr>
  </singleXmlCell>
  <singleXmlCell id="23" xr6:uid="{B7FA937A-5532-4043-AA96-F1BB75E3BDE2}" r="H57" connectionId="0">
    <xmlCellPr id="1" xr6:uid="{51B2E978-899C-4EA0-B805-D4F0CE723B3C}" uniqueName="Score">
      <xmlPr mapId="7" xpath="/MAKE/AOP/RESCUE/Post-Crash_Tech/Vehicle_Submergence/Window_Opening/@Score" xmlDataType="decimal"/>
    </xmlCellPr>
  </singleXmlCell>
  <singleXmlCell id="24" xr6:uid="{3A901903-FD40-4366-97F9-B36561678DE9}" r="D61" connectionId="0">
    <xmlCellPr id="1" xr6:uid="{F176F95A-2ABB-46E0-A808-3EDD2DD669B6}" uniqueName="Name">
      <xmlPr mapId="7" xpath="/MAKE/AOP/RESCUE/Post-Crash_Tech/MCB/@Name" xmlDataType="anyType"/>
    </xmlCellPr>
  </singleXmlCell>
  <singleXmlCell id="25" xr6:uid="{C7777F03-B06B-42A4-9BAC-560009EDBA81}" r="D62" connectionId="0">
    <xmlCellPr id="1" xr6:uid="{4558C328-5102-4E4D-95FE-EA73372A8686}" uniqueName="Description_in_Manual">
      <xmlPr mapId="7" xpath="/MAKE/AOP/RESCUE/Post-Crash_Tech/MCB/@Description_in_Manual" xmlDataType="anyType"/>
    </xmlCellPr>
  </singleXmlCell>
  <singleXmlCell id="26" xr6:uid="{EC914493-5D54-497D-95D9-759B75D43850}" r="D63" connectionId="0">
    <xmlCellPr id="1" xr6:uid="{185BEE44-EF70-4363-9B64-3353DA33BB9F}" uniqueName="Decel">
      <xmlPr mapId="7" xpath="/MAKE/AOP/RESCUE/Post-Crash_Tech/MCB/@Decel" xmlDataType="anyType"/>
    </xmlCellPr>
  </singleXmlCell>
  <singleXmlCell id="27" xr6:uid="{4EB4E6BE-F86B-4FC0-892D-F332E6120683}" r="D64" connectionId="0">
    <xmlCellPr id="1" xr6:uid="{CC24A4C2-C55B-4748-A981-3FDEF1190380}" uniqueName="Brakelight">
      <xmlPr mapId="7" xpath="/MAKE/AOP/RESCUE/Post-Crash_Tech/MCB/@Brakelight" xmlDataType="anyType"/>
    </xmlCellPr>
  </singleXmlCell>
  <singleXmlCell id="28" xr6:uid="{C67B0F7D-AF27-4406-A584-FFCA8C39A05A}" r="D65" connectionId="0">
    <xmlCellPr id="1" xr6:uid="{4375A4B3-8342-495B-B723-F10D0C6725CF}" uniqueName="Points">
      <xmlPr mapId="7" xpath="/MAKE/AOP/RESCUE/Post-Crash_Tech/MCB/@Points" xmlDataType="decimal"/>
    </xmlCellPr>
  </singleXmlCell>
  <singleXmlCell id="29" xr6:uid="{D5DA8FCF-E0FC-4D60-8C54-82CC1AC6614E}" r="D67" connectionId="0">
    <xmlCellPr id="1" xr6:uid="{95F730E5-A523-4A36-8E7F-4A9A0914F7CB}" uniqueName="Post_Crash_Points">
      <xmlPr mapId="7" xpath="/MAKE/AOP/RESCUE/Post-Crash_Tech/@Post_Crash_Points" xmlDataType="decimal"/>
    </xmlCellPr>
  </singleXmlCell>
  <singleXmlCell id="30" xr6:uid="{EE735CAD-AD61-4905-A1BB-65B915E4B7F6}" r="D7" connectionId="0">
    <xmlCellPr id="1" xr6:uid="{79ECF6F2-8B1E-434C-BC3D-1A3456178620}" uniqueName="Availability">
      <xmlPr mapId="7" xpath="/MAKE/AOP/RESCUE/Rescue_Assessment/Rescue_Sheet/Available_all_EAA_Languages/@Availability" xmlDataType="string"/>
    </xmlCellPr>
  </singleXmlCell>
  <singleXmlCell id="31" xr6:uid="{F24ADF9F-51FE-4126-A6C6-96B4D1241C50}" r="H7" connectionId="0">
    <xmlCellPr id="1" xr6:uid="{53C7C822-9B37-4E65-9769-3D94574F043D}" uniqueName="Compliance">
      <xmlPr mapId="7" xpath="/MAKE/AOP/RESCUE/Rescue_Assessment/Rescue_Sheet/Available_all_EAA_Languages/@Compliance" xmlDataType="string"/>
    </xmlCellPr>
  </singleXmlCell>
  <singleXmlCell id="32" xr6:uid="{7B80E14D-3AAD-411B-934E-EE10C42A9AB9}" r="D8" connectionId="0">
    <xmlCellPr id="1" xr6:uid="{7ED6B2E1-2C72-431D-BBD9-6FCE60E8F795}" uniqueName="Availability">
      <xmlPr mapId="7" xpath="/MAKE/AOP/RESCUE/Rescue_Assessment/Rescue_Sheet/Available_all_others_2020_on/@Availability" xmlDataType="string"/>
    </xmlCellPr>
  </singleXmlCell>
  <singleXmlCell id="33" xr6:uid="{F756C79C-5893-4453-A6E3-C04AEE6BE41A}" r="H8" connectionId="0">
    <xmlCellPr id="1" xr6:uid="{3DC18A40-978E-4AE3-A4CC-FA1162955812}" uniqueName="Compliance">
      <xmlPr mapId="7" xpath="/MAKE/AOP/RESCUE/Rescue_Assessment/Rescue_Sheet/Available_all_others_2020_on/@Compliance" xmlDataType="string"/>
    </xmlCellPr>
  </singleXmlCell>
  <singleXmlCell id="36" xr6:uid="{5370798A-3FA4-480B-9E1E-7DAF87F5026D}" r="D9" connectionId="0">
    <xmlCellPr id="1" xr6:uid="{C2967A55-E919-43F2-B83B-8705D5EDE156}" uniqueName="Availability">
      <xmlPr mapId="7" xpath="/MAKE/AOP/RESCUE/Rescue_Assessment/Rescue_Sheet/ERG_for_tested/@Availability" xmlDataType="string"/>
    </xmlCellPr>
  </singleXmlCell>
  <singleXmlCell id="37" xr6:uid="{79438476-590F-426D-9705-6D6106E27B3E}" r="D10" connectionId="0">
    <xmlCellPr id="1" xr6:uid="{4D7C0DFC-3CEB-4A48-B7CC-9E5BDCE30A7C}" uniqueName="Rescue_Assessment_Points">
      <xmlPr mapId="7" xpath="/MAKE/AOP/RESCUE/Rescue_Assessment/@Rescue_Assessment_Points" xmlDataType="decimal"/>
    </xmlCellPr>
  </singleXmlCell>
  <singleXmlCell id="38" xr6:uid="{F8EEA7B1-2F96-4579-AA50-258879484D98}" r="D74" connectionId="0">
    <xmlCellPr id="1" xr6:uid="{1D644137-BE00-4D2C-8005-B8B930CC680F}" uniqueName="TOTAL_RESCUE">
      <xmlPr mapId="7" xpath="/MAKE/AOP/RESCUE/@TOTAL_RESCUE" xmlDataType="decimal"/>
    </xmlCellPr>
  </singleXmlCell>
</singleXmlCells>
</file>

<file path=xl/tables/tableSingleCells10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3658" xr6:uid="{7548CE84-AFF6-417D-8DC9-5E79672BE0AB}" r="D59" connectionId="0">
    <xmlCellPr id="1" xr6:uid="{269E2F70-9AA9-4EAC-B8E6-245E179436DD}" uniqueName="TOTAL_DYNAMIC_ASSESSMENT">
      <xmlPr mapId="7" xpath="/MAKE/COP/COPDynamic/@TOTAL_DYNAMIC_ASSESSMENT" xmlDataType="decimal"/>
    </xmlCellPr>
  </singleXmlCell>
  <singleXmlCell id="3757" xr6:uid="{70BE0290-0854-4B12-BCA3-1F02326E8C10}" r="D7" connectionId="0">
    <xmlCellPr id="1" xr6:uid="{1936470C-1FC0-49F4-8546-4290968A5129}" uniqueName="Q6">
      <xmlPr mapId="7" xpath="/MAKE/COP/COPDynamic/ELIGIBILITY_FOR_SCORING/Child_restraint/CRS_Name/@Q6" xmlDataType="string"/>
    </xmlCellPr>
  </singleXmlCell>
  <singleXmlCell id="3758" xr6:uid="{37A812A8-6E49-431E-8DCA-9D910FD98DEE}" r="F7" connectionId="0">
    <xmlCellPr id="1" xr6:uid="{3A12303B-A89F-413C-A187-39B39C9E6DD1}" uniqueName="Q10">
      <xmlPr mapId="7" xpath="/MAKE/COP/COPDynamic/ELIGIBILITY_FOR_SCORING/Child_restraint/CRS_Name/@Q10" xmlDataType="string"/>
    </xmlCellPr>
  </singleXmlCell>
  <singleXmlCell id="3759" xr6:uid="{4FF25183-B6E5-47BD-ABAB-443047DB7834}" r="D9" connectionId="0">
    <xmlCellPr id="1" xr6:uid="{609CEA68-31DC-4CBF-9239-320EC24B31F2}" uniqueName="Q6">
      <xmlPr mapId="7" xpath="/MAKE/COP/COPDynamic/ELIGIBILITY_FOR_SCORING/Child_restraint/CRS_Type/@Q6" xmlDataType="string"/>
    </xmlCellPr>
  </singleXmlCell>
  <singleXmlCell id="3760" xr6:uid="{5CAD9B73-7099-4CD1-B410-8367B337632A}" r="D8" connectionId="0">
    <xmlCellPr id="1" xr6:uid="{F78040F7-FE50-4937-A744-21C2F8FB0080}" uniqueName="Q6">
      <xmlPr mapId="7" xpath="/MAKE/COP/COPDynamic/ELIGIBILITY_FOR_SCORING/Child_restraint/Installation_method/@Q6" xmlDataType="string"/>
    </xmlCellPr>
  </singleXmlCell>
  <singleXmlCell id="3761" xr6:uid="{BFFDED4A-F98F-468F-90F8-F6CC67DE89AD}" r="F8" connectionId="0">
    <xmlCellPr id="1" xr6:uid="{54A17C36-2878-4828-8A58-AB5389798EFD}" uniqueName="Q10">
      <xmlPr mapId="7" xpath="/MAKE/COP/COPDynamic/ELIGIBILITY_FOR_SCORING/Child_restraint/Installation_method/@Q10" xmlDataType="string"/>
    </xmlCellPr>
  </singleXmlCell>
  <singleXmlCell id="3762" xr6:uid="{B21F594A-D1E6-42AD-B30D-8B6A58CE60C4}" r="D10" connectionId="0">
    <xmlCellPr id="1" xr6:uid="{2D8E7842-E957-4216-BD78-2A3968C83E11}" uniqueName="Q6">
      <xmlPr mapId="7" xpath="/MAKE/COP/COPDynamic/ELIGIBILITY_FOR_SCORING/Recommended_by_vehicle_manufacturer/@Q6" xmlDataType="string"/>
    </xmlCellPr>
  </singleXmlCell>
  <singleXmlCell id="3763" xr6:uid="{65A88202-FE40-483D-BA10-F1F95FBBDA0B}" r="F10" connectionId="0">
    <xmlCellPr id="1" xr6:uid="{6947E528-BB83-462F-B38C-A90CEAB7F0AB}" uniqueName="Q10">
      <xmlPr mapId="7" xpath="/MAKE/COP/COPDynamic/ELIGIBILITY_FOR_SCORING/Recommended_by_vehicle_manufacturer/@Q10" xmlDataType="string"/>
    </xmlCellPr>
  </singleXmlCell>
  <singleXmlCell id="3764" xr6:uid="{CEAF341D-20E7-404B-AB48-42ED019F68D7}" r="D36" connectionId="0">
    <xmlCellPr id="1" xr6:uid="{D8C079D3-EBFC-4B9F-9714-1231EEE89C93}" uniqueName="Q6_Total">
      <xmlPr mapId="7" xpath="/MAKE/COP/COPDynamic/FRONTAL/@Q6_Total" xmlDataType="decimal"/>
    </xmlCellPr>
  </singleXmlCell>
  <singleXmlCell id="3765" xr6:uid="{4F0D30BB-B789-4B3D-AA79-E0A2C7F0D8B0}" r="F36" connectionId="0">
    <xmlCellPr id="1" xr6:uid="{316218FE-31EF-4834-B943-00BC121A87E4}" uniqueName="Q10_Total">
      <xmlPr mapId="7" xpath="/MAKE/COP/COPDynamic/FRONTAL/@Q10_Total" xmlDataType="decimal"/>
    </xmlCellPr>
  </singleXmlCell>
  <singleXmlCell id="3766" xr6:uid="{5991B446-0FCB-4F8F-802E-B3DD1237A8F2}" r="D16" connectionId="0">
    <xmlCellPr id="1" xr6:uid="{140889A2-BCED-4262-8768-0C7C8B718D55}" uniqueName="Q6">
      <xmlPr mapId="7" xpath="/MAKE/COP/COPDynamic/FRONTAL/CRS_Car_Anchorage_Fail/@Q6" xmlDataType="string"/>
    </xmlCellPr>
  </singleXmlCell>
  <singleXmlCell id="3767" xr6:uid="{A26E976F-7839-425A-90B5-EC4CEDA8D671}" r="F16" connectionId="0">
    <xmlCellPr id="1" xr6:uid="{43420A36-D05A-4D41-8860-F92BD5F6CC90}" uniqueName="Q10">
      <xmlPr mapId="7" xpath="/MAKE/COP/COPDynamic/FRONTAL/CRS_Car_Anchorage_Fail/@Q10" xmlDataType="string"/>
    </xmlCellPr>
  </singleXmlCell>
  <singleXmlCell id="3768" xr6:uid="{C83F78B1-F6C5-465D-8C2E-3E68178C4940}" r="E22" connectionId="0">
    <xmlCellPr id="1" xr6:uid="{092913C8-5030-4E0C-B95D-562832F1A055}" uniqueName="Q6_Total">
      <xmlPr mapId="7" xpath="/MAKE/COP/COPDynamic/FRONTAL/Head_Assessment/@Q6_Total" xmlDataType="decimal"/>
    </xmlCellPr>
  </singleXmlCell>
  <singleXmlCell id="3769" xr6:uid="{E10D41F0-6397-4A81-8844-0C3D050BF200}" r="G22" connectionId="0">
    <xmlCellPr id="1" xr6:uid="{7243F000-2BD1-49BD-B596-E595E4AF23B8}" uniqueName="Q10_Total">
      <xmlPr mapId="7" xpath="/MAKE/COP/COPDynamic/FRONTAL/Head_Assessment/@Q10_Total" xmlDataType="decimal"/>
    </xmlCellPr>
  </singleXmlCell>
  <singleXmlCell id="3770" xr6:uid="{EB467373-3A45-4527-A3C9-38B9E64B9D85}" r="D18" connectionId="0">
    <xmlCellPr id="1" xr6:uid="{1F24E7C5-7F05-4C15-88DD-AEA3246822C6}" uniqueName="Q6">
      <xmlPr mapId="7" xpath="/MAKE/COP/COPDynamic/FRONTAL/Head_Assessment/Hard_Contact/@Q6" xmlDataType="anyType"/>
    </xmlCellPr>
  </singleXmlCell>
  <singleXmlCell id="3771" xr6:uid="{24D07D17-ED99-4784-9E69-406B63B9CFA4}" r="F18" connectionId="0">
    <xmlCellPr id="1" xr6:uid="{E3C54D99-3D4C-4A15-8B4C-A479AAB35A1D}" uniqueName="Q10">
      <xmlPr mapId="7" xpath="/MAKE/COP/COPDynamic/FRONTAL/Head_Assessment/Hard_Contact/@Q10" xmlDataType="anyType"/>
    </xmlCellPr>
  </singleXmlCell>
  <singleXmlCell id="3772" xr6:uid="{985D9111-4166-4090-9F70-5B4BD074501B}" r="D19" connectionId="0">
    <xmlCellPr id="1" xr6:uid="{F72A713C-FB5D-494A-B017-951C32FCD0FA}" uniqueName="Q6_Value">
      <xmlPr mapId="7" xpath="/MAKE/COP/COPDynamic/FRONTAL/Head_Assessment/HIC_15/@Q6_Value" xmlDataType="decimal"/>
    </xmlCellPr>
  </singleXmlCell>
  <singleXmlCell id="3773" xr6:uid="{0ECBB193-195C-4D90-B6FF-1616C42E2AA5}" r="F19" connectionId="0">
    <xmlCellPr id="1" xr6:uid="{F4A318E8-EE91-4FFF-BA63-CD25D5433311}" uniqueName="Q10_Value">
      <xmlPr mapId="7" xpath="/MAKE/COP/COPDynamic/FRONTAL/Head_Assessment/HIC_15/@Q10_Value" xmlDataType="decimal"/>
    </xmlCellPr>
  </singleXmlCell>
  <singleXmlCell id="3774" xr6:uid="{1B5F62B0-7B2A-4619-8123-D98DFDF979DB}" r="D20" connectionId="0">
    <xmlCellPr id="1" xr6:uid="{18BFA964-0385-4000-849B-21B1E955A8FF}" uniqueName="Q6_Value">
      <xmlPr mapId="7" xpath="/MAKE/COP/COPDynamic/FRONTAL/Head_Assessment/Head_Resultant_3msec_Exceedence_g/@Q6_Value" xmlDataType="decimal"/>
    </xmlCellPr>
  </singleXmlCell>
  <singleXmlCell id="3775" xr6:uid="{A718D1DB-636D-4EF3-BF68-67BDB3F5DFEF}" r="E20" connectionId="0">
    <xmlCellPr id="1" xr6:uid="{3CEBB07C-B333-4399-AFB7-91D9FF62170C}" uniqueName="Q6_Points">
      <xmlPr mapId="7" xpath="/MAKE/COP/COPDynamic/FRONTAL/Head_Assessment/Head_Resultant_3msec_Exceedence_g/@Q6_Points" xmlDataType="decimal"/>
    </xmlCellPr>
  </singleXmlCell>
  <singleXmlCell id="3776" xr6:uid="{E9A8D58A-22FC-471E-B380-C8ECE37714F5}" r="F20" connectionId="0">
    <xmlCellPr id="1" xr6:uid="{1D34C308-9F4A-4ADD-B8BE-73F3159375E3}" uniqueName="Q10_Value">
      <xmlPr mapId="7" xpath="/MAKE/COP/COPDynamic/FRONTAL/Head_Assessment/Head_Resultant_3msec_Exceedence_g/@Q10_Value" xmlDataType="decimal"/>
    </xmlCellPr>
  </singleXmlCell>
  <singleXmlCell id="3777" xr6:uid="{48B2CBFD-7BE1-474A-AAA6-D78B779A4279}" r="G20" connectionId="0">
    <xmlCellPr id="1" xr6:uid="{7922C6F6-6374-4B88-A189-2A2328A60B5A}" uniqueName="Q10_Points">
      <xmlPr mapId="7" xpath="/MAKE/COP/COPDynamic/FRONTAL/Head_Assessment/Head_Resultant_3msec_Exceedence_g/@Q10_Points" xmlDataType="decimal"/>
    </xmlCellPr>
  </singleXmlCell>
  <singleXmlCell id="3784" xr6:uid="{F293B546-197D-4C94-9EBE-74324265D917}" r="D21" connectionId="0">
    <xmlCellPr id="1" xr6:uid="{E890DB5B-BA22-48E1-86D3-23F69EBC3230}" uniqueName="Q6_Value">
      <xmlPr mapId="7" xpath="/MAKE/COP/COPDynamic/FRONTAL/Head_Assessment/Excursion/@Q6_Value" xmlDataType="decimal"/>
    </xmlCellPr>
  </singleXmlCell>
  <singleXmlCell id="3785" xr6:uid="{8027D180-A9B8-4A3A-9B28-A917C7162AA5}" r="E21" connectionId="0">
    <xmlCellPr id="1" xr6:uid="{F6ABE428-54D8-409F-B6D7-DB7FA60B8261}" uniqueName="Q6_Points">
      <xmlPr mapId="7" xpath="/MAKE/COP/COPDynamic/FRONTAL/Head_Assessment/Excursion/@Q6_Points" xmlDataType="decimal"/>
    </xmlCellPr>
  </singleXmlCell>
  <singleXmlCell id="3786" xr6:uid="{B863DFA3-9683-46F1-A515-D119B7FE1BD5}" r="F21" connectionId="0">
    <xmlCellPr id="1" xr6:uid="{413144C0-33CB-41C8-B0BB-1033BBD28BFD}" uniqueName="Q10_Value">
      <xmlPr mapId="7" xpath="/MAKE/COP/COPDynamic/FRONTAL/Head_Assessment/Excursion/@Q10_Value" xmlDataType="decimal"/>
    </xmlCellPr>
  </singleXmlCell>
  <singleXmlCell id="3787" xr6:uid="{BDE0080F-7DB2-4F73-90C1-367202231212}" r="G21" connectionId="0">
    <xmlCellPr id="1" xr6:uid="{7E7C6E65-48F7-4DA8-B59C-F0FDCD4E6D29}" uniqueName="Q10_Points">
      <xmlPr mapId="7" xpath="/MAKE/COP/COPDynamic/FRONTAL/Head_Assessment/Excursion/@Q10_Points" xmlDataType="decimal"/>
    </xmlCellPr>
  </singleXmlCell>
  <singleXmlCell id="3789" xr6:uid="{952E0858-E6C7-4CF2-A4CA-FB5370289D40}" r="E28" connectionId="0">
    <xmlCellPr id="1" xr6:uid="{8BA42ACD-6A5F-42CD-BE1B-00FE4CC02066}" uniqueName="Q6_Total">
      <xmlPr mapId="7" xpath="/MAKE/COP/COPDynamic/FRONTAL/Neck_Assessment/@Q6_Total" xmlDataType="decimal"/>
    </xmlCellPr>
  </singleXmlCell>
  <singleXmlCell id="3790" xr6:uid="{B71D9B55-D476-4B47-88E2-3193E2B7C727}" r="G28" connectionId="0">
    <xmlCellPr id="1" xr6:uid="{7DEEDC25-D1FF-4B81-B81A-B92EB37323FC}" uniqueName="Q10_Total">
      <xmlPr mapId="7" xpath="/MAKE/COP/COPDynamic/FRONTAL/Neck_Assessment/@Q10_Total" xmlDataType="decimal"/>
    </xmlCellPr>
  </singleXmlCell>
  <singleXmlCell id="3791" xr6:uid="{82AC5DF1-3772-43FA-B156-03AFCF535A99}" r="D26" connectionId="0">
    <xmlCellPr id="1" xr6:uid="{00159F70-B68B-4F86-AB26-537E5ECC7944}" uniqueName="Q6_Value">
      <xmlPr mapId="7" xpath="/MAKE/COP/COPDynamic/FRONTAL/Neck_Assessment/Tension_Upper_neck_Fz/@Q6_Value" xmlDataType="decimal"/>
    </xmlCellPr>
  </singleXmlCell>
  <singleXmlCell id="3792" xr6:uid="{591F6B4F-FFDD-42DA-91C2-17EB78BDC9AF}" r="E26" connectionId="0">
    <xmlCellPr id="1" xr6:uid="{60877F94-3090-41AC-8F14-B297F54875C6}" uniqueName="Q6_Points">
      <xmlPr mapId="7" xpath="/MAKE/COP/COPDynamic/FRONTAL/Neck_Assessment/Tension_Upper_neck_Fz/@Q6_Points" xmlDataType="decimal"/>
    </xmlCellPr>
  </singleXmlCell>
  <singleXmlCell id="3793" xr6:uid="{E8829310-8C37-4163-81CA-4ADFD6E8F173}" r="F26" connectionId="0">
    <xmlCellPr id="1" xr6:uid="{1D8F9D81-D560-4381-B0CD-DE38355A99CA}" uniqueName="Q10_Value">
      <xmlPr mapId="7" xpath="/MAKE/COP/COPDynamic/FRONTAL/Neck_Assessment/Tension_Upper_neck_Fz/@Q10_Value" xmlDataType="decimal"/>
    </xmlCellPr>
  </singleXmlCell>
  <singleXmlCell id="3794" xr6:uid="{358094C2-A0E8-4F50-8B93-F7250668F7E3}" r="G26" connectionId="0">
    <xmlCellPr id="1" xr6:uid="{6D1F7E44-E683-4442-BD30-872AABBAFF60}" uniqueName="Q10_Points">
      <xmlPr mapId="7" xpath="/MAKE/COP/COPDynamic/FRONTAL/Neck_Assessment/Tension_Upper_neck_Fz/@Q10_Points" xmlDataType="decimal"/>
    </xmlCellPr>
  </singleXmlCell>
  <singleXmlCell id="3795" xr6:uid="{1E501135-BFA4-4AA1-A923-DBAAA8A56A38}" r="D27" connectionId="0">
    <xmlCellPr id="1" xr6:uid="{6B3D1290-F3A8-4000-9BA5-9B95863746EA}" uniqueName="Q6_Value">
      <xmlPr mapId="7" xpath="/MAKE/COP/COPDynamic/FRONTAL/Neck_Assessment/Extension_My/@Q6_Value" xmlDataType="decimal"/>
    </xmlCellPr>
  </singleXmlCell>
  <singleXmlCell id="3796" xr6:uid="{EFB866FF-1C5B-46D8-BB87-6E29362AC120}" r="F27" connectionId="0">
    <xmlCellPr id="1" xr6:uid="{50AC5CA3-42A4-4CCD-852D-6010A775EFFF}" uniqueName="Q10_Value">
      <xmlPr mapId="7" xpath="/MAKE/COP/COPDynamic/FRONTAL/Neck_Assessment/Extension_My/@Q10_Value" xmlDataType="decimal"/>
    </xmlCellPr>
  </singleXmlCell>
  <singleXmlCell id="3797" xr6:uid="{48AA9B93-ABD0-454B-8EDA-C24B1CDE8E53}" r="E35" connectionId="0">
    <xmlCellPr id="1" xr6:uid="{053E561F-B243-4E95-B623-BC0F7F118726}" uniqueName="Q6_Total">
      <xmlPr mapId="7" xpath="/MAKE/COP/COPDynamic/FRONTAL/Chest_Assessment/@Q6_Total" xmlDataType="decimal"/>
    </xmlCellPr>
  </singleXmlCell>
  <singleXmlCell id="3798" xr6:uid="{318378B6-37B4-44C4-B6C3-519D90FE7236}" r="G35" connectionId="0">
    <xmlCellPr id="1" xr6:uid="{6126073D-98F0-442F-852D-0A7CCD0D361C}" uniqueName="Q10_Total">
      <xmlPr mapId="7" xpath="/MAKE/COP/COPDynamic/FRONTAL/Chest_Assessment/@Q10_Total" xmlDataType="decimal"/>
    </xmlCellPr>
  </singleXmlCell>
  <singleXmlCell id="3799" xr6:uid="{6DFD384E-5446-44E3-8876-BC9D04B5D83D}" r="D31" connectionId="0">
    <xmlCellPr id="1" xr6:uid="{7D0D01C5-B490-4BE1-ABF7-22A1861528CB}" uniqueName="Q6_Value">
      <xmlPr mapId="7" xpath="/MAKE/COP/COPDynamic/FRONTAL/Chest_Assessment/Chest_Resultant_3msec/@Q6_Value" xmlDataType="decimal"/>
    </xmlCellPr>
  </singleXmlCell>
  <singleXmlCell id="3800" xr6:uid="{41BDBB7E-634B-4C99-89AE-74CD046C66D4}" r="E31" connectionId="0">
    <xmlCellPr id="1" xr6:uid="{4F0B35AD-568A-4A60-88F3-2E236E8765C6}" uniqueName="Q6_Points">
      <xmlPr mapId="7" xpath="/MAKE/COP/COPDynamic/FRONTAL/Chest_Assessment/Chest_Resultant_3msec/@Q6_Points" xmlDataType="decimal"/>
    </xmlCellPr>
  </singleXmlCell>
  <singleXmlCell id="3801" xr6:uid="{766461FB-0354-49F5-B924-2FD1D1AEE721}" r="F31" connectionId="0">
    <xmlCellPr id="1" xr6:uid="{AB6B9842-ACE1-40C2-A0B4-3AC64D0E6B5C}" uniqueName="Q10_Value">
      <xmlPr mapId="7" xpath="/MAKE/COP/COPDynamic/FRONTAL/Chest_Assessment/Chest_Resultant_3msec/@Q10_Value" xmlDataType="decimal"/>
    </xmlCellPr>
  </singleXmlCell>
  <singleXmlCell id="3802" xr6:uid="{D683610C-3CBA-4244-A8E5-17DF9CF54B34}" r="G31" connectionId="0">
    <xmlCellPr id="1" xr6:uid="{F0230060-9886-4488-82C0-AE401EFECEF3}" uniqueName="Q10_Points">
      <xmlPr mapId="7" xpath="/MAKE/COP/COPDynamic/FRONTAL/Chest_Assessment/Chest_Resultant_3msec/@Q10_Points" xmlDataType="decimal"/>
    </xmlCellPr>
  </singleXmlCell>
  <singleXmlCell id="3803" xr6:uid="{A7EDDBEC-C0D6-4C74-85B0-6C9F4031B465}" r="D34" connectionId="0">
    <xmlCellPr id="1" xr6:uid="{A51BFDE1-CF37-4EC2-A894-8E99FFC6F7C1}" uniqueName="Q6_Value">
      <xmlPr mapId="7" xpath="/MAKE/COP/COPDynamic/FRONTAL/Chest_Assessment/Chest_Deflection/@Q6_Value" xmlDataType="decimal"/>
    </xmlCellPr>
  </singleXmlCell>
  <singleXmlCell id="3804" xr6:uid="{54EDE0CE-0A43-418F-BBD1-1CFC55F98B71}" r="E34" connectionId="0">
    <xmlCellPr id="1" xr6:uid="{8D7DC200-F3BA-48A8-AB26-6981696D5A87}" uniqueName="Q6_Points">
      <xmlPr mapId="7" xpath="/MAKE/COP/COPDynamic/FRONTAL/Chest_Assessment/Chest_Deflection/@Q6_Points" xmlDataType="decimal"/>
    </xmlCellPr>
  </singleXmlCell>
  <singleXmlCell id="3805" xr6:uid="{144D7F64-7E03-4CB4-8832-3DFF3C176B61}" r="F34" connectionId="0">
    <xmlCellPr id="1" xr6:uid="{DA7857C8-1459-4EF3-A4E1-9534D26DD363}" uniqueName="Q10_Value">
      <xmlPr mapId="7" xpath="/MAKE/COP/COPDynamic/FRONTAL/Chest_Assessment/Chest_Deflection/@Q10_Value" xmlDataType="decimal"/>
    </xmlCellPr>
  </singleXmlCell>
  <singleXmlCell id="3806" xr6:uid="{6A77DF58-51DF-4EC2-B3D8-DF235FE5FED2}" r="G34" connectionId="0">
    <xmlCellPr id="1" xr6:uid="{51DCAA0A-522C-4911-8EF1-B21ACB865182}" uniqueName="Q10_Points">
      <xmlPr mapId="7" xpath="/MAKE/COP/COPDynamic/FRONTAL/Chest_Assessment/Chest_Deflection/@Q10_Points" xmlDataType="decimal"/>
    </xmlCellPr>
  </singleXmlCell>
  <singleXmlCell id="3807" xr6:uid="{4E2FDAB0-DE3D-4467-A2FA-D15B85332E79}" r="D39" connectionId="0">
    <xmlCellPr id="1" xr6:uid="{98D85E70-3DFC-42EF-ADDB-CD32031ADA1B}" uniqueName="Q6">
      <xmlPr mapId="7" xpath="/MAKE/COP/COPDynamic/SIDE/Dummy_restrained_throughout/@Q6" xmlDataType="string"/>
    </xmlCellPr>
  </singleXmlCell>
  <singleXmlCell id="3808" xr6:uid="{48B5AD07-FCC6-45B6-A045-93B05B68BA90}" r="F39" connectionId="0">
    <xmlCellPr id="1" xr6:uid="{9036B1B0-C51D-4B8A-8D15-79CE840265A1}" uniqueName="Q10">
      <xmlPr mapId="7" xpath="/MAKE/COP/COPDynamic/SIDE/Dummy_restrained_throughout/@Q10" xmlDataType="string"/>
    </xmlCellPr>
  </singleXmlCell>
  <singleXmlCell id="3809" xr6:uid="{CC1753E0-A676-4731-BBA0-8A3058AA4611}" r="D40" connectionId="0">
    <xmlCellPr id="1" xr6:uid="{FAC93A96-7DCE-4FA3-A122-8F6D1A8B0CD0}" uniqueName="Q6">
      <xmlPr mapId="7" xpath="/MAKE/COP/COPDynamic/SIDE/CRS_Car_Anchorage_Fail/@Q6" xmlDataType="string"/>
    </xmlCellPr>
  </singleXmlCell>
  <singleXmlCell id="3810" xr6:uid="{6C9B9453-C2B0-4D58-8E15-DDCA108682A8}" r="F40" connectionId="0">
    <xmlCellPr id="1" xr6:uid="{E5B330E8-AA7A-494A-B50B-07CF7FD22255}" uniqueName="Q10">
      <xmlPr mapId="7" xpath="/MAKE/COP/COPDynamic/SIDE/CRS_Car_Anchorage_Fail/@Q10" xmlDataType="string"/>
    </xmlCellPr>
  </singleXmlCell>
  <singleXmlCell id="3811" xr6:uid="{0ED2EF46-DA7D-4B33-A6B0-3E0C3A444DF0}" r="D42" connectionId="0">
    <xmlCellPr id="1" xr6:uid="{E9CB3849-D7E4-4D86-BD93-11913A9FD1F9}" uniqueName="Q6">
      <xmlPr mapId="7" xpath="/MAKE/COP/COPDynamic/SIDE/Head_Assessment/Hard_Contact/@Q6" xmlDataType="anyType"/>
    </xmlCellPr>
  </singleXmlCell>
  <singleXmlCell id="3812" xr6:uid="{017437E3-487E-4DAB-BBFE-89F7BBEF6AD3}" r="F42" connectionId="0">
    <xmlCellPr id="1" xr6:uid="{26A7CC7E-C14C-42D1-8B57-EE4A16BC2443}" uniqueName="Q10">
      <xmlPr mapId="7" xpath="/MAKE/COP/COPDynamic/SIDE/Head_Assessment/Hard_Contact/@Q10" xmlDataType="anyType"/>
    </xmlCellPr>
  </singleXmlCell>
  <singleXmlCell id="3817" xr6:uid="{6CDB44EB-96E9-4390-9D1B-A93B39636F2B}" r="D43" connectionId="0">
    <xmlCellPr id="1" xr6:uid="{168968E0-857A-4800-A3B4-79D7B909A8F9}" uniqueName="Q6_Value">
      <xmlPr mapId="7" xpath="/MAKE/COP/COPDynamic/SIDE/Head_Assessment/HIC_15/@Q6_Value" xmlDataType="decimal"/>
    </xmlCellPr>
  </singleXmlCell>
  <singleXmlCell id="3818" xr6:uid="{AE2B2F56-2E90-48F3-92D0-223D9207C7C9}" r="F43" connectionId="0">
    <xmlCellPr id="1" xr6:uid="{70F2B0AB-1C51-4CA3-BF65-35CB1DA9DD1E}" uniqueName="Q10_Value">
      <xmlPr mapId="7" xpath="/MAKE/COP/COPDynamic/SIDE/Head_Assessment/HIC_15/@Q10_Value" xmlDataType="decimal"/>
    </xmlCellPr>
  </singleXmlCell>
  <singleXmlCell id="3819" xr6:uid="{750D5F52-6F71-4C88-9C45-2A3598D90E10}" r="D44" connectionId="0">
    <xmlCellPr id="1" xr6:uid="{57D267BB-0E80-4257-B483-765443042D6F}" uniqueName="Q6_Value">
      <xmlPr mapId="7" xpath="/MAKE/COP/COPDynamic/SIDE/Head_Assessment/Head_Resultant_3msec_Exceedence_g/@Q6_Value" xmlDataType="decimal"/>
    </xmlCellPr>
  </singleXmlCell>
  <singleXmlCell id="3820" xr6:uid="{4E2C7CAF-AC92-4C26-9C36-46FF57179B24}" r="E44" connectionId="0">
    <xmlCellPr id="1" xr6:uid="{C28CC88B-A94C-4AA7-9D1A-193D7C136C42}" uniqueName="Q6_Points">
      <xmlPr mapId="7" xpath="/MAKE/COP/COPDynamic/SIDE/Head_Assessment/Head_Resultant_3msec_Exceedence_g/@Q6_Points" xmlDataType="decimal"/>
    </xmlCellPr>
  </singleXmlCell>
  <singleXmlCell id="3821" xr6:uid="{CEA2C601-2260-456B-BABB-E712BBCFD39A}" r="F44" connectionId="0">
    <xmlCellPr id="1" xr6:uid="{C703B9B0-D0EE-4A4F-8BB0-C9BE9EEA98B2}" uniqueName="Q10_Value">
      <xmlPr mapId="7" xpath="/MAKE/COP/COPDynamic/SIDE/Head_Assessment/Head_Resultant_3msec_Exceedence_g/@Q10_Value" xmlDataType="decimal"/>
    </xmlCellPr>
  </singleXmlCell>
  <singleXmlCell id="3822" xr6:uid="{F6249693-3DB0-4246-BE4E-C54935B4737E}" r="G44" connectionId="0">
    <xmlCellPr id="1" xr6:uid="{1618A467-DED5-4AB4-85B6-1A407BDAEE07}" uniqueName="Q10_Points">
      <xmlPr mapId="7" xpath="/MAKE/COP/COPDynamic/SIDE/Head_Assessment/Head_Resultant_3msec_Exceedence_g/@Q10_Points" xmlDataType="decimal"/>
    </xmlCellPr>
  </singleXmlCell>
  <singleXmlCell id="3823" xr6:uid="{6EDFBEC2-37F6-4D3D-A545-F93246F54FDA}" r="E45" connectionId="0">
    <xmlCellPr id="1" xr6:uid="{199BF4C9-301D-4187-A5A2-E279B9BB04BE}" uniqueName="Q6_Total">
      <xmlPr mapId="7" xpath="/MAKE/COP/COPDynamic/SIDE/Head_Assessment/@Q6_Total" xmlDataType="decimal"/>
    </xmlCellPr>
  </singleXmlCell>
  <singleXmlCell id="3824" xr6:uid="{63FECD39-54D8-436F-99A0-C3E1528D0873}" r="G45" connectionId="0">
    <xmlCellPr id="1" xr6:uid="{B7D0A18A-754B-4F06-A93E-F198A5AD74D6}" uniqueName="Q10_Total">
      <xmlPr mapId="7" xpath="/MAKE/COP/COPDynamic/SIDE/Head_Assessment/@Q10_Total" xmlDataType="decimal"/>
    </xmlCellPr>
  </singleXmlCell>
  <singleXmlCell id="3825" xr6:uid="{65CA836F-C27F-49D7-B1E6-92586A3C7AEE}" r="D48" connectionId="0">
    <xmlCellPr id="1" xr6:uid="{9A0B7FCE-580A-4C38-9F32-AED7988E253C}" uniqueName="Q6_Value">
      <xmlPr mapId="7" xpath="/MAKE/COP/COPDynamic/SIDE/Neck_Assessment/Tension_Upper_neck_Fz/@Q6_Value" xmlDataType="decimal"/>
    </xmlCellPr>
  </singleXmlCell>
  <singleXmlCell id="3826" xr6:uid="{1A3F1914-65C0-4AE7-9D74-B1E4958571F1}" r="F48" connectionId="0">
    <xmlCellPr id="1" xr6:uid="{FFF3B3B1-308E-4BBC-9E2D-6670D1AFB1FC}" uniqueName="Q10_Value">
      <xmlPr mapId="7" xpath="/MAKE/COP/COPDynamic/SIDE/Neck_Assessment/Tension_Upper_neck_Fz/@Q10_Value" xmlDataType="decimal"/>
    </xmlCellPr>
  </singleXmlCell>
  <singleXmlCell id="3827" xr6:uid="{057DD97F-E9AF-4166-AE43-049E6EC28CE1}" r="D50" connectionId="0">
    <xmlCellPr id="1" xr6:uid="{F9D464D7-97EA-46AC-8C08-4C835F9F0A90}" uniqueName="Q6_Value">
      <xmlPr mapId="7" xpath="/MAKE/COP/COPDynamic/SIDE/Chest_Assessment/Chest_Resultant_3msec/@Q6_Value" xmlDataType="decimal"/>
    </xmlCellPr>
  </singleXmlCell>
  <singleXmlCell id="3828" xr6:uid="{CB8B4351-BF5B-4F86-9621-22FCE1CE4ED5}" r="F50" connectionId="0">
    <xmlCellPr id="1" xr6:uid="{058622CE-1A99-45D9-84DB-500C21430BE9}" uniqueName="Q10_Value">
      <xmlPr mapId="7" xpath="/MAKE/COP/COPDynamic/SIDE/Chest_Assessment/Chest_Resultant_3msec/@Q10_Value" xmlDataType="decimal"/>
    </xmlCellPr>
  </singleXmlCell>
  <singleXmlCell id="3829" xr6:uid="{89098B9B-A807-4327-9B90-F4D21D52845D}" r="E48" connectionId="0">
    <xmlCellPr id="1" xr6:uid="{44825E8D-1229-4067-8791-4F3849A13A20}" uniqueName="Q6_Total">
      <xmlPr mapId="7" xpath="/MAKE/COP/COPDynamic/SIDE/Neck_Assessment/@Q6_Total" xmlDataType="decimal"/>
    </xmlCellPr>
  </singleXmlCell>
  <singleXmlCell id="3830" xr6:uid="{79C50A50-0BB7-4F6F-84D5-8A11372CFAC2}" r="G48" connectionId="0">
    <xmlCellPr id="1" xr6:uid="{EA549C51-FF1A-490D-9FAC-22D0A9D67A53}" uniqueName="Q10_Total">
      <xmlPr mapId="7" xpath="/MAKE/COP/COPDynamic/SIDE/Neck_Assessment/@Q10_Total" xmlDataType="decimal"/>
    </xmlCellPr>
  </singleXmlCell>
  <singleXmlCell id="3831" xr6:uid="{DEFD76B9-8DC2-4561-9182-4C577E15AA87}" r="E50" connectionId="0">
    <xmlCellPr id="1" xr6:uid="{280C5FA4-F3E5-4CFB-A691-4BF40550C2EA}" uniqueName="Q6_Total">
      <xmlPr mapId="7" xpath="/MAKE/COP/COPDynamic/SIDE/Chest_Assessment/@Q6_Total" xmlDataType="decimal"/>
    </xmlCellPr>
  </singleXmlCell>
  <singleXmlCell id="3832" xr6:uid="{D0BFF772-7387-4880-837B-EA535AE3BB77}" r="G50" connectionId="0">
    <xmlCellPr id="1" xr6:uid="{C6A4DD76-BF25-4915-A468-C1555284CAB6}" uniqueName="Q10_Total">
      <xmlPr mapId="7" xpath="/MAKE/COP/COPDynamic/SIDE/Chest_Assessment/@Q10_Total" xmlDataType="decimal"/>
    </xmlCellPr>
  </singleXmlCell>
  <singleXmlCell id="3833" xr6:uid="{D4779C0B-E074-4FF3-8DF3-92BED70F1306}" r="D51" connectionId="0">
    <xmlCellPr id="1" xr6:uid="{D45C73A3-2FC6-409D-BCCC-5BF1D5CA4326}" uniqueName="Q6_Total">
      <xmlPr mapId="7" xpath="/MAKE/COP/COPDynamic/SIDE/@Q6_Total" xmlDataType="decimal"/>
    </xmlCellPr>
  </singleXmlCell>
  <singleXmlCell id="3834" xr6:uid="{DA7A59FA-1B33-4892-B36F-B9F4C21249E6}" r="F51" connectionId="0">
    <xmlCellPr id="1" xr6:uid="{7AEDD619-8B73-4347-A07C-6598B97D8EFC}" uniqueName="Q10_Total">
      <xmlPr mapId="7" xpath="/MAKE/COP/COPDynamic/SIDE/@Q10_Total" xmlDataType="decimal"/>
    </xmlCellPr>
  </singleXmlCell>
  <singleXmlCell id="3837" xr6:uid="{DB1425EA-8F5D-4943-84CB-17484600B042}" r="D57" connectionId="0">
    <xmlCellPr id="1" xr6:uid="{5F2783C6-99D1-4DCF-A33F-BA8FEC8AE67B}" uniqueName="Q6TOTAL">
      <xmlPr mapId="7" xpath="/MAKE/COP/COPDynamic/SUMMARY/@Q6TOTAL" xmlDataType="decimal"/>
    </xmlCellPr>
  </singleXmlCell>
  <singleXmlCell id="3838" xr6:uid="{B5AF79CE-048E-4372-A7B2-900D4E894479}" r="F57" connectionId="0">
    <xmlCellPr id="1" xr6:uid="{E0625AFC-E255-4778-914E-51276AA41239}" uniqueName="Q10TOTAL">
      <xmlPr mapId="7" xpath="/MAKE/COP/COPDynamic/SUMMARY/@Q10TOTAL" xmlDataType="decimal"/>
    </xmlCellPr>
  </singleXmlCell>
  <singleXmlCell id="3839" xr6:uid="{DD52C49F-C25E-45FF-93C6-CF32EB848826}" r="D54" connectionId="0">
    <xmlCellPr id="1" xr6:uid="{27EDB4C7-B34C-4B0B-9357-1146F923BD61}" uniqueName="Q6TOTAL">
      <xmlPr mapId="7" xpath="/MAKE/COP/COPDynamic/SUMMARY/Front_Assessment/@Q6TOTAL" xmlDataType="decimal"/>
    </xmlCellPr>
  </singleXmlCell>
  <singleXmlCell id="3840" xr6:uid="{439F7CDC-724C-4ACC-BA51-2C77FE1D4D3F}" r="F54" connectionId="0">
    <xmlCellPr id="1" xr6:uid="{2BCBF593-7824-4E8A-9C0C-9E425C259FE2}" uniqueName="Q10TOTAL">
      <xmlPr mapId="7" xpath="/MAKE/COP/COPDynamic/SUMMARY/Front_Assessment/@Q10TOTAL" xmlDataType="decimal"/>
    </xmlCellPr>
  </singleXmlCell>
  <singleXmlCell id="3841" xr6:uid="{7A5C463F-8E62-4F27-8862-16A3AE3B5299}" r="D55" connectionId="0">
    <xmlCellPr id="1" xr6:uid="{400ECDB4-8147-4280-AE20-ED7B539DA46D}" uniqueName="Q6TOTAL">
      <xmlPr mapId="7" xpath="/MAKE/COP/COPDynamic/SUMMARY/Side_Assessment/@Q6TOTAL" xmlDataType="decimal"/>
    </xmlCellPr>
  </singleXmlCell>
  <singleXmlCell id="3842" xr6:uid="{73747BF9-0128-4031-BF38-568B43D0B5C8}" r="F55" connectionId="0">
    <xmlCellPr id="1" xr6:uid="{A6C2BFE8-BAD2-423C-A634-0DC125A7E0C7}" uniqueName="Q10TOTAL">
      <xmlPr mapId="7" xpath="/MAKE/COP/COPDynamic/SUMMARY/Side_Assessment/@Q10TOTAL" xmlDataType="decimal"/>
    </xmlCellPr>
  </singleXmlCell>
  <singleXmlCell id="3843" xr6:uid="{5A05231D-3459-4AE2-9F47-F991D584AAC7}" r="D67" connectionId="0">
    <xmlCellPr id="1" xr6:uid="{4AD4B4B5-B8A0-4433-9C41-82BBFC8BACDE}" uniqueName="Front_Q6_Value">
      <xmlPr mapId="7" xpath="/MAKE/COP/COPDynamic/DUMMY_MEASUREMENTS/Head/Ax/Max/@Front_Q6_Value" xmlDataType="decimal"/>
    </xmlCellPr>
  </singleXmlCell>
  <singleXmlCell id="3844" xr6:uid="{AAE2B565-1419-4D31-91A9-C94DBE47857E}" r="E67" connectionId="0">
    <xmlCellPr id="1" xr6:uid="{923AF93C-D867-4825-A484-EE23E694D3C1}" uniqueName="Side_Q6_Value">
      <xmlPr mapId="7" xpath="/MAKE/COP/COPDynamic/DUMMY_MEASUREMENTS/Head/Ax/Max/@Side_Q6_Value" xmlDataType="decimal"/>
    </xmlCellPr>
  </singleXmlCell>
  <singleXmlCell id="3845" xr6:uid="{C2B0C61D-5B22-4CBA-898B-A6AEF1C7EB01}" r="F67" connectionId="0">
    <xmlCellPr id="1" xr6:uid="{E48433CC-5E63-4DD3-9FDC-6B3A6CBCF37D}" uniqueName="Front_Q10_Value">
      <xmlPr mapId="7" xpath="/MAKE/COP/COPDynamic/DUMMY_MEASUREMENTS/Head/Ax/Max/@Front_Q10_Value" xmlDataType="decimal"/>
    </xmlCellPr>
  </singleXmlCell>
  <singleXmlCell id="3846" xr6:uid="{175EBB63-9966-42A9-AC99-14A57616F1CE}" r="G67" connectionId="0">
    <xmlCellPr id="1" xr6:uid="{CE676A05-4B39-464A-8BC1-40481CF54F93}" uniqueName="Side_Q10_Value">
      <xmlPr mapId="7" xpath="/MAKE/COP/COPDynamic/DUMMY_MEASUREMENTS/Head/Ax/Max/@Side_Q10_Value" xmlDataType="decimal"/>
    </xmlCellPr>
  </singleXmlCell>
  <singleXmlCell id="3847" xr6:uid="{4E3C0C45-C982-4DB4-BC33-359194BBD01C}" r="D68" connectionId="0">
    <xmlCellPr id="1" xr6:uid="{0CFCDFDA-580E-4567-ACBB-97F12DB05518}" uniqueName="Front_Q6_Value">
      <xmlPr mapId="7" xpath="/MAKE/COP/COPDynamic/DUMMY_MEASUREMENTS/Head/Ax/Min/@Front_Q6_Value" xmlDataType="decimal"/>
    </xmlCellPr>
  </singleXmlCell>
  <singleXmlCell id="3848" xr6:uid="{A4FA4D76-77A3-4C2A-9FF5-398DD20067EA}" r="E68" connectionId="0">
    <xmlCellPr id="1" xr6:uid="{1FF6E046-B419-485E-9539-21EF22AC86D8}" uniqueName="Side_Q6_Value">
      <xmlPr mapId="7" xpath="/MAKE/COP/COPDynamic/DUMMY_MEASUREMENTS/Head/Ax/Min/@Side_Q6_Value" xmlDataType="decimal"/>
    </xmlCellPr>
  </singleXmlCell>
  <singleXmlCell id="3849" xr6:uid="{0379A178-BB62-4B03-9ED4-61909C9DD29A}" r="F68" connectionId="0">
    <xmlCellPr id="1" xr6:uid="{5726EB69-C790-4411-8AA5-6B8B9CA2F0F0}" uniqueName="Front_Q10_Value">
      <xmlPr mapId="7" xpath="/MAKE/COP/COPDynamic/DUMMY_MEASUREMENTS/Head/Ax/Min/@Front_Q10_Value" xmlDataType="decimal"/>
    </xmlCellPr>
  </singleXmlCell>
  <singleXmlCell id="3850" xr6:uid="{461599ED-82C6-455F-AFE4-0AA284D699CD}" r="G68" connectionId="0">
    <xmlCellPr id="1" xr6:uid="{1C5F4E81-659E-4BA9-85A8-24A85D2DF633}" uniqueName="Side_Q10_Value">
      <xmlPr mapId="7" xpath="/MAKE/COP/COPDynamic/DUMMY_MEASUREMENTS/Head/Ax/Min/@Side_Q10_Value" xmlDataType="decimal"/>
    </xmlCellPr>
  </singleXmlCell>
  <singleXmlCell id="3851" xr6:uid="{8967C01C-6CBE-4B1E-BAB8-7AE828A83528}" r="D69" connectionId="0">
    <xmlCellPr id="1" xr6:uid="{325BABDF-9ACD-4589-96F6-80EC7FACDA67}" uniqueName="Front_Q6_Value">
      <xmlPr mapId="7" xpath="/MAKE/COP/COPDynamic/DUMMY_MEASUREMENTS/Head/Ay/Max/@Front_Q6_Value" xmlDataType="decimal"/>
    </xmlCellPr>
  </singleXmlCell>
  <singleXmlCell id="3852" xr6:uid="{0C957B33-4F70-43A5-A4ED-F01C76596499}" r="E69" connectionId="0">
    <xmlCellPr id="1" xr6:uid="{42E38611-9A04-45A6-B50C-A92FB5720373}" uniqueName="Side_Q6_Value">
      <xmlPr mapId="7" xpath="/MAKE/COP/COPDynamic/DUMMY_MEASUREMENTS/Head/Ay/Max/@Side_Q6_Value" xmlDataType="decimal"/>
    </xmlCellPr>
  </singleXmlCell>
  <singleXmlCell id="3853" xr6:uid="{2CB68ADF-2287-4200-A9F5-F9B556A58C93}" r="F69" connectionId="0">
    <xmlCellPr id="1" xr6:uid="{DB2ED9A5-F902-49DD-8EBA-C51267817060}" uniqueName="Front_Q10_Value">
      <xmlPr mapId="7" xpath="/MAKE/COP/COPDynamic/DUMMY_MEASUREMENTS/Head/Ay/Max/@Front_Q10_Value" xmlDataType="decimal"/>
    </xmlCellPr>
  </singleXmlCell>
  <singleXmlCell id="3854" xr6:uid="{F0E12220-E93A-4A4B-9FAB-BA7ADD60AD73}" r="G69" connectionId="0">
    <xmlCellPr id="1" xr6:uid="{948F152D-CA3B-400F-BDF9-C8335690F449}" uniqueName="Side_Q10_Value">
      <xmlPr mapId="7" xpath="/MAKE/COP/COPDynamic/DUMMY_MEASUREMENTS/Head/Ay/Max/@Side_Q10_Value" xmlDataType="decimal"/>
    </xmlCellPr>
  </singleXmlCell>
  <singleXmlCell id="3855" xr6:uid="{87E94239-D2FF-4DDE-883C-319B4A68F6D7}" r="D70" connectionId="0">
    <xmlCellPr id="1" xr6:uid="{F0325391-728F-4DF7-8479-EEB7049826E1}" uniqueName="Front_Q6_Value">
      <xmlPr mapId="7" xpath="/MAKE/COP/COPDynamic/DUMMY_MEASUREMENTS/Head/Ay/Min/@Front_Q6_Value" xmlDataType="decimal"/>
    </xmlCellPr>
  </singleXmlCell>
  <singleXmlCell id="3856" xr6:uid="{3EDDE4BA-B172-4905-B332-401E7E95957C}" r="E70" connectionId="0">
    <xmlCellPr id="1" xr6:uid="{CDEFBF21-94D8-49C2-B255-8BD1EC5A00DB}" uniqueName="Side_Q6_Value">
      <xmlPr mapId="7" xpath="/MAKE/COP/COPDynamic/DUMMY_MEASUREMENTS/Head/Ay/Min/@Side_Q6_Value" xmlDataType="decimal"/>
    </xmlCellPr>
  </singleXmlCell>
  <singleXmlCell id="3857" xr6:uid="{A0AB8581-322A-45AE-A99B-3B462A25A7AD}" r="F70" connectionId="0">
    <xmlCellPr id="1" xr6:uid="{17C0D517-18B2-4AF1-8FD9-4BB30B23CAF8}" uniqueName="Front_Q10_Value">
      <xmlPr mapId="7" xpath="/MAKE/COP/COPDynamic/DUMMY_MEASUREMENTS/Head/Ay/Min/@Front_Q10_Value" xmlDataType="decimal"/>
    </xmlCellPr>
  </singleXmlCell>
  <singleXmlCell id="3858" xr6:uid="{748F0FBF-6180-45F0-BF6E-45D2D9FA063E}" r="G70" connectionId="0">
    <xmlCellPr id="1" xr6:uid="{A191C47C-517E-47CE-AE87-BCD7D4C56008}" uniqueName="Side_Q10_Value">
      <xmlPr mapId="7" xpath="/MAKE/COP/COPDynamic/DUMMY_MEASUREMENTS/Head/Ay/Min/@Side_Q10_Value" xmlDataType="decimal"/>
    </xmlCellPr>
  </singleXmlCell>
  <singleXmlCell id="3859" xr6:uid="{BAF770ED-E795-43B2-A2EF-F48AFCF7820D}" r="D71" connectionId="0">
    <xmlCellPr id="1" xr6:uid="{B5E620BB-31BC-4719-B54C-F3543F2673A3}" uniqueName="Front_Q6_Value">
      <xmlPr mapId="7" xpath="/MAKE/COP/COPDynamic/DUMMY_MEASUREMENTS/Head/Az/Max/@Front_Q6_Value" xmlDataType="decimal"/>
    </xmlCellPr>
  </singleXmlCell>
  <singleXmlCell id="3860" xr6:uid="{505A7836-381A-4AFE-BA41-DF394F9C75D3}" r="E71" connectionId="0">
    <xmlCellPr id="1" xr6:uid="{5AA323EE-6E7C-4F42-95DA-7ADE86814AEE}" uniqueName="Side_Q6_Value">
      <xmlPr mapId="7" xpath="/MAKE/COP/COPDynamic/DUMMY_MEASUREMENTS/Head/Az/Max/@Side_Q6_Value" xmlDataType="decimal"/>
    </xmlCellPr>
  </singleXmlCell>
  <singleXmlCell id="3861" xr6:uid="{EB94420D-A416-4BA2-96CD-E74852BE9FE7}" r="F71" connectionId="0">
    <xmlCellPr id="1" xr6:uid="{7AC7B749-C3E6-4BC9-A741-5A5B1FF61F78}" uniqueName="Front_Q10_Value">
      <xmlPr mapId="7" xpath="/MAKE/COP/COPDynamic/DUMMY_MEASUREMENTS/Head/Az/Max/@Front_Q10_Value" xmlDataType="decimal"/>
    </xmlCellPr>
  </singleXmlCell>
  <singleXmlCell id="3862" xr6:uid="{241A523C-848D-4AD8-AA9C-ABC6B0D2BA9D}" r="G71" connectionId="0">
    <xmlCellPr id="1" xr6:uid="{0A4CC1BB-672E-4291-816B-B3AC25C92893}" uniqueName="Side_Q10_Value">
      <xmlPr mapId="7" xpath="/MAKE/COP/COPDynamic/DUMMY_MEASUREMENTS/Head/Az/Max/@Side_Q10_Value" xmlDataType="decimal"/>
    </xmlCellPr>
  </singleXmlCell>
  <singleXmlCell id="3863" xr6:uid="{17BC5B67-F9F8-495A-B525-E18CE9B7E74C}" r="D72" connectionId="0">
    <xmlCellPr id="1" xr6:uid="{434B4BAA-D54C-4F99-8C35-4061CE550696}" uniqueName="Front_Q6_Value">
      <xmlPr mapId="7" xpath="/MAKE/COP/COPDynamic/DUMMY_MEASUREMENTS/Head/Az/Min/@Front_Q6_Value" xmlDataType="decimal"/>
    </xmlCellPr>
  </singleXmlCell>
  <singleXmlCell id="3864" xr6:uid="{9C72D804-C41A-4C24-9275-0C132D91ECD9}" r="E72" connectionId="0">
    <xmlCellPr id="1" xr6:uid="{4DBAFB70-C332-4A96-930F-D9172C83ED3F}" uniqueName="Side_Q6_Value">
      <xmlPr mapId="7" xpath="/MAKE/COP/COPDynamic/DUMMY_MEASUREMENTS/Head/Az/Min/@Side_Q6_Value" xmlDataType="decimal"/>
    </xmlCellPr>
  </singleXmlCell>
  <singleXmlCell id="3865" xr6:uid="{321D0CC2-02BB-4853-95A6-43EDB5612F28}" r="F72" connectionId="0">
    <xmlCellPr id="1" xr6:uid="{5D6BDF64-25CD-4551-A865-42FEB479F960}" uniqueName="Front_Q10_Value">
      <xmlPr mapId="7" xpath="/MAKE/COP/COPDynamic/DUMMY_MEASUREMENTS/Head/Az/Min/@Front_Q10_Value" xmlDataType="decimal"/>
    </xmlCellPr>
  </singleXmlCell>
  <singleXmlCell id="3866" xr6:uid="{E4679866-DC32-4A1A-83EC-05644AF6F6EF}" r="G72" connectionId="0">
    <xmlCellPr id="1" xr6:uid="{831A4F76-155B-45E5-9ABE-7A16CC354A76}" uniqueName="Side_Q10_Value">
      <xmlPr mapId="7" xpath="/MAKE/COP/COPDynamic/DUMMY_MEASUREMENTS/Head/Az/Min/@Side_Q10_Value" xmlDataType="decimal"/>
    </xmlCellPr>
  </singleXmlCell>
  <singleXmlCell id="3867" xr6:uid="{396E3407-B41B-430C-9008-796C24B9A7A8}" r="D74" connectionId="0">
    <xmlCellPr id="1" xr6:uid="{C97C28F8-7310-4690-9208-CCA503BD3F98}" uniqueName="Front_Q6_Value">
      <xmlPr mapId="7" xpath="/MAKE/COP/COPDynamic/DUMMY_MEASUREMENTS/Neck/Fx/Max/@Front_Q6_Value" xmlDataType="decimal"/>
    </xmlCellPr>
  </singleXmlCell>
  <singleXmlCell id="3868" xr6:uid="{D3579C8D-A245-49AF-AC33-68ABAAF34268}" r="E74" connectionId="0">
    <xmlCellPr id="1" xr6:uid="{FCD793C4-C836-47AC-93AC-50E9351C3ABE}" uniqueName="Side_Q6_Value">
      <xmlPr mapId="7" xpath="/MAKE/COP/COPDynamic/DUMMY_MEASUREMENTS/Neck/Fx/Max/@Side_Q6_Value" xmlDataType="decimal"/>
    </xmlCellPr>
  </singleXmlCell>
  <singleXmlCell id="3869" xr6:uid="{F3288A2B-8AA2-4B9E-8660-DA672FE14C4B}" r="F74" connectionId="0">
    <xmlCellPr id="1" xr6:uid="{99EA390C-D826-4FDE-89A7-0FDCE6AED59B}" uniqueName="Front_Q10_Value">
      <xmlPr mapId="7" xpath="/MAKE/COP/COPDynamic/DUMMY_MEASUREMENTS/Neck/Fx/Max/@Front_Q10_Value" xmlDataType="decimal"/>
    </xmlCellPr>
  </singleXmlCell>
  <singleXmlCell id="3870" xr6:uid="{69E775A0-BD08-4F61-A00A-676DCFBC03DF}" r="G74" connectionId="0">
    <xmlCellPr id="1" xr6:uid="{11256B09-750D-44AF-8116-A61643EE4F26}" uniqueName="Side_Q10_Value">
      <xmlPr mapId="7" xpath="/MAKE/COP/COPDynamic/DUMMY_MEASUREMENTS/Neck/Fx/Max/@Side_Q10_Value" xmlDataType="decimal"/>
    </xmlCellPr>
  </singleXmlCell>
  <singleXmlCell id="3871" xr6:uid="{AC9A5203-1FD9-4DC2-B66D-7E0560D41493}" r="D75" connectionId="0">
    <xmlCellPr id="1" xr6:uid="{CE1FCB25-6D78-4C24-8479-C843842638D3}" uniqueName="Front_Q6_Value">
      <xmlPr mapId="7" xpath="/MAKE/COP/COPDynamic/DUMMY_MEASUREMENTS/Neck/Fx/Min/@Front_Q6_Value" xmlDataType="decimal"/>
    </xmlCellPr>
  </singleXmlCell>
  <singleXmlCell id="3872" xr6:uid="{094F160B-64C3-4243-AB0B-0D72D1CF80C3}" r="E75" connectionId="0">
    <xmlCellPr id="1" xr6:uid="{EC40DA41-9C8E-4237-B5AB-0CDD99AD0DED}" uniqueName="Side_Q6_Value">
      <xmlPr mapId="7" xpath="/MAKE/COP/COPDynamic/DUMMY_MEASUREMENTS/Neck/Fx/Min/@Side_Q6_Value" xmlDataType="decimal"/>
    </xmlCellPr>
  </singleXmlCell>
  <singleXmlCell id="3873" xr6:uid="{01DAF275-A6BC-4D85-BB72-86A96ED7835B}" r="F75" connectionId="0">
    <xmlCellPr id="1" xr6:uid="{7818CE58-115D-4BA7-B2BA-3172ACA22826}" uniqueName="Front_Q10_Value">
      <xmlPr mapId="7" xpath="/MAKE/COP/COPDynamic/DUMMY_MEASUREMENTS/Neck/Fx/Min/@Front_Q10_Value" xmlDataType="decimal"/>
    </xmlCellPr>
  </singleXmlCell>
  <singleXmlCell id="3874" xr6:uid="{15A4A421-6B16-43AD-A154-127A4F0C955E}" r="G75" connectionId="0">
    <xmlCellPr id="1" xr6:uid="{DD89C349-0453-4F51-84B8-69248DFC89AA}" uniqueName="Side_Q10_Value">
      <xmlPr mapId="7" xpath="/MAKE/COP/COPDynamic/DUMMY_MEASUREMENTS/Neck/Fx/Min/@Side_Q10_Value" xmlDataType="decimal"/>
    </xmlCellPr>
  </singleXmlCell>
  <singleXmlCell id="3875" xr6:uid="{A27600B1-B142-4CD2-8FE7-437DE11768AC}" r="D76" connectionId="0">
    <xmlCellPr id="1" xr6:uid="{99E35CE5-EC16-42B4-B3C9-49EB5B67D4E9}" uniqueName="Front_Q6_Value">
      <xmlPr mapId="7" xpath="/MAKE/COP/COPDynamic/DUMMY_MEASUREMENTS/Neck/Fy/Max/@Front_Q6_Value" xmlDataType="decimal"/>
    </xmlCellPr>
  </singleXmlCell>
  <singleXmlCell id="3876" xr6:uid="{573D2068-72BA-4184-B0E2-A54499EED173}" r="E76" connectionId="0">
    <xmlCellPr id="1" xr6:uid="{BC3F41FC-F8C0-42FD-9953-EA9791B29B55}" uniqueName="Side_Q6_Value">
      <xmlPr mapId="7" xpath="/MAKE/COP/COPDynamic/DUMMY_MEASUREMENTS/Neck/Fy/Max/@Side_Q6_Value" xmlDataType="decimal"/>
    </xmlCellPr>
  </singleXmlCell>
  <singleXmlCell id="3877" xr6:uid="{4843D6CB-67A4-4A96-B370-520751468384}" r="F76" connectionId="0">
    <xmlCellPr id="1" xr6:uid="{02E8B3E6-7DB4-4DA1-97E8-959B94042914}" uniqueName="Front_Q10_Value">
      <xmlPr mapId="7" xpath="/MAKE/COP/COPDynamic/DUMMY_MEASUREMENTS/Neck/Fy/Max/@Front_Q10_Value" xmlDataType="decimal"/>
    </xmlCellPr>
  </singleXmlCell>
  <singleXmlCell id="3878" xr6:uid="{2E978B18-4055-4C47-91DC-5ADBCA335AD3}" r="G76" connectionId="0">
    <xmlCellPr id="1" xr6:uid="{27213B99-4D54-4183-B9A0-C3D404CF1D73}" uniqueName="Side_Q10_Value">
      <xmlPr mapId="7" xpath="/MAKE/COP/COPDynamic/DUMMY_MEASUREMENTS/Neck/Fy/Max/@Side_Q10_Value" xmlDataType="decimal"/>
    </xmlCellPr>
  </singleXmlCell>
  <singleXmlCell id="3879" xr6:uid="{1FBEEF38-11D8-448C-BEBC-92DD8E2071E7}" r="D77" connectionId="0">
    <xmlCellPr id="1" xr6:uid="{0FE65F40-EA9E-41E0-9AA5-DCCCCCAD236F}" uniqueName="Front_Q6_Value">
      <xmlPr mapId="7" xpath="/MAKE/COP/COPDynamic/DUMMY_MEASUREMENTS/Neck/Fy/Min/@Front_Q6_Value" xmlDataType="decimal"/>
    </xmlCellPr>
  </singleXmlCell>
  <singleXmlCell id="3880" xr6:uid="{0F929469-FF58-4615-A5A7-47374D0BCC61}" r="E77" connectionId="0">
    <xmlCellPr id="1" xr6:uid="{6B97AEE5-3EA0-43B9-93F4-FA145F0E6934}" uniqueName="Side_Q6_Value">
      <xmlPr mapId="7" xpath="/MAKE/COP/COPDynamic/DUMMY_MEASUREMENTS/Neck/Fy/Min/@Side_Q6_Value" xmlDataType="decimal"/>
    </xmlCellPr>
  </singleXmlCell>
  <singleXmlCell id="3881" xr6:uid="{C3CEC399-890D-4AF9-B281-C968367E067B}" r="F77" connectionId="0">
    <xmlCellPr id="1" xr6:uid="{FA28D29B-D13F-4F1C-9403-7674B6627AD2}" uniqueName="Front_Q10_Value">
      <xmlPr mapId="7" xpath="/MAKE/COP/COPDynamic/DUMMY_MEASUREMENTS/Neck/Fy/Min/@Front_Q10_Value" xmlDataType="decimal"/>
    </xmlCellPr>
  </singleXmlCell>
  <singleXmlCell id="3882" xr6:uid="{DAFDAEE7-E576-441E-9FD1-ADC5CACB95D0}" r="G77" connectionId="0">
    <xmlCellPr id="1" xr6:uid="{EBBC2241-A232-4B2A-9430-47DC9DF0D252}" uniqueName="Side_Q10_Value">
      <xmlPr mapId="7" xpath="/MAKE/COP/COPDynamic/DUMMY_MEASUREMENTS/Neck/Fy/Min/@Side_Q10_Value" xmlDataType="decimal"/>
    </xmlCellPr>
  </singleXmlCell>
  <singleXmlCell id="3883" xr6:uid="{2E714D96-D95C-48C8-BCBB-581D8CA47A0D}" r="D78" connectionId="0">
    <xmlCellPr id="1" xr6:uid="{BFEA4F10-5388-4993-A844-FC17553DF6EC}" uniqueName="Front_Q6_Value">
      <xmlPr mapId="7" xpath="/MAKE/COP/COPDynamic/DUMMY_MEASUREMENTS/Neck/Fz/Max/@Front_Q6_Value" xmlDataType="decimal"/>
    </xmlCellPr>
  </singleXmlCell>
  <singleXmlCell id="3884" xr6:uid="{7FB5E2AE-B7F0-42C5-9447-6F80DEB5F99F}" r="E78" connectionId="0">
    <xmlCellPr id="1" xr6:uid="{3740DC7F-92C4-4551-80C4-D4EEF002E6CB}" uniqueName="Side_Q6_Value">
      <xmlPr mapId="7" xpath="/MAKE/COP/COPDynamic/DUMMY_MEASUREMENTS/Neck/Fz/Max/@Side_Q6_Value" xmlDataType="decimal"/>
    </xmlCellPr>
  </singleXmlCell>
  <singleXmlCell id="3885" xr6:uid="{BE73179A-9D65-4F03-A485-42900C4EE809}" r="F78" connectionId="0">
    <xmlCellPr id="1" xr6:uid="{FE97625F-6134-480E-8ADF-F60F3482EB9B}" uniqueName="Front_Q10_Value">
      <xmlPr mapId="7" xpath="/MAKE/COP/COPDynamic/DUMMY_MEASUREMENTS/Neck/Fz/Max/@Front_Q10_Value" xmlDataType="decimal"/>
    </xmlCellPr>
  </singleXmlCell>
  <singleXmlCell id="3886" xr6:uid="{AC50CE13-4B02-446F-BF41-8E3B84D4853A}" r="G78" connectionId="0">
    <xmlCellPr id="1" xr6:uid="{DC538CAB-57AE-45FE-A519-DCBCF1433A8D}" uniqueName="Side_Q10_Value">
      <xmlPr mapId="7" xpath="/MAKE/COP/COPDynamic/DUMMY_MEASUREMENTS/Neck/Fz/Max/@Side_Q10_Value" xmlDataType="decimal"/>
    </xmlCellPr>
  </singleXmlCell>
  <singleXmlCell id="3887" xr6:uid="{71692179-6234-4DB5-AB71-8CD0F99CB38D}" r="D79" connectionId="0">
    <xmlCellPr id="1" xr6:uid="{D4A4BFB6-EC4E-47D2-8A4A-913C4F6988CE}" uniqueName="Front_Q6_Value">
      <xmlPr mapId="7" xpath="/MAKE/COP/COPDynamic/DUMMY_MEASUREMENTS/Neck/Fz/Min/@Front_Q6_Value" xmlDataType="decimal"/>
    </xmlCellPr>
  </singleXmlCell>
  <singleXmlCell id="3888" xr6:uid="{74F8A9D1-342B-4659-B23D-6A009DAF7805}" r="E79" connectionId="0">
    <xmlCellPr id="1" xr6:uid="{17391A7F-2A1F-49BD-B206-C77A91CAFEC7}" uniqueName="Side_Q6_Value">
      <xmlPr mapId="7" xpath="/MAKE/COP/COPDynamic/DUMMY_MEASUREMENTS/Neck/Fz/Min/@Side_Q6_Value" xmlDataType="decimal"/>
    </xmlCellPr>
  </singleXmlCell>
  <singleXmlCell id="3889" xr6:uid="{EEA58F29-B70A-451F-8F01-E8DF2C86184B}" r="F79" connectionId="0">
    <xmlCellPr id="1" xr6:uid="{F850B90B-824F-472E-BCC6-D191B18BCCAE}" uniqueName="Front_Q10_Value">
      <xmlPr mapId="7" xpath="/MAKE/COP/COPDynamic/DUMMY_MEASUREMENTS/Neck/Fz/Min/@Front_Q10_Value" xmlDataType="decimal"/>
    </xmlCellPr>
  </singleXmlCell>
  <singleXmlCell id="3890" xr6:uid="{30CDF2C3-4BCA-47A0-A352-10534BE93EF7}" r="G79" connectionId="0">
    <xmlCellPr id="1" xr6:uid="{B8DAD860-68C1-46B2-BF0C-026C343949FB}" uniqueName="Side_Q10_Value">
      <xmlPr mapId="7" xpath="/MAKE/COP/COPDynamic/DUMMY_MEASUREMENTS/Neck/Fz/Min/@Side_Q10_Value" xmlDataType="decimal"/>
    </xmlCellPr>
  </singleXmlCell>
  <singleXmlCell id="3891" xr6:uid="{A0CA3615-FD29-4352-B5D0-E91B5CFBF19D}" r="D80" connectionId="0">
    <xmlCellPr id="1" xr6:uid="{64FAF5F9-7415-4AB5-985C-EDC0B76D4197}" uniqueName="Front_Q6_Value">
      <xmlPr mapId="7" xpath="/MAKE/COP/COPDynamic/DUMMY_MEASUREMENTS/Neck/Mx/Max/@Front_Q6_Value" xmlDataType="decimal"/>
    </xmlCellPr>
  </singleXmlCell>
  <singleXmlCell id="3892" xr6:uid="{AFB1EB9A-F8A9-4C4A-AF0F-264CF3D1E199}" r="E80" connectionId="0">
    <xmlCellPr id="1" xr6:uid="{5E0C8A9F-6192-445D-A420-3F21F24C085B}" uniqueName="Side_Q6_Value">
      <xmlPr mapId="7" xpath="/MAKE/COP/COPDynamic/DUMMY_MEASUREMENTS/Neck/Mx/Max/@Side_Q6_Value" xmlDataType="decimal"/>
    </xmlCellPr>
  </singleXmlCell>
  <singleXmlCell id="3893" xr6:uid="{0AD1F86C-C84D-455E-BC99-5E715DA52A30}" r="F80" connectionId="0">
    <xmlCellPr id="1" xr6:uid="{07F94DA5-D734-47AC-B305-59D5794F7FB9}" uniqueName="Front_Q10_Value">
      <xmlPr mapId="7" xpath="/MAKE/COP/COPDynamic/DUMMY_MEASUREMENTS/Neck/Mx/Max/@Front_Q10_Value" xmlDataType="decimal"/>
    </xmlCellPr>
  </singleXmlCell>
  <singleXmlCell id="3894" xr6:uid="{360CFD95-79B4-407A-A37F-8D3D18A48B9A}" r="G80" connectionId="0">
    <xmlCellPr id="1" xr6:uid="{6DE3EECF-985A-4D04-95B0-18C2566C1915}" uniqueName="Side_Q10_Value">
      <xmlPr mapId="7" xpath="/MAKE/COP/COPDynamic/DUMMY_MEASUREMENTS/Neck/Mx/Max/@Side_Q10_Value" xmlDataType="decimal"/>
    </xmlCellPr>
  </singleXmlCell>
  <singleXmlCell id="3895" xr6:uid="{2F674FA8-4891-402F-AF9C-9286D437A0C2}" r="D81" connectionId="0">
    <xmlCellPr id="1" xr6:uid="{5B4A1524-F6CD-43E5-A569-D35C98D16E4E}" uniqueName="Front_Q6_Value">
      <xmlPr mapId="7" xpath="/MAKE/COP/COPDynamic/DUMMY_MEASUREMENTS/Neck/Mx/Min/@Front_Q6_Value" xmlDataType="decimal"/>
    </xmlCellPr>
  </singleXmlCell>
  <singleXmlCell id="3896" xr6:uid="{E6BC5189-9732-417A-93FF-E2011DE49094}" r="E81" connectionId="0">
    <xmlCellPr id="1" xr6:uid="{1C8D0907-2904-4C32-BB53-9C370C99AAF8}" uniqueName="Side_Q6_Value">
      <xmlPr mapId="7" xpath="/MAKE/COP/COPDynamic/DUMMY_MEASUREMENTS/Neck/Mx/Min/@Side_Q6_Value" xmlDataType="decimal"/>
    </xmlCellPr>
  </singleXmlCell>
  <singleXmlCell id="3897" xr6:uid="{F21BB443-5CFD-42E0-8731-6FC6E60F5A9F}" r="F81" connectionId="0">
    <xmlCellPr id="1" xr6:uid="{AD6DD513-1B55-4A4C-AE53-2E33B5279EFD}" uniqueName="Front_Q10_Value">
      <xmlPr mapId="7" xpath="/MAKE/COP/COPDynamic/DUMMY_MEASUREMENTS/Neck/Mx/Min/@Front_Q10_Value" xmlDataType="decimal"/>
    </xmlCellPr>
  </singleXmlCell>
  <singleXmlCell id="3898" xr6:uid="{59B2F7CE-D02C-4825-A9EE-4F9195C9267C}" r="G81" connectionId="0">
    <xmlCellPr id="1" xr6:uid="{A7A11140-0AFF-4DCA-8D3F-FB417024697E}" uniqueName="Side_Q10_Value">
      <xmlPr mapId="7" xpath="/MAKE/COP/COPDynamic/DUMMY_MEASUREMENTS/Neck/Mx/Min/@Side_Q10_Value" xmlDataType="decimal"/>
    </xmlCellPr>
  </singleXmlCell>
  <singleXmlCell id="3899" xr6:uid="{D6A89917-2DAD-42B5-8979-566627FB7DBF}" r="D82" connectionId="0">
    <xmlCellPr id="1" xr6:uid="{C1A1C684-3BBB-4E24-9384-FF6CA80785D7}" uniqueName="Front_Q6_Value">
      <xmlPr mapId="7" xpath="/MAKE/COP/COPDynamic/DUMMY_MEASUREMENTS/Neck/My/Max/@Front_Q6_Value" xmlDataType="decimal"/>
    </xmlCellPr>
  </singleXmlCell>
  <singleXmlCell id="3900" xr6:uid="{34303C1A-89CB-4D7B-B661-9FFCF28F8C27}" r="E82" connectionId="0">
    <xmlCellPr id="1" xr6:uid="{F75FA0C6-1F60-4D2B-9BE6-CB9F27D8F9E7}" uniqueName="Side_Q6_Value">
      <xmlPr mapId="7" xpath="/MAKE/COP/COPDynamic/DUMMY_MEASUREMENTS/Neck/My/Max/@Side_Q6_Value" xmlDataType="decimal"/>
    </xmlCellPr>
  </singleXmlCell>
  <singleXmlCell id="3901" xr6:uid="{876CF949-98F4-4AC7-BF33-10095C5D7378}" r="F82" connectionId="0">
    <xmlCellPr id="1" xr6:uid="{D431457A-A26B-4E12-8332-504089442C2A}" uniqueName="Front_Q10_Value">
      <xmlPr mapId="7" xpath="/MAKE/COP/COPDynamic/DUMMY_MEASUREMENTS/Neck/My/Max/@Front_Q10_Value" xmlDataType="decimal"/>
    </xmlCellPr>
  </singleXmlCell>
  <singleXmlCell id="3902" xr6:uid="{2C56338B-3EE2-4C0A-862F-38D806A38A60}" r="G82" connectionId="0">
    <xmlCellPr id="1" xr6:uid="{2F5B8774-BA10-4758-9619-7A217CEB3BFB}" uniqueName="Side_Q10_Value">
      <xmlPr mapId="7" xpath="/MAKE/COP/COPDynamic/DUMMY_MEASUREMENTS/Neck/My/Max/@Side_Q10_Value" xmlDataType="decimal"/>
    </xmlCellPr>
  </singleXmlCell>
  <singleXmlCell id="3903" xr6:uid="{486A3EDD-26F6-4B37-9975-2BB5E0BF4072}" r="D83" connectionId="0">
    <xmlCellPr id="1" xr6:uid="{011E895E-D224-4D3E-A998-8839B28A8FB8}" uniqueName="Front_Q6_Value">
      <xmlPr mapId="7" xpath="/MAKE/COP/COPDynamic/DUMMY_MEASUREMENTS/Neck/My/Min/@Front_Q6_Value" xmlDataType="decimal"/>
    </xmlCellPr>
  </singleXmlCell>
  <singleXmlCell id="3904" xr6:uid="{F846E4D3-98B0-46C9-BB3F-A9465A00AF2B}" r="E83" connectionId="0">
    <xmlCellPr id="1" xr6:uid="{CD9D7652-6334-441A-9D2C-EE9F8D297C3E}" uniqueName="Side_Q6_Value">
      <xmlPr mapId="7" xpath="/MAKE/COP/COPDynamic/DUMMY_MEASUREMENTS/Neck/My/Min/@Side_Q6_Value" xmlDataType="decimal"/>
    </xmlCellPr>
  </singleXmlCell>
  <singleXmlCell id="3905" xr6:uid="{96AB6848-75A7-4253-AA0C-BA1FFA9735EC}" r="F83" connectionId="0">
    <xmlCellPr id="1" xr6:uid="{8B12E147-A0CE-4D9C-BDE7-E34ED883FF08}" uniqueName="Front_Q10_Value">
      <xmlPr mapId="7" xpath="/MAKE/COP/COPDynamic/DUMMY_MEASUREMENTS/Neck/My/Min/@Front_Q10_Value" xmlDataType="decimal"/>
    </xmlCellPr>
  </singleXmlCell>
  <singleXmlCell id="3906" xr6:uid="{DF1E7493-0B1C-4AEA-A6B0-FF7D0A77D362}" r="G83" connectionId="0">
    <xmlCellPr id="1" xr6:uid="{B2B4E0E6-D7E8-4A95-95C3-608338CBD0BC}" uniqueName="Side_Q10_Value">
      <xmlPr mapId="7" xpath="/MAKE/COP/COPDynamic/DUMMY_MEASUREMENTS/Neck/My/Min/@Side_Q10_Value" xmlDataType="decimal"/>
    </xmlCellPr>
  </singleXmlCell>
  <singleXmlCell id="3907" xr6:uid="{3835A0DF-466A-43E8-B1D8-3F70CD8B26F5}" r="D84" connectionId="0">
    <xmlCellPr id="1" xr6:uid="{F4B8529A-2A1F-489B-B518-746CBB1151CF}" uniqueName="Front_Q6_Value">
      <xmlPr mapId="7" xpath="/MAKE/COP/COPDynamic/DUMMY_MEASUREMENTS/Neck/Mz/Max/@Front_Q6_Value" xmlDataType="decimal"/>
    </xmlCellPr>
  </singleXmlCell>
  <singleXmlCell id="3908" xr6:uid="{016F6C17-F905-4EE7-8214-2280EA7E7B04}" r="E84" connectionId="0">
    <xmlCellPr id="1" xr6:uid="{82AEA29E-5E25-4370-8D90-D0E6863DA9CC}" uniqueName="Side_Q6_Value">
      <xmlPr mapId="7" xpath="/MAKE/COP/COPDynamic/DUMMY_MEASUREMENTS/Neck/Mz/Max/@Side_Q6_Value" xmlDataType="decimal"/>
    </xmlCellPr>
  </singleXmlCell>
  <singleXmlCell id="3909" xr6:uid="{6A656964-56F6-4BF8-B8B7-A69560D9BBEF}" r="F84" connectionId="0">
    <xmlCellPr id="1" xr6:uid="{6FF62FD9-F7A8-4159-9AEC-C42740C1DA26}" uniqueName="Front_Q10_Value">
      <xmlPr mapId="7" xpath="/MAKE/COP/COPDynamic/DUMMY_MEASUREMENTS/Neck/Mz/Max/@Front_Q10_Value" xmlDataType="decimal"/>
    </xmlCellPr>
  </singleXmlCell>
  <singleXmlCell id="3910" xr6:uid="{0A3F5596-1ABD-48E6-8D90-72451055FB8A}" r="G84" connectionId="0">
    <xmlCellPr id="1" xr6:uid="{8FF48BBC-579C-4A7E-A4DC-3430BAA7287B}" uniqueName="Side_Q10_Value">
      <xmlPr mapId="7" xpath="/MAKE/COP/COPDynamic/DUMMY_MEASUREMENTS/Neck/Mz/Max/@Side_Q10_Value" xmlDataType="decimal"/>
    </xmlCellPr>
  </singleXmlCell>
  <singleXmlCell id="3911" xr6:uid="{C7DCE69E-0D5B-4A75-BB77-5B557FBC283A}" r="D85" connectionId="0">
    <xmlCellPr id="1" xr6:uid="{46D6451D-C93A-4A8A-A212-C05C6960D369}" uniqueName="Front_Q6_Value">
      <xmlPr mapId="7" xpath="/MAKE/COP/COPDynamic/DUMMY_MEASUREMENTS/Neck/Mz/Min/@Front_Q6_Value" xmlDataType="decimal"/>
    </xmlCellPr>
  </singleXmlCell>
  <singleXmlCell id="3912" xr6:uid="{6A09AD65-6682-4843-A2C0-EB94EDFF9948}" r="E85" connectionId="0">
    <xmlCellPr id="1" xr6:uid="{77836E5B-8822-42FF-BDC4-1E5426884973}" uniqueName="Side_Q6_Value">
      <xmlPr mapId="7" xpath="/MAKE/COP/COPDynamic/DUMMY_MEASUREMENTS/Neck/Mz/Min/@Side_Q6_Value" xmlDataType="decimal"/>
    </xmlCellPr>
  </singleXmlCell>
  <singleXmlCell id="3913" xr6:uid="{F2B95FD8-A453-4254-BCDD-E225A9D6F40D}" r="F85" connectionId="0">
    <xmlCellPr id="1" xr6:uid="{C5289353-7884-45FC-AD19-04097CED6F95}" uniqueName="Front_Q10_Value">
      <xmlPr mapId="7" xpath="/MAKE/COP/COPDynamic/DUMMY_MEASUREMENTS/Neck/Mz/Min/@Front_Q10_Value" xmlDataType="decimal"/>
    </xmlCellPr>
  </singleXmlCell>
  <singleXmlCell id="3914" xr6:uid="{D60A7290-5CB1-4988-8CB4-EE58DE2090AC}" r="G85" connectionId="0">
    <xmlCellPr id="1" xr6:uid="{C2E0F992-85D7-47BB-B508-EB7E2C68E4C0}" uniqueName="Side_Q10_Value">
      <xmlPr mapId="7" xpath="/MAKE/COP/COPDynamic/DUMMY_MEASUREMENTS/Neck/Mz/Min/@Side_Q10_Value" xmlDataType="decimal"/>
    </xmlCellPr>
  </singleXmlCell>
  <singleXmlCell id="3918" xr6:uid="{D3500FDB-B466-4BA1-AAD4-58C15DCE41DC}" r="G87" connectionId="0">
    <xmlCellPr id="1" xr6:uid="{0526E39E-DF31-49F9-91E4-D2DB26190935}" uniqueName="Side_Q10_Value">
      <xmlPr mapId="7" xpath="/MAKE/COP/COPDynamic/DUMMY_MEASUREMENTS/Shoulder/Fx/Max/@Side_Q10_Value" xmlDataType="decimal"/>
    </xmlCellPr>
  </singleXmlCell>
  <singleXmlCell id="3922" xr6:uid="{BCE09782-FB9F-4A5B-BF02-F50D3C7D6914}" r="G88" connectionId="0">
    <xmlCellPr id="1" xr6:uid="{C5A8946B-8AC3-40BA-8C60-B836DE9C52A0}" uniqueName="Side_Q10_Value">
      <xmlPr mapId="7" xpath="/MAKE/COP/COPDynamic/DUMMY_MEASUREMENTS/Shoulder/Fx/Min/@Side_Q10_Value" xmlDataType="decimal"/>
    </xmlCellPr>
  </singleXmlCell>
  <singleXmlCell id="3926" xr6:uid="{19B37946-7F14-4721-B939-9278AC3A9ECE}" r="G89" connectionId="0">
    <xmlCellPr id="1" xr6:uid="{3B751F64-6E3D-4ED7-A919-F9E407598723}" uniqueName="Side_Q10_Value">
      <xmlPr mapId="7" xpath="/MAKE/COP/COPDynamic/DUMMY_MEASUREMENTS/Shoulder/Fy/Max/@Side_Q10_Value" xmlDataType="decimal"/>
    </xmlCellPr>
  </singleXmlCell>
  <singleXmlCell id="3930" xr6:uid="{349108B7-1073-4B7A-AC85-89897468D530}" r="G90" connectionId="0">
    <xmlCellPr id="1" xr6:uid="{1C58DF63-938E-45F7-B737-1C01AC0ACEBF}" uniqueName="Side_Q10_Value">
      <xmlPr mapId="7" xpath="/MAKE/COP/COPDynamic/DUMMY_MEASUREMENTS/Shoulder/Fy/Min/@Side_Q10_Value" xmlDataType="decimal"/>
    </xmlCellPr>
  </singleXmlCell>
  <singleXmlCell id="3934" xr6:uid="{3C4BB750-B03E-421C-8E10-B0242904FEB8}" r="G91" connectionId="0">
    <xmlCellPr id="1" xr6:uid="{25952018-566D-4263-A0AC-4245D760AC39}" uniqueName="Side_Q10_Value">
      <xmlPr mapId="7" xpath="/MAKE/COP/COPDynamic/DUMMY_MEASUREMENTS/Shoulder/Fz/Max/@Side_Q10_Value" xmlDataType="decimal"/>
    </xmlCellPr>
  </singleXmlCell>
  <singleXmlCell id="3938" xr6:uid="{B67FA286-BC57-431C-9577-1D9435FB3A81}" r="G92" connectionId="0">
    <xmlCellPr id="1" xr6:uid="{D319293D-155C-4056-A668-C6AF180EAEF1}" uniqueName="Side_Q10_Value">
      <xmlPr mapId="7" xpath="/MAKE/COP/COPDynamic/DUMMY_MEASUREMENTS/Shoulder/Fz/Min/@Side_Q10_Value" xmlDataType="decimal"/>
    </xmlCellPr>
  </singleXmlCell>
  <singleXmlCell id="3939" xr6:uid="{8DE09034-26AE-4C66-819C-FE0FA92F50D4}" r="G94" connectionId="0">
    <xmlCellPr id="1" xr6:uid="{F3436BF9-8924-4565-A81B-F24554899B8A}" uniqueName="Side_Q10_Value">
      <xmlPr mapId="7" xpath="/MAKE/COP/COPDynamic/DUMMY_MEASUREMENTS/T1/Ay/Max/@Side_Q10_Value" xmlDataType="decimal"/>
    </xmlCellPr>
  </singleXmlCell>
  <singleXmlCell id="3940" xr6:uid="{3D7C17F5-9F29-41C4-995C-D1111163E277}" r="D96" connectionId="0">
    <xmlCellPr id="1" xr6:uid="{27154CE2-90BA-4431-B59E-006C4A1C7299}" uniqueName="Front_Q6_Value">
      <xmlPr mapId="7" xpath="/MAKE/COP/COPDynamic/DUMMY_MEASUREMENTS/Chest/Ax/Max/@Front_Q6_Value" xmlDataType="decimal"/>
    </xmlCellPr>
  </singleXmlCell>
  <singleXmlCell id="3941" xr6:uid="{EA1E1863-2CDD-41BA-AFD9-26F1F2572A82}" r="E96" connectionId="0">
    <xmlCellPr id="1" xr6:uid="{94F289E3-A3EB-4786-9645-E7F58DDBC956}" uniqueName="Side_Q6_Value">
      <xmlPr mapId="7" xpath="/MAKE/COP/COPDynamic/DUMMY_MEASUREMENTS/Chest/Ax/Max/@Side_Q6_Value" xmlDataType="decimal"/>
    </xmlCellPr>
  </singleXmlCell>
  <singleXmlCell id="3942" xr6:uid="{57B12BDE-FC66-47A6-A691-1F7BE4401D69}" r="F96" connectionId="0">
    <xmlCellPr id="1" xr6:uid="{F4ADC5EC-751F-4F0B-B022-7EA0E605D6E2}" uniqueName="Front_Q10_Value">
      <xmlPr mapId="7" xpath="/MAKE/COP/COPDynamic/DUMMY_MEASUREMENTS/Chest/Ax/Max/@Front_Q10_Value" xmlDataType="decimal"/>
    </xmlCellPr>
  </singleXmlCell>
  <singleXmlCell id="3943" xr6:uid="{97BCCDA6-FF20-4272-875D-E94661E91BA9}" r="G96" connectionId="0">
    <xmlCellPr id="1" xr6:uid="{C556C4C2-B13A-41E8-B3CE-BBBA729A639D}" uniqueName="Side_Q10_Value">
      <xmlPr mapId="7" xpath="/MAKE/COP/COPDynamic/DUMMY_MEASUREMENTS/Chest/Ax/Max/@Side_Q10_Value" xmlDataType="decimal"/>
    </xmlCellPr>
  </singleXmlCell>
  <singleXmlCell id="3944" xr6:uid="{E3007B2A-2429-4CEA-B939-9BE06E3C3C0A}" r="D97" connectionId="0">
    <xmlCellPr id="1" xr6:uid="{46D9A844-F5F6-4947-86EF-8DCB18D2898B}" uniqueName="Front_Q6_Value">
      <xmlPr mapId="7" xpath="/MAKE/COP/COPDynamic/DUMMY_MEASUREMENTS/Chest/Ax/Min/@Front_Q6_Value" xmlDataType="decimal"/>
    </xmlCellPr>
  </singleXmlCell>
  <singleXmlCell id="3945" xr6:uid="{C8BA1836-8538-43B7-9097-6E67E823978C}" r="E97" connectionId="0">
    <xmlCellPr id="1" xr6:uid="{A83DE6E8-84A2-42B9-9096-D65D99C7C8D7}" uniqueName="Side_Q6_Value">
      <xmlPr mapId="7" xpath="/MAKE/COP/COPDynamic/DUMMY_MEASUREMENTS/Chest/Ax/Min/@Side_Q6_Value" xmlDataType="decimal"/>
    </xmlCellPr>
  </singleXmlCell>
  <singleXmlCell id="3946" xr6:uid="{807B269E-8E0F-44BC-A3FE-3154C5C63ED6}" r="F97" connectionId="0">
    <xmlCellPr id="1" xr6:uid="{72475D77-B1E1-4C98-9F88-C33791425EEE}" uniqueName="Front_Q10_Value">
      <xmlPr mapId="7" xpath="/MAKE/COP/COPDynamic/DUMMY_MEASUREMENTS/Chest/Ax/Min/@Front_Q10_Value" xmlDataType="decimal"/>
    </xmlCellPr>
  </singleXmlCell>
  <singleXmlCell id="3947" xr6:uid="{A3B345FA-1092-484D-A7E9-F929259BC32A}" r="G97" connectionId="0">
    <xmlCellPr id="1" xr6:uid="{B9D641ED-263C-40B5-9732-B8AEEC38F890}" uniqueName="Side_Q10_Value">
      <xmlPr mapId="7" xpath="/MAKE/COP/COPDynamic/DUMMY_MEASUREMENTS/Chest/Ax/Min/@Side_Q10_Value" xmlDataType="decimal"/>
    </xmlCellPr>
  </singleXmlCell>
  <singleXmlCell id="3948" xr6:uid="{39BD5220-A05F-497E-BC17-D8C9A15E7CA5}" r="D98" connectionId="0">
    <xmlCellPr id="1" xr6:uid="{76ACEDD6-3B34-4F9B-8345-FFC9FC6FA72A}" uniqueName="Front_Q6_Value">
      <xmlPr mapId="7" xpath="/MAKE/COP/COPDynamic/DUMMY_MEASUREMENTS/Chest/Ay/Max/@Front_Q6_Value" xmlDataType="decimal"/>
    </xmlCellPr>
  </singleXmlCell>
  <singleXmlCell id="3949" xr6:uid="{E3E9956C-6F17-457B-99BC-98114BD971E2}" r="E98" connectionId="0">
    <xmlCellPr id="1" xr6:uid="{BE44C2C7-CB09-496F-A153-D29C43AE0AC0}" uniqueName="Side_Q6_Value">
      <xmlPr mapId="7" xpath="/MAKE/COP/COPDynamic/DUMMY_MEASUREMENTS/Chest/Ay/Max/@Side_Q6_Value" xmlDataType="decimal"/>
    </xmlCellPr>
  </singleXmlCell>
  <singleXmlCell id="3950" xr6:uid="{215FDB07-578B-47A8-AE7E-8C88F5EDE41C}" r="F98" connectionId="0">
    <xmlCellPr id="1" xr6:uid="{66931112-8EEA-4829-86F8-071FA3B3B243}" uniqueName="Front_Q10_Value">
      <xmlPr mapId="7" xpath="/MAKE/COP/COPDynamic/DUMMY_MEASUREMENTS/Chest/Ay/Max/@Front_Q10_Value" xmlDataType="decimal"/>
    </xmlCellPr>
  </singleXmlCell>
  <singleXmlCell id="3951" xr6:uid="{50ABA0A5-A920-4024-86A2-058561F7C522}" r="G98" connectionId="0">
    <xmlCellPr id="1" xr6:uid="{DAE43151-8663-48A9-9F54-0261D350DED2}" uniqueName="Side_Q10_Value">
      <xmlPr mapId="7" xpath="/MAKE/COP/COPDynamic/DUMMY_MEASUREMENTS/Chest/Ay/Max/@Side_Q10_Value" xmlDataType="decimal"/>
    </xmlCellPr>
  </singleXmlCell>
  <singleXmlCell id="3952" xr6:uid="{ADFB0AC9-F4C7-4B7F-9DEB-E74349E1BD3A}" r="D99" connectionId="0">
    <xmlCellPr id="1" xr6:uid="{8688E854-59EF-4692-B0D7-4617D62B5503}" uniqueName="Front_Q6_Value">
      <xmlPr mapId="7" xpath="/MAKE/COP/COPDynamic/DUMMY_MEASUREMENTS/Chest/Ay/Min/@Front_Q6_Value" xmlDataType="decimal"/>
    </xmlCellPr>
  </singleXmlCell>
  <singleXmlCell id="3953" xr6:uid="{1A21E632-3515-4EA4-A736-14DD3AD2AF7C}" r="E99" connectionId="0">
    <xmlCellPr id="1" xr6:uid="{7BA74AD3-9249-4751-A8E1-703C2041D8CB}" uniqueName="Side_Q6_Value">
      <xmlPr mapId="7" xpath="/MAKE/COP/COPDynamic/DUMMY_MEASUREMENTS/Chest/Ay/Min/@Side_Q6_Value" xmlDataType="decimal"/>
    </xmlCellPr>
  </singleXmlCell>
  <singleXmlCell id="3954" xr6:uid="{8B73837E-FCAF-40CB-B91B-EEA99D4EA53C}" r="F99" connectionId="0">
    <xmlCellPr id="1" xr6:uid="{FD2003D2-0624-4E28-99CD-DF75688DD8E2}" uniqueName="Front_Q10_Value">
      <xmlPr mapId="7" xpath="/MAKE/COP/COPDynamic/DUMMY_MEASUREMENTS/Chest/Ay/Min/@Front_Q10_Value" xmlDataType="decimal"/>
    </xmlCellPr>
  </singleXmlCell>
  <singleXmlCell id="3955" xr6:uid="{EC88420E-75B9-4FE4-B62D-45D72DE66869}" r="G99" connectionId="0">
    <xmlCellPr id="1" xr6:uid="{3829867E-75FF-48E5-9D20-D017137E99D8}" uniqueName="Side_Q10_Value">
      <xmlPr mapId="7" xpath="/MAKE/COP/COPDynamic/DUMMY_MEASUREMENTS/Chest/Ay/Min/@Side_Q10_Value" xmlDataType="decimal"/>
    </xmlCellPr>
  </singleXmlCell>
  <singleXmlCell id="3956" xr6:uid="{3B61ADC5-4D70-4B43-AB9C-567E3B168616}" r="D100" connectionId="0">
    <xmlCellPr id="1" xr6:uid="{3D582B5B-B480-4740-8947-55530B90B8A6}" uniqueName="Front_Q6_Value">
      <xmlPr mapId="7" xpath="/MAKE/COP/COPDynamic/DUMMY_MEASUREMENTS/Chest/Az/Max/@Front_Q6_Value" xmlDataType="decimal"/>
    </xmlCellPr>
  </singleXmlCell>
  <singleXmlCell id="3957" xr6:uid="{13031ABD-4CDB-49CB-B1CF-27BFD9D69EAC}" r="E100" connectionId="0">
    <xmlCellPr id="1" xr6:uid="{8F150DBB-302B-42DF-8E29-8FE2BBD69E20}" uniqueName="Side_Q6_Value">
      <xmlPr mapId="7" xpath="/MAKE/COP/COPDynamic/DUMMY_MEASUREMENTS/Chest/Az/Max/@Side_Q6_Value" xmlDataType="decimal"/>
    </xmlCellPr>
  </singleXmlCell>
  <singleXmlCell id="3958" xr6:uid="{DFF09882-843C-42A3-976B-4FFBCB7BAA3F}" r="F100" connectionId="0">
    <xmlCellPr id="1" xr6:uid="{CB172185-B84D-408A-9B70-6B121445B25C}" uniqueName="Front_Q10_Value">
      <xmlPr mapId="7" xpath="/MAKE/COP/COPDynamic/DUMMY_MEASUREMENTS/Chest/Az/Max/@Front_Q10_Value" xmlDataType="decimal"/>
    </xmlCellPr>
  </singleXmlCell>
  <singleXmlCell id="3959" xr6:uid="{DFC058D0-997B-4FB3-84A9-EBCD54B96D5B}" r="G100" connectionId="0">
    <xmlCellPr id="1" xr6:uid="{773996AE-90B8-4992-A6D0-A28A161F8298}" uniqueName="Side_Q10_Value">
      <xmlPr mapId="7" xpath="/MAKE/COP/COPDynamic/DUMMY_MEASUREMENTS/Chest/Az/Max/@Side_Q10_Value" xmlDataType="decimal"/>
    </xmlCellPr>
  </singleXmlCell>
  <singleXmlCell id="3960" xr6:uid="{4077D641-05DC-44D5-A6AE-C3C1B5F2937B}" r="D101" connectionId="0">
    <xmlCellPr id="1" xr6:uid="{BE96E1CE-AC27-48C7-8DB8-A76C66A75B75}" uniqueName="Front_Q6_Value">
      <xmlPr mapId="7" xpath="/MAKE/COP/COPDynamic/DUMMY_MEASUREMENTS/Chest/Az/Min/@Front_Q6_Value" xmlDataType="decimal"/>
    </xmlCellPr>
  </singleXmlCell>
  <singleXmlCell id="3961" xr6:uid="{6269986A-1D12-4949-B65D-4F1CAD0691D1}" r="E101" connectionId="0">
    <xmlCellPr id="1" xr6:uid="{5FA68BD8-1262-4B48-B607-7D0368F2F90B}" uniqueName="Side_Q6_Value">
      <xmlPr mapId="7" xpath="/MAKE/COP/COPDynamic/DUMMY_MEASUREMENTS/Chest/Az/Min/@Side_Q6_Value" xmlDataType="decimal"/>
    </xmlCellPr>
  </singleXmlCell>
  <singleXmlCell id="3962" xr6:uid="{53B39CAC-8D76-4E18-BD63-0A1BD1703393}" r="F101" connectionId="0">
    <xmlCellPr id="1" xr6:uid="{C56AA9C5-D56A-481B-9EF6-EABE50863E7A}" uniqueName="Front_Q10_Value">
      <xmlPr mapId="7" xpath="/MAKE/COP/COPDynamic/DUMMY_MEASUREMENTS/Chest/Az/Min/@Front_Q10_Value" xmlDataType="decimal"/>
    </xmlCellPr>
  </singleXmlCell>
  <singleXmlCell id="3963" xr6:uid="{780CAB51-7E6F-4C04-A20D-DFFAAD704FD7}" r="G101" connectionId="0">
    <xmlCellPr id="1" xr6:uid="{839F906A-DD53-4C4C-BA3F-3DFF83A76B91}" uniqueName="Side_Q10_Value">
      <xmlPr mapId="7" xpath="/MAKE/COP/COPDynamic/DUMMY_MEASUREMENTS/Chest/Az/Min/@Side_Q10_Value" xmlDataType="decimal"/>
    </xmlCellPr>
  </singleXmlCell>
  <singleXmlCell id="3964" xr6:uid="{4F120B95-552B-4D45-9A0B-2A335D409010}" r="D102" connectionId="0">
    <xmlCellPr id="1" xr6:uid="{94550EF6-D634-4B9C-94F8-41482202354F}" uniqueName="Front_Q6_Value">
      <xmlPr mapId="7" xpath="/MAKE/COP/COPDynamic/DUMMY_MEASUREMENTS/Chest/Dchest/Dchest/Max/@Front_Q6_Value" xmlDataType="decimal"/>
    </xmlCellPr>
  </singleXmlCell>
  <singleXmlCell id="3965" xr6:uid="{84E624B9-3EDB-443D-BBF4-A2C4819FE7A2}" r="E102" connectionId="0">
    <xmlCellPr id="1" xr6:uid="{6B5C4C69-AE42-455A-BE4D-FD62D493B1DF}" uniqueName="Side_Q6_Value">
      <xmlPr mapId="7" xpath="/MAKE/COP/COPDynamic/DUMMY_MEASUREMENTS/Chest/Dchest/Dchest/Max/@Side_Q6_Value" xmlDataType="decimal"/>
    </xmlCellPr>
  </singleXmlCell>
  <singleXmlCell id="3968" xr6:uid="{D419EF71-2491-43AC-9D65-90BE8DC25D86}" r="D103" connectionId="0">
    <xmlCellPr id="1" xr6:uid="{E704533D-CD56-4ABD-9235-60484DB87215}" uniqueName="Front_Q6_Value">
      <xmlPr mapId="7" xpath="/MAKE/COP/COPDynamic/DUMMY_MEASUREMENTS/Chest/Dchest/Dchest/Min/@Front_Q6_Value" xmlDataType="decimal"/>
    </xmlCellPr>
  </singleXmlCell>
  <singleXmlCell id="3969" xr6:uid="{1C3F80FE-E752-4DA5-A83D-C759F65ACEE7}" r="E103" connectionId="0">
    <xmlCellPr id="1" xr6:uid="{E24E060E-0B6D-4063-A91C-4F345EC66448}" uniqueName="Side_Q6_Value">
      <xmlPr mapId="7" xpath="/MAKE/COP/COPDynamic/DUMMY_MEASUREMENTS/Chest/Dchest/Dchest/Min/@Side_Q6_Value" xmlDataType="decimal"/>
    </xmlCellPr>
  </singleXmlCell>
  <singleXmlCell id="3974" xr6:uid="{2739E623-8007-4651-AB55-AF8471C85BD6}" r="F104" connectionId="0">
    <xmlCellPr id="1" xr6:uid="{8581F3B2-2027-4361-A228-368DCA415433}" uniqueName="Front_Q10_Value">
      <xmlPr mapId="7" xpath="/MAKE/COP/COPDynamic/DUMMY_MEASUREMENTS/Chest/Dchest/LO/Max/@Front_Q10_Value" xmlDataType="decimal"/>
    </xmlCellPr>
  </singleXmlCell>
  <singleXmlCell id="3975" xr6:uid="{0FC50DD0-F80D-4DB7-A3CC-156BDB57AFB1}" r="G104" connectionId="0">
    <xmlCellPr id="1" xr6:uid="{47CF8AA2-28D4-49DA-A794-C86B10F8D7B6}" uniqueName="Side_Q10_Value">
      <xmlPr mapId="7" xpath="/MAKE/COP/COPDynamic/DUMMY_MEASUREMENTS/Chest/Dchest/LO/Max/@Side_Q10_Value" xmlDataType="decimal"/>
    </xmlCellPr>
  </singleXmlCell>
  <singleXmlCell id="3978" xr6:uid="{35F24A77-FF15-47CF-A250-BAC40AC4DA47}" r="F105" connectionId="0">
    <xmlCellPr id="1" xr6:uid="{282D24A0-7E47-43A8-848F-ABB5298E2B8A}" uniqueName="Front_Q10_Value">
      <xmlPr mapId="7" xpath="/MAKE/COP/COPDynamic/DUMMY_MEASUREMENTS/Chest/Dchest/LO/Min/@Front_Q10_Value" xmlDataType="decimal"/>
    </xmlCellPr>
  </singleXmlCell>
  <singleXmlCell id="3979" xr6:uid="{343A61F7-6E07-4B47-8DAF-66E25EC60354}" r="G105" connectionId="0">
    <xmlCellPr id="1" xr6:uid="{7831964A-E66D-486A-8B23-43E3A8303DC9}" uniqueName="Side_Q10_Value">
      <xmlPr mapId="7" xpath="/MAKE/COP/COPDynamic/DUMMY_MEASUREMENTS/Chest/Dchest/LO/Min/@Side_Q10_Value" xmlDataType="decimal"/>
    </xmlCellPr>
  </singleXmlCell>
  <singleXmlCell id="3982" xr6:uid="{B01E479E-C568-4FD5-86AC-F7222EF0025B}" r="F106" connectionId="0">
    <xmlCellPr id="1" xr6:uid="{052ECEC5-5DF8-4E7B-B634-8BF1F8806036}" uniqueName="Front_Q10_Value">
      <xmlPr mapId="7" xpath="/MAKE/COP/COPDynamic/DUMMY_MEASUREMENTS/Chest/Dchest/UP/Max/@Front_Q10_Value" xmlDataType="decimal"/>
    </xmlCellPr>
  </singleXmlCell>
  <singleXmlCell id="3983" xr6:uid="{11497283-3435-4078-8F81-DCCEA971957D}" r="G106" connectionId="0">
    <xmlCellPr id="1" xr6:uid="{EFEDC02D-1E41-4A69-BEFC-7B27DB8D7B91}" uniqueName="Side_Q10_Value">
      <xmlPr mapId="7" xpath="/MAKE/COP/COPDynamic/DUMMY_MEASUREMENTS/Chest/Dchest/UP/Max/@Side_Q10_Value" xmlDataType="decimal"/>
    </xmlCellPr>
  </singleXmlCell>
  <singleXmlCell id="3986" xr6:uid="{DD7E2ACC-99E4-4B2A-9B3B-BA6F7F296506}" r="F107" connectionId="0">
    <xmlCellPr id="1" xr6:uid="{C7AE78F5-A5BC-4CC8-B21A-E3C3A446A495}" uniqueName="Front_Q10_Value">
      <xmlPr mapId="7" xpath="/MAKE/COP/COPDynamic/DUMMY_MEASUREMENTS/Chest/Dchest/UP/Min/@Front_Q10_Value" xmlDataType="decimal"/>
    </xmlCellPr>
  </singleXmlCell>
  <singleXmlCell id="3987" xr6:uid="{E5ECAA38-4321-4554-BE3A-74C6C39A86FD}" r="G107" connectionId="0">
    <xmlCellPr id="1" xr6:uid="{82317EA5-173C-441E-AAC4-88A053167E84}" uniqueName="Side_Q10_Value">
      <xmlPr mapId="7" xpath="/MAKE/COP/COPDynamic/DUMMY_MEASUREMENTS/Chest/Dchest/UP/Min/@Side_Q10_Value" xmlDataType="decimal"/>
    </xmlCellPr>
  </singleXmlCell>
  <singleXmlCell id="3990" xr6:uid="{0F6F416E-53B6-4CDC-A26F-CF2BDB081590}" r="F109" connectionId="0">
    <xmlCellPr id="1" xr6:uid="{4FBDFC23-64F5-4495-8398-A343457036F9}" uniqueName="Front_Q10_Value">
      <xmlPr mapId="7" xpath="/MAKE/COP/COPDynamic/DUMMY_MEASUREMENTS/Lumbar_Spine/Fx/Max/@Front_Q10_Value" xmlDataType="decimal"/>
    </xmlCellPr>
  </singleXmlCell>
  <singleXmlCell id="3991" xr6:uid="{C1CA9C2B-03E6-41B2-9684-6FBD37462DA7}" r="G109" connectionId="0">
    <xmlCellPr id="1" xr6:uid="{0EBA2D68-07FA-49B4-9E7F-3AC87FE80991}" uniqueName="Side_Q10_Value">
      <xmlPr mapId="7" xpath="/MAKE/COP/COPDynamic/DUMMY_MEASUREMENTS/Lumbar_Spine/Fx/Max/@Side_Q10_Value" xmlDataType="decimal"/>
    </xmlCellPr>
  </singleXmlCell>
  <singleXmlCell id="3994" xr6:uid="{A7327E59-9ADA-4BB6-B4DA-0EDA79877DD9}" r="F110" connectionId="0">
    <xmlCellPr id="1" xr6:uid="{1657A697-4095-43C4-BD5B-E880019101FA}" uniqueName="Front_Q10_Value">
      <xmlPr mapId="7" xpath="/MAKE/COP/COPDynamic/DUMMY_MEASUREMENTS/Lumbar_Spine/Fx/Min/@Front_Q10_Value" xmlDataType="decimal"/>
    </xmlCellPr>
  </singleXmlCell>
  <singleXmlCell id="3995" xr6:uid="{C8581A79-0A60-4457-A345-E93E3C48139A}" r="G110" connectionId="0">
    <xmlCellPr id="1" xr6:uid="{E44F3E23-28FE-4D83-BDBB-C5BE9DAA2745}" uniqueName="Side_Q10_Value">
      <xmlPr mapId="7" xpath="/MAKE/COP/COPDynamic/DUMMY_MEASUREMENTS/Lumbar_Spine/Fx/Min/@Side_Q10_Value" xmlDataType="decimal"/>
    </xmlCellPr>
  </singleXmlCell>
  <singleXmlCell id="3998" xr6:uid="{753ECE09-AF17-4BA1-A7DF-9E17E840C1EF}" r="F111" connectionId="0">
    <xmlCellPr id="1" xr6:uid="{F52A805E-6D72-4C94-8D98-D74A5174BD65}" uniqueName="Front_Q10_Value">
      <xmlPr mapId="7" xpath="/MAKE/COP/COPDynamic/DUMMY_MEASUREMENTS/Lumbar_Spine/Fy/Max/@Front_Q10_Value" xmlDataType="decimal"/>
    </xmlCellPr>
  </singleXmlCell>
  <singleXmlCell id="3999" xr6:uid="{9F30D991-D98D-4F98-AA65-1D3026EEFD97}" r="G111" connectionId="0">
    <xmlCellPr id="1" xr6:uid="{8C5B8BF4-E3EF-4EA3-BB0F-28A3345C8252}" uniqueName="Side_Q10_Value">
      <xmlPr mapId="7" xpath="/MAKE/COP/COPDynamic/DUMMY_MEASUREMENTS/Lumbar_Spine/Fy/Max/@Side_Q10_Value" xmlDataType="decimal"/>
    </xmlCellPr>
  </singleXmlCell>
  <singleXmlCell id="4002" xr6:uid="{9F5713C4-D7B2-4C22-96FB-3D28ED47B764}" r="F112" connectionId="0">
    <xmlCellPr id="1" xr6:uid="{F245AB56-00A4-4528-A54D-29C60B02A574}" uniqueName="Front_Q10_Value">
      <xmlPr mapId="7" xpath="/MAKE/COP/COPDynamic/DUMMY_MEASUREMENTS/Lumbar_Spine/Fy/Min/@Front_Q10_Value" xmlDataType="decimal"/>
    </xmlCellPr>
  </singleXmlCell>
  <singleXmlCell id="4003" xr6:uid="{669FC4F9-2800-4FD0-9C94-E8C2EA7F56A0}" r="G112" connectionId="0">
    <xmlCellPr id="1" xr6:uid="{C84AA7D8-FB22-41CE-B7F8-6BB3B1622654}" uniqueName="Side_Q10_Value">
      <xmlPr mapId="7" xpath="/MAKE/COP/COPDynamic/DUMMY_MEASUREMENTS/Lumbar_Spine/Fy/Min/@Side_Q10_Value" xmlDataType="decimal"/>
    </xmlCellPr>
  </singleXmlCell>
  <singleXmlCell id="4006" xr6:uid="{0B9C8FF7-F1D0-4BDC-9AE5-9B190A692054}" r="F113" connectionId="0">
    <xmlCellPr id="1" xr6:uid="{3DF22B91-62E7-44E7-BE52-C7C9BC9E9B1F}" uniqueName="Front_Q10_Value">
      <xmlPr mapId="7" xpath="/MAKE/COP/COPDynamic/DUMMY_MEASUREMENTS/Lumbar_Spine/Fz/Max/@Front_Q10_Value" xmlDataType="decimal"/>
    </xmlCellPr>
  </singleXmlCell>
  <singleXmlCell id="4007" xr6:uid="{E045AFBE-C9CA-41BA-BCDC-757D448194A0}" r="G113" connectionId="0">
    <xmlCellPr id="1" xr6:uid="{DDCD8518-37C4-4056-8B9C-8BB9A8D19E7A}" uniqueName="Side_Q10_Value">
      <xmlPr mapId="7" xpath="/MAKE/COP/COPDynamic/DUMMY_MEASUREMENTS/Lumbar_Spine/Fz/Max/@Side_Q10_Value" xmlDataType="decimal"/>
    </xmlCellPr>
  </singleXmlCell>
  <singleXmlCell id="4010" xr6:uid="{50829E20-8B58-4A71-A287-0AEC8B5F83EB}" r="F114" connectionId="0">
    <xmlCellPr id="1" xr6:uid="{13E45CD4-840C-430E-B8E3-3C82FCE05BA6}" uniqueName="Front_Q10_Value">
      <xmlPr mapId="7" xpath="/MAKE/COP/COPDynamic/DUMMY_MEASUREMENTS/Lumbar_Spine/Fz/Min/@Front_Q10_Value" xmlDataType="decimal"/>
    </xmlCellPr>
  </singleXmlCell>
  <singleXmlCell id="4011" xr6:uid="{86D896FB-11C7-420C-9899-15F8F212D457}" r="G114" connectionId="0">
    <xmlCellPr id="1" xr6:uid="{BBAEA325-B701-4169-8B39-0254881E0548}" uniqueName="Side_Q10_Value">
      <xmlPr mapId="7" xpath="/MAKE/COP/COPDynamic/DUMMY_MEASUREMENTS/Lumbar_Spine/Fz/Min/@Side_Q10_Value" xmlDataType="decimal"/>
    </xmlCellPr>
  </singleXmlCell>
  <singleXmlCell id="4014" xr6:uid="{91E412D0-4F97-480F-B175-EFDB7D539E84}" r="F115" connectionId="0">
    <xmlCellPr id="1" xr6:uid="{EABD7C2E-51D3-47DA-98DC-50F56ECB90C4}" uniqueName="Front_Q10_Value">
      <xmlPr mapId="7" xpath="/MAKE/COP/COPDynamic/DUMMY_MEASUREMENTS/Lumbar_Spine/Mx/Max/@Front_Q10_Value" xmlDataType="decimal"/>
    </xmlCellPr>
  </singleXmlCell>
  <singleXmlCell id="4015" xr6:uid="{93B4E04E-F39E-4CC0-B6BC-C349B500520D}" r="G115" connectionId="0">
    <xmlCellPr id="1" xr6:uid="{B5F744E8-2B73-4118-83A8-D57F695FA241}" uniqueName="Side_Q10_Value">
      <xmlPr mapId="7" xpath="/MAKE/COP/COPDynamic/DUMMY_MEASUREMENTS/Lumbar_Spine/Mx/Max/@Side_Q10_Value" xmlDataType="decimal"/>
    </xmlCellPr>
  </singleXmlCell>
  <singleXmlCell id="4018" xr6:uid="{12AE1C2E-3AEB-4DE6-8BBB-7021D1325F9F}" r="F116" connectionId="0">
    <xmlCellPr id="1" xr6:uid="{B0EEE4DC-12E0-4BE2-AFFC-02389E01C5D6}" uniqueName="Front_Q10_Value">
      <xmlPr mapId="7" xpath="/MAKE/COP/COPDynamic/DUMMY_MEASUREMENTS/Lumbar_Spine/Mx/Min/@Front_Q10_Value" xmlDataType="decimal"/>
    </xmlCellPr>
  </singleXmlCell>
  <singleXmlCell id="4019" xr6:uid="{407A193F-DA31-4E0B-BB2D-FBB5B0EACEC9}" r="G116" connectionId="0">
    <xmlCellPr id="1" xr6:uid="{00C901FA-4DAA-4822-B475-E1951EAF7182}" uniqueName="Side_Q10_Value">
      <xmlPr mapId="7" xpath="/MAKE/COP/COPDynamic/DUMMY_MEASUREMENTS/Lumbar_Spine/Mx/Min/@Side_Q10_Value" xmlDataType="decimal"/>
    </xmlCellPr>
  </singleXmlCell>
  <singleXmlCell id="4022" xr6:uid="{B88DE0B1-B547-4B06-A1E9-9C020E8F810E}" r="F117" connectionId="0">
    <xmlCellPr id="1" xr6:uid="{C7E516F1-3395-4212-AE61-333ED960E82F}" uniqueName="Front_Q10_Value">
      <xmlPr mapId="7" xpath="/MAKE/COP/COPDynamic/DUMMY_MEASUREMENTS/Lumbar_Spine/My/Max/@Front_Q10_Value" xmlDataType="decimal"/>
    </xmlCellPr>
  </singleXmlCell>
  <singleXmlCell id="4023" xr6:uid="{710F1DF4-25E8-4A73-9E2F-DE2A740AB16C}" r="G117" connectionId="0">
    <xmlCellPr id="1" xr6:uid="{1EEE64D4-BDCD-4488-BDD0-58B5D7E32451}" uniqueName="Side_Q10_Value">
      <xmlPr mapId="7" xpath="/MAKE/COP/COPDynamic/DUMMY_MEASUREMENTS/Lumbar_Spine/My/Max/@Side_Q10_Value" xmlDataType="decimal"/>
    </xmlCellPr>
  </singleXmlCell>
  <singleXmlCell id="4026" xr6:uid="{CF689C65-5C24-4191-B04B-7986C7F7C3E9}" r="F118" connectionId="0">
    <xmlCellPr id="1" xr6:uid="{E5AB9389-7F61-41B9-8421-8A1EDB0599BC}" uniqueName="Front_Q10_Value">
      <xmlPr mapId="7" xpath="/MAKE/COP/COPDynamic/DUMMY_MEASUREMENTS/Lumbar_Spine/My/Min/@Front_Q10_Value" xmlDataType="decimal"/>
    </xmlCellPr>
  </singleXmlCell>
  <singleXmlCell id="4027" xr6:uid="{7BBAB1D0-25F2-4676-9F7F-C70F1F3156BE}" r="G118" connectionId="0">
    <xmlCellPr id="1" xr6:uid="{895D9146-6309-4A00-B6C2-8CF965EFF8DA}" uniqueName="Side_Q10_Value">
      <xmlPr mapId="7" xpath="/MAKE/COP/COPDynamic/DUMMY_MEASUREMENTS/Lumbar_Spine/My/Min/@Side_Q10_Value" xmlDataType="decimal"/>
    </xmlCellPr>
  </singleXmlCell>
  <singleXmlCell id="4030" xr6:uid="{0A7783D9-61C2-425A-931F-ADE89FAD346A}" r="F119" connectionId="0">
    <xmlCellPr id="1" xr6:uid="{76522B99-5DFE-423C-AA67-990B5AAD70D1}" uniqueName="Front_Q10_Value">
      <xmlPr mapId="7" xpath="/MAKE/COP/COPDynamic/DUMMY_MEASUREMENTS/Lumbar_Spine/Mz/Max/@Front_Q10_Value" xmlDataType="decimal"/>
    </xmlCellPr>
  </singleXmlCell>
  <singleXmlCell id="4031" xr6:uid="{99287962-1DC6-4C73-82A0-DBFDAE9A33FF}" r="G119" connectionId="0">
    <xmlCellPr id="1" xr6:uid="{1538D758-69E1-4F55-B5E7-92D6A8684793}" uniqueName="Side_Q10_Value">
      <xmlPr mapId="7" xpath="/MAKE/COP/COPDynamic/DUMMY_MEASUREMENTS/Lumbar_Spine/Mz/Max/@Side_Q10_Value" xmlDataType="decimal"/>
    </xmlCellPr>
  </singleXmlCell>
  <singleXmlCell id="4034" xr6:uid="{BE6ED9E8-43EB-4E0E-87C0-AB4C34B8526E}" r="F120" connectionId="0">
    <xmlCellPr id="1" xr6:uid="{B1DE2E88-8EF7-47F4-B112-3E02517D5934}" uniqueName="Front_Q10_Value">
      <xmlPr mapId="7" xpath="/MAKE/COP/COPDynamic/DUMMY_MEASUREMENTS/Lumbar_Spine/Mz/Min/@Front_Q10_Value" xmlDataType="decimal"/>
    </xmlCellPr>
  </singleXmlCell>
  <singleXmlCell id="4035" xr6:uid="{8B245DFC-2438-4ADB-A102-3B2F108629C0}" r="G120" connectionId="0">
    <xmlCellPr id="1" xr6:uid="{7AE060BC-A425-4FE6-A94A-55D7C2FE8CA5}" uniqueName="Side_Q10_Value">
      <xmlPr mapId="7" xpath="/MAKE/COP/COPDynamic/DUMMY_MEASUREMENTS/Lumbar_Spine/Mz/Min/@Side_Q10_Value" xmlDataType="decimal"/>
    </xmlCellPr>
  </singleXmlCell>
  <singleXmlCell id="4038" xr6:uid="{51BD7BFC-A4A4-458C-B34B-C3F334915710}" r="F122" connectionId="0">
    <xmlCellPr id="1" xr6:uid="{8C6553A9-971D-417F-B668-248395893212}" uniqueName="Front_Q10_Value">
      <xmlPr mapId="7" xpath="/MAKE/COP/COPDynamic/DUMMY_MEASUREMENTS/Pelvis_Sacrum/Ax/Max/@Front_Q10_Value" xmlDataType="decimal"/>
    </xmlCellPr>
  </singleXmlCell>
  <singleXmlCell id="4039" xr6:uid="{0CF4543D-8B8E-419C-BE05-9FA1F8BB0905}" r="G122" connectionId="0">
    <xmlCellPr id="1" xr6:uid="{0E410F0F-2652-4102-8497-A2D8EFFB57D5}" uniqueName="Side_Q10_Value">
      <xmlPr mapId="7" xpath="/MAKE/COP/COPDynamic/DUMMY_MEASUREMENTS/Pelvis_Sacrum/Ax/Max/@Side_Q10_Value" xmlDataType="decimal"/>
    </xmlCellPr>
  </singleXmlCell>
  <singleXmlCell id="4042" xr6:uid="{B6305A1A-C92F-43F7-933B-5D8C2FC995FF}" r="F123" connectionId="0">
    <xmlCellPr id="1" xr6:uid="{E6833D32-795D-4DF8-B7A9-049C08F300A2}" uniqueName="Front_Q10_Value">
      <xmlPr mapId="7" xpath="/MAKE/COP/COPDynamic/DUMMY_MEASUREMENTS/Pelvis_Sacrum/Ax/Min/@Front_Q10_Value" xmlDataType="decimal"/>
    </xmlCellPr>
  </singleXmlCell>
  <singleXmlCell id="4043" xr6:uid="{F7229453-BBC9-4F04-80B4-DCF2B28ABE2E}" r="G123" connectionId="0">
    <xmlCellPr id="1" xr6:uid="{81B1E52C-9D92-47D2-A3B9-A91A1AA6F67D}" uniqueName="Side_Q10_Value">
      <xmlPr mapId="7" xpath="/MAKE/COP/COPDynamic/DUMMY_MEASUREMENTS/Pelvis_Sacrum/Ax/Min/@Side_Q10_Value" xmlDataType="decimal"/>
    </xmlCellPr>
  </singleXmlCell>
  <singleXmlCell id="4046" xr6:uid="{94FF51CC-ED6A-4DF8-B360-6FEFF606FFE6}" r="F124" connectionId="0">
    <xmlCellPr id="1" xr6:uid="{393EDD47-6235-44B3-89ED-7C24B3411183}" uniqueName="Front_Q10_Value">
      <xmlPr mapId="7" xpath="/MAKE/COP/COPDynamic/DUMMY_MEASUREMENTS/Pelvis_Sacrum/Ay/Max/@Front_Q10_Value" xmlDataType="decimal"/>
    </xmlCellPr>
  </singleXmlCell>
  <singleXmlCell id="4047" xr6:uid="{379E20B1-0371-40E2-8B43-B1743888C0BC}" r="G124" connectionId="0">
    <xmlCellPr id="1" xr6:uid="{FA0A5934-77DE-42A0-A70B-E4E4FD78FA4D}" uniqueName="Side_Q10_Value">
      <xmlPr mapId="7" xpath="/MAKE/COP/COPDynamic/DUMMY_MEASUREMENTS/Pelvis_Sacrum/Ay/Max/@Side_Q10_Value" xmlDataType="decimal"/>
    </xmlCellPr>
  </singleXmlCell>
  <singleXmlCell id="4050" xr6:uid="{3D0C6BBA-1133-44D9-A10D-92112DAC87C0}" r="F125" connectionId="0">
    <xmlCellPr id="1" xr6:uid="{3716A58C-74F2-4DBD-9DE0-1E0C3FF0756F}" uniqueName="Front_Q10_Value">
      <xmlPr mapId="7" xpath="/MAKE/COP/COPDynamic/DUMMY_MEASUREMENTS/Pelvis_Sacrum/Ay/Min/@Front_Q10_Value" xmlDataType="decimal"/>
    </xmlCellPr>
  </singleXmlCell>
  <singleXmlCell id="4051" xr6:uid="{28A85EA6-BDFF-4DAB-AE54-1409A2CD6D56}" r="G125" connectionId="0">
    <xmlCellPr id="1" xr6:uid="{8A2C6F31-FE6C-4276-8F68-B51B01F0117B}" uniqueName="Side_Q10_Value">
      <xmlPr mapId="7" xpath="/MAKE/COP/COPDynamic/DUMMY_MEASUREMENTS/Pelvis_Sacrum/Ay/Min/@Side_Q10_Value" xmlDataType="decimal"/>
    </xmlCellPr>
  </singleXmlCell>
  <singleXmlCell id="4054" xr6:uid="{0989E8C9-21DD-497B-8B90-2902E5D5176B}" r="F126" connectionId="0">
    <xmlCellPr id="1" xr6:uid="{7B3905E0-7F93-46B2-8517-E56B09D23311}" uniqueName="Front_Q10_Value">
      <xmlPr mapId="7" xpath="/MAKE/COP/COPDynamic/DUMMY_MEASUREMENTS/Pelvis_Sacrum/Az/Max/@Front_Q10_Value" xmlDataType="decimal"/>
    </xmlCellPr>
  </singleXmlCell>
  <singleXmlCell id="4055" xr6:uid="{D8FF8DCD-EC3E-4F19-A624-E02F75E5F3AA}" r="G126" connectionId="0">
    <xmlCellPr id="1" xr6:uid="{F23C1AE3-ABD5-4A51-8154-5773F4251864}" uniqueName="Side_Q10_Value">
      <xmlPr mapId="7" xpath="/MAKE/COP/COPDynamic/DUMMY_MEASUREMENTS/Pelvis_Sacrum/Az/Max/@Side_Q10_Value" xmlDataType="decimal"/>
    </xmlCellPr>
  </singleXmlCell>
  <singleXmlCell id="4058" xr6:uid="{129E9CA9-654D-4B1A-B107-A8296BADA754}" r="F127" connectionId="0">
    <xmlCellPr id="1" xr6:uid="{7790D290-6C9E-41F7-A0F5-560651459FB2}" uniqueName="Front_Q10_Value">
      <xmlPr mapId="7" xpath="/MAKE/COP/COPDynamic/DUMMY_MEASUREMENTS/Pelvis_Sacrum/Az/Min/@Front_Q10_Value" xmlDataType="decimal"/>
    </xmlCellPr>
  </singleXmlCell>
  <singleXmlCell id="4059" xr6:uid="{94CB7962-2C7A-4543-8B42-E8716ABE80CD}" r="G127" connectionId="0">
    <xmlCellPr id="1" xr6:uid="{57CAF8CC-FBB3-4A11-97CB-B01E6D70DD54}" uniqueName="Side_Q10_Value">
      <xmlPr mapId="7" xpath="/MAKE/COP/COPDynamic/DUMMY_MEASUREMENTS/Pelvis_Sacrum/Az/Min/@Side_Q10_Value" xmlDataType="decimal"/>
    </xmlCellPr>
  </singleXmlCell>
  <singleXmlCell id="4060" xr6:uid="{0F60F048-5609-4CDF-A515-A02FF575F0F9}" r="G129" connectionId="0">
    <xmlCellPr id="1" xr6:uid="{9551FCE8-5C44-41C0-A3E4-5E93A530B1E0}" uniqueName="Side_Q10_Value">
      <xmlPr mapId="7" xpath="/MAKE/COP/COPDynamic/DUMMY_MEASUREMENTS/Pelvis_Pubis/Fy/Max/@Side_Q10_Value" xmlDataType="decimal"/>
    </xmlCellPr>
  </singleXmlCell>
  <singleXmlCell id="4061" xr6:uid="{E69639D5-B0CE-4ACB-91CF-CC1E438198F0}" r="G130" connectionId="0">
    <xmlCellPr id="1" xr6:uid="{F9E5B50C-DC7E-4BEB-8E12-CAEBEFAD50A2}" uniqueName="Side_Q10_Value">
      <xmlPr mapId="7" xpath="/MAKE/COP/COPDynamic/DUMMY_MEASUREMENTS/Pelvis_Pubis/Fy/Min/@Side_Q10_Value" xmlDataType="decimal"/>
    </xmlCellPr>
  </singleXmlCell>
  <singleXmlCell id="3692" xr6:uid="{1A2AB871-0010-4E7E-A061-E8D83241331D}" r="D14" connectionId="0">
    <xmlCellPr id="1" xr6:uid="{F523945E-E5AE-4D5F-BE47-980C0C2B791C}" uniqueName="Q6">
      <xmlPr mapId="7" xpath="/MAKE/COP/COPDynamic/FRONTAL/Belt_Slip/@Q6" xmlDataType="string"/>
    </xmlCellPr>
  </singleXmlCell>
  <singleXmlCell id="3721" xr6:uid="{C028D082-9F11-49B3-AF1B-430070DD168C}" r="F14" connectionId="0">
    <xmlCellPr id="1" xr6:uid="{0A532682-872B-4F80-BD24-08C74640651F}" uniqueName="Q10">
      <xmlPr mapId="7" xpath="/MAKE/COP/COPDynamic/FRONTAL/Belt_Slip/@Q10" xmlDataType="string"/>
    </xmlCellPr>
  </singleXmlCell>
  <singleXmlCell id="3745" xr6:uid="{1A2B8EEC-1099-48F9-A2EB-125E12041A66}" r="D15" connectionId="0">
    <xmlCellPr id="1" xr6:uid="{7647ABCA-9E40-4FFC-81DB-F178A209C17F}" uniqueName="Q6">
      <xmlPr mapId="7" xpath="/MAKE/COP/COPDynamic/FRONTAL/Submarining/@Q6" xmlDataType="string"/>
    </xmlCellPr>
  </singleXmlCell>
  <singleXmlCell id="3751" xr6:uid="{9AA0BD15-2A78-4454-8BFE-5032D14D4D94}" r="F15" connectionId="0">
    <xmlCellPr id="1" xr6:uid="{6C0998AC-B53A-40FE-A56A-4596E8D93116}" uniqueName="Q10">
      <xmlPr mapId="7" xpath="/MAKE/COP/COPDynamic/FRONTAL/Submarining/@Q10" xmlDataType="string"/>
    </xmlCellPr>
  </singleXmlCell>
  <singleXmlCell id="3752" xr6:uid="{A7CC8473-6BF6-41A4-9736-0AEB1DB3A077}" r="D25" connectionId="0">
    <xmlCellPr id="1" xr6:uid="{FC17F62F-4460-41DA-A1B1-AA372818F84A}" uniqueName="Q6">
      <xmlPr mapId="7" xpath="/MAKE/COP/COPDynamic/FRONTAL/Neck_Assessment/Belt_Interaction/@Q6" xmlDataType="string"/>
    </xmlCellPr>
  </singleXmlCell>
  <singleXmlCell id="3778" xr6:uid="{1DF74E9C-D14A-418E-9192-4885CDEDFE3E}" r="F25" connectionId="0">
    <xmlCellPr id="1" xr6:uid="{45510EBE-5986-4D0F-A732-8C238E4F37D3}" uniqueName="Q10">
      <xmlPr mapId="7" xpath="/MAKE/COP/COPDynamic/FRONTAL/Neck_Assessment/Belt_Interaction/@Q10" xmlDataType="string"/>
    </xmlCellPr>
  </singleXmlCell>
  <singleXmlCell id="5088" xr6:uid="{75A79C8A-14A9-4BD2-AC35-922111DE5FF9}" r="F32" connectionId="0">
    <xmlCellPr id="1" xr6:uid="{73AF1C87-4DF0-4B9D-A4BB-1698BA6B9C12}" uniqueName="Q10_Value">
      <xmlPr mapId="7" xpath="/MAKE/COP/COPDynamic/FRONTAL/Chest_Assessment/Upper_Chest_D_res/@Q10_Value" xmlDataType="decimal"/>
    </xmlCellPr>
  </singleXmlCell>
  <singleXmlCell id="5089" xr6:uid="{36F508E1-BBAE-4946-9E78-4555174DBAA0}" r="F33" connectionId="0">
    <xmlCellPr id="1" xr6:uid="{48F42D2A-85C2-4922-AA6C-07B5CEEA00C3}" uniqueName="Q10_Value">
      <xmlPr mapId="7" xpath="/MAKE/COP/COPDynamic/FRONTAL/Chest_Assessment/Lower_Chest_D_res/@Q10_Value" xmlDataType="decimal"/>
    </xmlCellPr>
  </singleXmlCell>
</singleXmlCells>
</file>

<file path=xl/tables/tableSingleCells1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3779" xr6:uid="{9E83EAFE-3AF9-4AC1-A8CA-ADB466160730}" r="D45" connectionId="0">
    <xmlCellPr id="1" xr6:uid="{48D80C9C-27C5-4032-B4CE-2C297C87BD51}" uniqueName="Total">
      <xmlPr mapId="7" xpath="/MAKE/COP/COPVehicleBased/@Total" xmlDataType="decimal"/>
    </xmlCellPr>
  </singleXmlCell>
  <singleXmlCell id="3782" xr6:uid="{D0ADB2C9-F534-4599-A0C3-B91A8AAD2CCA}" r="D13" connectionId="0">
    <xmlCellPr id="1" xr6:uid="{2E6FFAA4-68A9-419C-8EB5-F284FC221CAA}" uniqueName="Pass_or_Fail">
      <xmlPr mapId="7" xpath="/MAKE/COP/COPVehicleBased/Eligibility/@Pass_or_Fail" xmlDataType="string"/>
    </xmlCellPr>
  </singleXmlCell>
  <singleXmlCell id="3924" xr6:uid="{7B9C4B96-218F-40B9-B0B8-17A1214D78F1}" r="D6" connectionId="0">
    <xmlCellPr id="1" xr6:uid="{8B86ED9F-1DCD-4AF3-9F69-B8037B9A4C93}" uniqueName="Front_Passenger">
      <xmlPr mapId="7" xpath="/MAKE/COP/COPVehicleBased/Eligibility/Provision_of_three_point_belts/@Front_Passenger" xmlDataType="string"/>
    </xmlCellPr>
  </singleXmlCell>
  <singleXmlCell id="3925" xr6:uid="{853A9A3F-423E-4026-9CF5-E225E04BA5F9}" r="E6" connectionId="0">
    <xmlCellPr id="1" xr6:uid="{C2066979-4505-40E7-9BAD-F983D781B17D}" uniqueName="Row2_Left">
      <xmlPr mapId="7" xpath="/MAKE/COP/COPVehicleBased/Eligibility/Provision_of_three_point_belts/@Row2_Left" xmlDataType="string"/>
    </xmlCellPr>
  </singleXmlCell>
  <singleXmlCell id="3927" xr6:uid="{ADCABAF6-CBCC-4ED8-BF10-3270D70F7BD7}" r="F6" connectionId="0">
    <xmlCellPr id="1" xr6:uid="{F03FBCE5-77E5-4DD0-8C21-20454E032B9D}" uniqueName="Row2_Centre">
      <xmlPr mapId="7" xpath="/MAKE/COP/COPVehicleBased/Eligibility/Provision_of_three_point_belts/@Row2_Centre" xmlDataType="string"/>
    </xmlCellPr>
  </singleXmlCell>
  <singleXmlCell id="3928" xr6:uid="{B875F9A6-6935-4C88-B38C-0FAA379DFBA0}" r="G6" connectionId="0">
    <xmlCellPr id="1" xr6:uid="{D8C5DEEB-45A5-4AA1-8257-47537B768510}" uniqueName="Row2_Right">
      <xmlPr mapId="7" xpath="/MAKE/COP/COPVehicleBased/Eligibility/Provision_of_three_point_belts/@Row2_Right" xmlDataType="string"/>
    </xmlCellPr>
  </singleXmlCell>
  <singleXmlCell id="3929" xr6:uid="{C0E3A58B-E5F8-4F08-B245-272C1076CB4F}" r="H6" connectionId="0">
    <xmlCellPr id="1" xr6:uid="{FA5E7ED8-CB3A-4474-98C8-B569049D658E}" uniqueName="Row3_Left">
      <xmlPr mapId="7" xpath="/MAKE/COP/COPVehicleBased/Eligibility/Provision_of_three_point_belts/@Row3_Left" xmlDataType="string"/>
    </xmlCellPr>
  </singleXmlCell>
  <singleXmlCell id="3931" xr6:uid="{5DF907F3-9DC5-439B-ACDB-CE9226ADDB26}" r="I6" connectionId="0">
    <xmlCellPr id="1" xr6:uid="{C58FF60D-596B-4EC4-9161-2B02468F714C}" uniqueName="Row3_Centre">
      <xmlPr mapId="7" xpath="/MAKE/COP/COPVehicleBased/Eligibility/Provision_of_three_point_belts/@Row3_Centre" xmlDataType="string"/>
    </xmlCellPr>
  </singleXmlCell>
  <singleXmlCell id="3932" xr6:uid="{3179E46E-74B4-4E79-A412-496E9EDBA109}" r="J6" connectionId="0">
    <xmlCellPr id="1" xr6:uid="{0FFD5BDE-B957-47F2-8E5E-7DBF9D40F382}" uniqueName="Row3_Right">
      <xmlPr mapId="7" xpath="/MAKE/COP/COPVehicleBased/Eligibility/Provision_of_three_point_belts/@Row3_Right" xmlDataType="string"/>
    </xmlCellPr>
  </singleXmlCell>
  <singleXmlCell id="3933" xr6:uid="{C98ABCCD-4FD3-4C8D-8795-D8205EB1B2F6}" r="D17" connectionId="0">
    <xmlCellPr id="1" xr6:uid="{D374AA71-DC1B-4A28-B904-EFEFD3A13651}" uniqueName="Score">
      <xmlPr mapId="7" xpath="/MAKE/COP/COPVehicleBased/Gabarit_Installation/@Score" xmlDataType="decimal"/>
    </xmlCellPr>
  </singleXmlCell>
  <singleXmlCell id="3935" xr6:uid="{181FDC0F-4C86-4CD1-BF0F-2CD39040252E}" r="D16" connectionId="0">
    <xmlCellPr id="1" xr6:uid="{BB524615-C396-43EC-AF83-4AC6553EF57A}" uniqueName="Front_Passenger">
      <xmlPr mapId="7" xpath="/MAKE/COP/COPVehicleBased/Gabarit_Installation/Gabarit_Installation/@Front_Passenger" xmlDataType="string"/>
    </xmlCellPr>
  </singleXmlCell>
  <singleXmlCell id="3936" xr6:uid="{4B2C0156-22D0-408C-ABAA-9D78471F8F7B}" r="E16" connectionId="0">
    <xmlCellPr id="1" xr6:uid="{DFECF561-F6DD-41B1-8251-2F0D64062380}" uniqueName="Row2_Left">
      <xmlPr mapId="7" xpath="/MAKE/COP/COPVehicleBased/Gabarit_Installation/Gabarit_Installation/@Row2_Left" xmlDataType="string"/>
    </xmlCellPr>
  </singleXmlCell>
  <singleXmlCell id="3937" xr6:uid="{1876D875-DBCC-40E3-94C4-F2527EF724B8}" r="F16" connectionId="0">
    <xmlCellPr id="1" xr6:uid="{DAEF9478-8F9C-483F-9BCE-7D330FDF0BA1}" uniqueName="Row2_Centre">
      <xmlPr mapId="7" xpath="/MAKE/COP/COPVehicleBased/Gabarit_Installation/Gabarit_Installation/@Row2_Centre" xmlDataType="string"/>
    </xmlCellPr>
  </singleXmlCell>
  <singleXmlCell id="3966" xr6:uid="{B0E4F143-ED5B-458B-A71B-534082E12A2C}" r="G16" connectionId="0">
    <xmlCellPr id="1" xr6:uid="{0709C04F-E3C8-48FE-A1F3-81029DB930F9}" uniqueName="Row2_Right">
      <xmlPr mapId="7" xpath="/MAKE/COP/COPVehicleBased/Gabarit_Installation/Gabarit_Installation/@Row2_Right" xmlDataType="string"/>
    </xmlCellPr>
  </singleXmlCell>
  <singleXmlCell id="3967" xr6:uid="{C9D848BE-D63F-4F2A-8CBC-C01A1855BCE7}" r="H16" connectionId="0">
    <xmlCellPr id="1" xr6:uid="{FBA8C304-17B3-4245-A091-FFB6AA98E324}" uniqueName="Row3_Left">
      <xmlPr mapId="7" xpath="/MAKE/COP/COPVehicleBased/Gabarit_Installation/Gabarit_Installation/@Row3_Left" xmlDataType="string"/>
    </xmlCellPr>
  </singleXmlCell>
  <singleXmlCell id="3970" xr6:uid="{6FA9B730-A2E4-4792-B248-75E663BABB02}" r="I16" connectionId="0">
    <xmlCellPr id="1" xr6:uid="{E9070346-6355-41B8-A622-2007FEBA47C0}" uniqueName="Row3_Centre">
      <xmlPr mapId="7" xpath="/MAKE/COP/COPVehicleBased/Gabarit_Installation/Gabarit_Installation/@Row3_Centre" xmlDataType="string"/>
    </xmlCellPr>
  </singleXmlCell>
  <singleXmlCell id="3971" xr6:uid="{AE7505D1-0E5D-4302-996E-5653DC0FE781}" r="J16" connectionId="0">
    <xmlCellPr id="1" xr6:uid="{FB192278-FCAB-451B-B62F-6F436BB65438}" uniqueName="Row3_Right">
      <xmlPr mapId="7" xpath="/MAKE/COP/COPVehicleBased/Gabarit_Installation/Gabarit_Installation/@Row3_Right" xmlDataType="string"/>
    </xmlCellPr>
  </singleXmlCell>
  <singleXmlCell id="4016" xr6:uid="{249BC56D-FC1C-41D8-AAEA-4D4F50D00F3F}" r="D30" connectionId="0">
    <xmlCellPr id="1" xr6:uid="{D3A0CCFB-65C8-42CA-BC02-D5F25EB1F658}" uniqueName="Front_Passenger">
      <xmlPr mapId="7" xpath="/MAKE/COP/COPVehicleBased/Passenger_Airbag_Disabling/Manual_airbag_disabling_switch/@Front_Passenger" xmlDataType="string"/>
    </xmlCellPr>
  </singleXmlCell>
  <singleXmlCell id="4017" xr6:uid="{91844C31-BB40-4DBA-A2DE-9558EB65054D}" r="D32" connectionId="0">
    <xmlCellPr id="1" xr6:uid="{A07C9564-5FB9-4AC3-8285-78AC79F92CFF}" uniqueName="Score">
      <xmlPr mapId="7" xpath="/MAKE/COP/COPVehicleBased/Passenger_Airbag_Disabling/@Score" xmlDataType="decimal"/>
    </xmlCellPr>
  </singleXmlCell>
  <singleXmlCell id="4020" xr6:uid="{027ED74B-54BA-401F-A1D2-256F7F4522E8}" r="D31" connectionId="0">
    <xmlCellPr id="1" xr6:uid="{5FEFCCDD-3722-4710-B4AE-7D7D4B35DC3C}" uniqueName="Front_Passenger">
      <xmlPr mapId="7" xpath="/MAKE/COP/COPVehicleBased/Passenger_Airbag_Disabling/Automatic_airbag_disabling_switch/@Front_Passenger" xmlDataType="string"/>
    </xmlCellPr>
  </singleXmlCell>
  <singleXmlCell id="3783" xr6:uid="{8CBF7997-0E20-4528-96D0-1C7CABE0A41F}" r="D7" connectionId="0">
    <xmlCellPr id="1" xr6:uid="{2DA9EACC-3C74-47B0-AFE7-9B64A6902173}" uniqueName="Front_Passenger">
      <xmlPr mapId="7" xpath="/MAKE/COP/COPVehicleBased/Eligibility/Inflatable_Rear_Airbag/@Front_Passenger" xmlDataType="string"/>
    </xmlCellPr>
  </singleXmlCell>
  <singleXmlCell id="3835" xr6:uid="{F0BA9FAD-2085-4347-8EDE-9F33731589F9}" r="E7" connectionId="0">
    <xmlCellPr id="1" xr6:uid="{1F50DAB4-9804-47B5-9D27-3483CF85C7F0}" uniqueName="Row2_Left">
      <xmlPr mapId="7" xpath="/MAKE/COP/COPVehicleBased/Eligibility/Inflatable_Rear_Airbag/@Row2_Left" xmlDataType="string"/>
    </xmlCellPr>
  </singleXmlCell>
  <singleXmlCell id="3836" xr6:uid="{F7568D98-6D1F-4393-92D1-57B4D478F5A8}" r="F7" connectionId="0">
    <xmlCellPr id="1" xr6:uid="{0318E389-A038-402D-8636-3D77CF63FEC8}" uniqueName="Row2_Centre">
      <xmlPr mapId="7" xpath="/MAKE/COP/COPVehicleBased/Eligibility/Inflatable_Rear_Airbag/@Row2_Centre" xmlDataType="string"/>
    </xmlCellPr>
  </singleXmlCell>
  <singleXmlCell id="3915" xr6:uid="{4AE9855F-1C2D-4E76-9C88-650640B31F2F}" r="G7" connectionId="0">
    <xmlCellPr id="1" xr6:uid="{FC854C3E-3EFE-4C74-8A80-5BD054EE814B}" uniqueName="Row2_Right">
      <xmlPr mapId="7" xpath="/MAKE/COP/COPVehicleBased/Eligibility/Inflatable_Rear_Airbag/@Row2_Right" xmlDataType="string"/>
    </xmlCellPr>
  </singleXmlCell>
  <singleXmlCell id="3916" xr6:uid="{0BD62251-C1FC-4B6F-A0EC-8DE749562CA2}" r="H7" connectionId="0">
    <xmlCellPr id="1" xr6:uid="{4F0897CD-F323-4413-8A44-CBD77CC6A4CB}" uniqueName="Row3_Left">
      <xmlPr mapId="7" xpath="/MAKE/COP/COPVehicleBased/Eligibility/Inflatable_Rear_Airbag/@Row3_Left" xmlDataType="string"/>
    </xmlCellPr>
  </singleXmlCell>
  <singleXmlCell id="3917" xr6:uid="{27DE21A5-B243-43D3-9DCB-BC3DC2EB617A}" r="I7" connectionId="0">
    <xmlCellPr id="1" xr6:uid="{395FBF04-B6C5-401B-A42F-61F1F7646B0C}" uniqueName="Row3_Centre">
      <xmlPr mapId="7" xpath="/MAKE/COP/COPVehicleBased/Eligibility/Inflatable_Rear_Airbag/@Row3_Centre" xmlDataType="string"/>
    </xmlCellPr>
  </singleXmlCell>
  <singleXmlCell id="3919" xr6:uid="{2A2832E6-F02C-41A5-B1AF-FF0C3570AAB3}" r="J7" connectionId="0">
    <xmlCellPr id="1" xr6:uid="{7D40C92E-359E-4CD4-BD39-60D1402380D8}" uniqueName="Row3_Right">
      <xmlPr mapId="7" xpath="/MAKE/COP/COPVehicleBased/Eligibility/Inflatable_Rear_Airbag/@Row3_Right" xmlDataType="string"/>
    </xmlCellPr>
  </singleXmlCell>
  <singleXmlCell id="3920" xr6:uid="{0D545D13-AE0D-48C9-B441-1A286C96758E}" r="D10" connectionId="0">
    <xmlCellPr id="1" xr6:uid="{F670CD01-B35D-44DB-B938-C6D3FC027634}" uniqueName="OEM_Website_Data_provided">
      <xmlPr mapId="7" xpath="/MAKE/COP/COPVehicleBased/Eligibility/OEM_Website_Data_provided" xmlDataType="string"/>
    </xmlCellPr>
  </singleXmlCell>
  <singleXmlCell id="3921" xr6:uid="{7042983D-896C-4FB4-AA7E-B800D4C618F3}" r="D12" connectionId="0">
    <xmlCellPr id="1" xr6:uid="{8A935842-6B80-45A7-A6ED-226DF1F2F7C3}" uniqueName="Handbook_R16_Compliant">
      <xmlPr mapId="7" xpath="/MAKE/COP/COPVehicleBased/Eligibility/Handbook_R16_Compliant" xmlDataType="string"/>
    </xmlCellPr>
  </singleXmlCell>
  <singleXmlCell id="3923" xr6:uid="{6BE012DA-0D65-48F2-907E-149A259E7894}" r="D27" connectionId="0">
    <xmlCellPr id="1" xr6:uid="{74F4E54A-F465-4E36-A7DF-923C62FC2B69}" uniqueName="Score">
      <xmlPr mapId="7" xpath="/MAKE/COP/COPVehicleBased/iSize_and_Top_Tether_Marking/@Score" xmlDataType="decimal"/>
    </xmlCellPr>
  </singleXmlCell>
  <singleXmlCell id="3972" xr6:uid="{12B70936-0517-4352-8536-ABEF188609AD}" r="D20" connectionId="0">
    <xmlCellPr id="1" xr6:uid="{B04ECE78-D25A-408B-9D72-9E956E219440}" uniqueName="Front_Passenger">
      <xmlPr mapId="7" xpath="/MAKE/COP/COPVehicleBased/iSize_and_Top_Tether_Marking/iSize_Marking/@Front_Passenger" xmlDataType="string"/>
    </xmlCellPr>
  </singleXmlCell>
  <singleXmlCell id="3973" xr6:uid="{7CE02376-570C-4E9D-930A-90910970DE92}" r="E20" connectionId="0">
    <xmlCellPr id="1" xr6:uid="{6A3A68B9-5E67-4AA5-AEB9-E99D0C2595C1}" uniqueName="Row2_Left">
      <xmlPr mapId="7" xpath="/MAKE/COP/COPVehicleBased/iSize_and_Top_Tether_Marking/iSize_Marking/@Row2_Left" xmlDataType="string"/>
    </xmlCellPr>
  </singleXmlCell>
  <singleXmlCell id="3976" xr6:uid="{B219795F-8596-43EB-A174-6772DE2F0346}" r="F20" connectionId="0">
    <xmlCellPr id="1" xr6:uid="{4968B77E-B1E4-49CD-8AE0-AD8906313597}" uniqueName="Row2_Centre">
      <xmlPr mapId="7" xpath="/MAKE/COP/COPVehicleBased/iSize_and_Top_Tether_Marking/iSize_Marking/@Row2_Centre" xmlDataType="string"/>
    </xmlCellPr>
  </singleXmlCell>
  <singleXmlCell id="3977" xr6:uid="{4B54F438-E844-44A3-AA79-FBA39D28472A}" r="G20" connectionId="0">
    <xmlCellPr id="1" xr6:uid="{F75891CC-4875-4C0B-8401-57CBA3D5681C}" uniqueName="Row2_Right">
      <xmlPr mapId="7" xpath="/MAKE/COP/COPVehicleBased/iSize_and_Top_Tether_Marking/iSize_Marking/@Row2_Right" xmlDataType="string"/>
    </xmlCellPr>
  </singleXmlCell>
  <singleXmlCell id="3980" xr6:uid="{83458E9B-3B2E-4123-8573-6703BC7C0380}" r="H20" connectionId="0">
    <xmlCellPr id="1" xr6:uid="{08500EA4-D654-4F3C-AD31-1CD2157FB206}" uniqueName="Row3_Left">
      <xmlPr mapId="7" xpath="/MAKE/COP/COPVehicleBased/iSize_and_Top_Tether_Marking/iSize_Marking/@Row3_Left" xmlDataType="string"/>
    </xmlCellPr>
  </singleXmlCell>
  <singleXmlCell id="3981" xr6:uid="{EBC6EA43-7D68-481C-B242-F9551982DB77}" r="I20" connectionId="0">
    <xmlCellPr id="1" xr6:uid="{8E0FE600-A5EF-43FE-980B-E1AD648C18DC}" uniqueName="Row3_Centre">
      <xmlPr mapId="7" xpath="/MAKE/COP/COPVehicleBased/iSize_and_Top_Tether_Marking/iSize_Marking/@Row3_Centre" xmlDataType="string"/>
    </xmlCellPr>
  </singleXmlCell>
  <singleXmlCell id="3984" xr6:uid="{51779D8C-408B-46F5-A2DC-7C792AE51C22}" r="J20" connectionId="0">
    <xmlCellPr id="1" xr6:uid="{5CA9BA17-4159-4B71-99D1-D03453FDB62A}" uniqueName="Row3_Right">
      <xmlPr mapId="7" xpath="/MAKE/COP/COPVehicleBased/iSize_and_Top_Tether_Marking/iSize_Marking/@Row3_Right" xmlDataType="string"/>
    </xmlCellPr>
  </singleXmlCell>
  <singleXmlCell id="3985" xr6:uid="{F39FD481-0812-4FFB-AE66-BC59097268FC}" r="D21" connectionId="0">
    <xmlCellPr id="1" xr6:uid="{22CF7C02-B91E-46D5-8DF3-8F4A18BEF403}" uniqueName="Front_Passenger">
      <xmlPr mapId="7" xpath="/MAKE/COP/COPVehicleBased/iSize_and_Top_Tether_Marking/iSize_Availability/@Front_Passenger" xmlDataType="string"/>
    </xmlCellPr>
  </singleXmlCell>
  <singleXmlCell id="3988" xr6:uid="{72F626A2-6AE8-4FD3-8E07-F1BAC31C01B8}" r="E21" connectionId="0">
    <xmlCellPr id="1" xr6:uid="{9557B0B6-36AF-46CB-9B6C-1BFCB8271B48}" uniqueName="Row2_Left">
      <xmlPr mapId="7" xpath="/MAKE/COP/COPVehicleBased/iSize_and_Top_Tether_Marking/iSize_Availability/@Row2_Left" xmlDataType="string"/>
    </xmlCellPr>
  </singleXmlCell>
  <singleXmlCell id="3989" xr6:uid="{82806AC6-C188-48E7-8470-1D65DE91FBB0}" r="F21" connectionId="0">
    <xmlCellPr id="1" xr6:uid="{CC639661-882B-4794-B4CA-7125E7FF57E3}" uniqueName="Row2_Centre">
      <xmlPr mapId="7" xpath="/MAKE/COP/COPVehicleBased/iSize_and_Top_Tether_Marking/iSize_Availability/@Row2_Centre" xmlDataType="string"/>
    </xmlCellPr>
  </singleXmlCell>
  <singleXmlCell id="3992" xr6:uid="{1CE6F357-294B-4CE8-B790-6867A09429A1}" r="G21" connectionId="0">
    <xmlCellPr id="1" xr6:uid="{6B521F38-EF2D-4F99-B380-904624387737}" uniqueName="Row2_Right">
      <xmlPr mapId="7" xpath="/MAKE/COP/COPVehicleBased/iSize_and_Top_Tether_Marking/iSize_Availability/@Row2_Right" xmlDataType="string"/>
    </xmlCellPr>
  </singleXmlCell>
  <singleXmlCell id="3993" xr6:uid="{45C308C0-DC84-42FD-A889-8AA780E802BD}" r="H21" connectionId="0">
    <xmlCellPr id="1" xr6:uid="{755DF562-267C-412A-B451-F1B203C741B9}" uniqueName="Row3_Left">
      <xmlPr mapId="7" xpath="/MAKE/COP/COPVehicleBased/iSize_and_Top_Tether_Marking/iSize_Availability/@Row3_Left" xmlDataType="string"/>
    </xmlCellPr>
  </singleXmlCell>
  <singleXmlCell id="3996" xr6:uid="{55B782F6-20BD-474F-B523-AC8C8F21F423}" r="I21" connectionId="0">
    <xmlCellPr id="1" xr6:uid="{D8C1CBC3-8144-4BD9-9B47-CB69F6507454}" uniqueName="Row3_Centre">
      <xmlPr mapId="7" xpath="/MAKE/COP/COPVehicleBased/iSize_and_Top_Tether_Marking/iSize_Availability/@Row3_Centre" xmlDataType="string"/>
    </xmlCellPr>
  </singleXmlCell>
  <singleXmlCell id="3997" xr6:uid="{E7D2DF7B-C38A-440D-BF31-E995111EFA1A}" r="J21" connectionId="0">
    <xmlCellPr id="1" xr6:uid="{B2BD764C-EB07-40E3-AB4D-8CE256377796}" uniqueName="Row3_Right">
      <xmlPr mapId="7" xpath="/MAKE/COP/COPVehicleBased/iSize_and_Top_Tether_Marking/iSize_Availability/@Row3_Right" xmlDataType="string"/>
    </xmlCellPr>
  </singleXmlCell>
  <singleXmlCell id="4000" xr6:uid="{88AA954D-83B2-440C-8EFF-947D4ED9F62C}" r="D23" connectionId="0">
    <xmlCellPr id="1" xr6:uid="{ABB276E3-394A-45EB-95FE-02346F664880}" uniqueName="i-Size_Availability_Score">
      <xmlPr mapId="7" xpath="/MAKE/COP/COPVehicleBased/iSize_and_Top_Tether_Marking/i-Size_Availability_Score" xmlDataType="decimal"/>
    </xmlCellPr>
  </singleXmlCell>
  <singleXmlCell id="4025" xr6:uid="{32DE6FF5-EF0D-46BA-AF98-26C1B80025D8}" r="D43" connectionId="0">
    <xmlCellPr id="1" xr6:uid="{7BAF188D-2CB5-4BD8-8771-4930F72DC6D5}" uniqueName="Score">
      <xmlPr mapId="7" xpath="/MAKE/COP/COPVehicleBased/Child_Presence_Detection/@Score" xmlDataType="decimal"/>
    </xmlCellPr>
  </singleXmlCell>
  <singleXmlCell id="4028" xr6:uid="{9033DA5B-DC83-4620-8E05-88081492C9E4}" r="D35" connectionId="0">
    <xmlCellPr id="1" xr6:uid="{EB89FB80-2A31-46AF-8E4F-27081FAAD3DF}" uniqueName="Sensing_Type">
      <xmlPr mapId="7" xpath="/MAKE/COP/COPVehicleBased/Child_Presence_Detection/Sensing_Type" xmlDataType="string"/>
    </xmlCellPr>
  </singleXmlCell>
  <singleXmlCell id="4029" xr6:uid="{88095ED2-CDCB-4589-B806-2B204D2647A4}" r="D36" connectionId="0">
    <xmlCellPr id="1" xr6:uid="{9F16609F-4310-46F9-9C4F-15B91DFD1D8B}" uniqueName="Alert_Warning_Intervene">
      <xmlPr mapId="7" xpath="/MAKE/COP/COPVehicleBased/Child_Presence_Detection/Alert_Warning_Intervene" xmlDataType="string"/>
    </xmlCellPr>
  </singleXmlCell>
  <singleXmlCell id="4032" xr6:uid="{1EA4D7B0-F5C6-41AA-B76B-BF9B28E86A07}" r="D37" connectionId="0">
    <xmlCellPr id="1" xr6:uid="{16A2FB9F-6053-4D81-A29A-A2D373C1BCF9}" uniqueName="Coverage">
      <xmlPr mapId="7" xpath="/MAKE/COP/COPVehicleBased/Child_Presence_Detection/Coverage" xmlDataType="string"/>
    </xmlCellPr>
  </singleXmlCell>
  <singleXmlCell id="4033" xr6:uid="{BE1EF101-52DD-47FC-9F12-0527D83FC7A0}" r="D38" connectionId="0">
    <xmlCellPr id="1" xr6:uid="{8AAB468E-59DE-4842-91F0-8C7414776B24}" uniqueName="Scenarios_Covered">
      <xmlPr mapId="7" xpath="/MAKE/COP/COPVehicleBased/Child_Presence_Detection/Scenarios_Covered" xmlDataType="string"/>
    </xmlCellPr>
  </singleXmlCell>
  <singleXmlCell id="4036" xr6:uid="{671F96AC-D44B-4B5A-831F-0BEF12BD83FA}" r="D39" connectionId="0">
    <xmlCellPr id="1" xr6:uid="{66441C3B-32D6-4386-9300-41D7A4699985}" uniqueName="Occ_Space_Coverage">
      <xmlPr mapId="7" xpath="/MAKE/COP/COPVehicleBased/Child_Presence_Detection/Occ_Space_Coverage" xmlDataType="string"/>
    </xmlCellPr>
  </singleXmlCell>
  <singleXmlCell id="4037" xr6:uid="{606A52D0-951A-4387-BC80-979FB68A220B}" r="D40" connectionId="0">
    <xmlCellPr id="1" xr6:uid="{BE75A649-8C5F-4002-BBF7-4F951266B462}" uniqueName="System_Functionality">
      <xmlPr mapId="7" xpath="/MAKE/COP/COPVehicleBased/Child_Presence_Detection/System_Functionality" xmlDataType="string"/>
    </xmlCellPr>
  </singleXmlCell>
  <singleXmlCell id="4040" xr6:uid="{5903E77A-A91E-410B-809F-279DFD32853B}" r="D41" connectionId="0">
    <xmlCellPr id="1" xr6:uid="{C81972CA-3A2C-4D08-B4BB-BE438E2E69B9}" uniqueName="Warning_Intervention_Check">
      <xmlPr mapId="7" xpath="/MAKE/COP/COPVehicleBased/Child_Presence_Detection/Warning_Intervention_Check" xmlDataType="string"/>
    </xmlCellPr>
  </singleXmlCell>
  <singleXmlCell id="4001" xr6:uid="{1143BCD4-0442-43E0-87E0-A0054BADDB2B}" r="D24" connectionId="0">
    <xmlCellPr id="1" xr6:uid="{BFB22282-6A28-4BA3-B5B0-88BE8B7579D4}" uniqueName="Front_Passenger">
      <xmlPr mapId="7" xpath="/MAKE/COP/COPVehicleBased/iSize_and_Top_Tether_Marking/Install_ISOR3/@Front_Passenger" xmlDataType="string"/>
    </xmlCellPr>
  </singleXmlCell>
  <singleXmlCell id="4004" xr6:uid="{F68842DA-BD86-4B60-A4CA-54EEE5C382ED}" r="E24" connectionId="0">
    <xmlCellPr id="1" xr6:uid="{D68213BB-D47A-4D8F-B8C4-AA0572CC5F8F}" uniqueName="Row2_Left">
      <xmlPr mapId="7" xpath="/MAKE/COP/COPVehicleBased/iSize_and_Top_Tether_Marking/Install_ISOR3/@Row2_Left" xmlDataType="string"/>
    </xmlCellPr>
  </singleXmlCell>
  <singleXmlCell id="4005" xr6:uid="{5F560D81-C608-4EBB-A5D5-EEAE5A57598A}" r="F24" connectionId="0">
    <xmlCellPr id="1" xr6:uid="{6E5D7E20-1F4E-4669-ACDC-F92FD14F733B}" uniqueName="Row2_Centre">
      <xmlPr mapId="7" xpath="/MAKE/COP/COPVehicleBased/iSize_and_Top_Tether_Marking/Install_ISOR3/@Row2_Centre" xmlDataType="string"/>
    </xmlCellPr>
  </singleXmlCell>
  <singleXmlCell id="4008" xr6:uid="{8CA187D9-53D5-422A-9AC8-EA8B8DA28761}" r="G24" connectionId="0">
    <xmlCellPr id="1" xr6:uid="{3CAAF0AF-DD65-44C8-8208-B6CEF694B1C4}" uniqueName="Row2_Right">
      <xmlPr mapId="7" xpath="/MAKE/COP/COPVehicleBased/iSize_and_Top_Tether_Marking/Install_ISOR3/@Row2_Right" xmlDataType="string"/>
    </xmlCellPr>
  </singleXmlCell>
  <singleXmlCell id="4009" xr6:uid="{16FD88E8-1E55-4C3E-9763-A9E9A1A47B02}" r="H24" connectionId="0">
    <xmlCellPr id="1" xr6:uid="{7535D34F-2B89-4DC0-9388-98C4D02AAFE4}" uniqueName="Row3_Left">
      <xmlPr mapId="7" xpath="/MAKE/COP/COPVehicleBased/iSize_and_Top_Tether_Marking/Install_ISOR3/@Row3_Left" xmlDataType="string"/>
    </xmlCellPr>
  </singleXmlCell>
  <singleXmlCell id="4012" xr6:uid="{9CBE4AA7-D694-4B31-8D82-E406D81EB67F}" r="I24" connectionId="0">
    <xmlCellPr id="1" xr6:uid="{66BC846C-B591-4CDA-BEB6-950D6E64EEBB}" uniqueName="Row3_Centre">
      <xmlPr mapId="7" xpath="/MAKE/COP/COPVehicleBased/iSize_and_Top_Tether_Marking/Install_ISOR3/@Row3_Centre" xmlDataType="string"/>
    </xmlCellPr>
  </singleXmlCell>
  <singleXmlCell id="4013" xr6:uid="{BB1D13D1-56B5-4060-9368-32299BD4A38F}" r="J24" connectionId="0">
    <xmlCellPr id="1" xr6:uid="{ADF6A4F0-401E-440B-80ED-B50AA91F7B37}" uniqueName="Row3_Right">
      <xmlPr mapId="7" xpath="/MAKE/COP/COPVehicleBased/iSize_and_Top_Tether_Marking/Install_ISOR3/@Row3_Right" xmlDataType="string"/>
    </xmlCellPr>
  </singleXmlCell>
  <singleXmlCell id="4021" xr6:uid="{FF085DE4-D74D-46ED-9655-CFB9656F69DC}" r="D26" connectionId="0">
    <xmlCellPr id="1" xr6:uid="{60246B23-4367-462A-804A-36F334184389}" uniqueName="Three_or_more_iSize">
      <xmlPr mapId="7" xpath="/MAKE/COP/COPVehicleBased/iSize_and_Top_Tether_Marking/Three_or_more_iSize" xmlDataType="decimal"/>
    </xmlCellPr>
  </singleXmlCell>
</singleXmlCells>
</file>

<file path=xl/tables/tableSingleCells12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4044" xr6:uid="{0451F82C-E76C-4B81-87B3-E081575C74F4}" r="H25" connectionId="0">
    <xmlCellPr id="1" xr6:uid="{2F017048-1CEE-4CE4-9EB7-14382DD49AF3}" uniqueName="Total">
      <xmlPr mapId="7" xpath="/MAKE/COP/COPCRSInstallation/@Total" xmlDataType="decimal"/>
    </xmlCellPr>
  </singleXmlCell>
  <singleXmlCell id="4075" xr6:uid="{2CDBF73C-5A05-438E-87DD-549CB9CD5E5A}" r="H5" connectionId="0">
    <xmlCellPr id="1" xr6:uid="{6710A297-B684-411F-9014-EC786354B88C}" uniqueName="Row1_L">
      <xmlPr mapId="7" xpath="/MAKE/COP/COPCRSInstallation/Vehicle_Provisions/@Row1_L" xmlDataType="string"/>
    </xmlCellPr>
  </singleXmlCell>
  <singleXmlCell id="4076" xr6:uid="{BAB13894-A8C5-4AB2-B387-90D9B6221D3A}" r="I5" connectionId="0">
    <xmlCellPr id="1" xr6:uid="{7436EFD4-477E-45D2-87C8-6030D568D1E5}" uniqueName="Row1_C">
      <xmlPr mapId="7" xpath="/MAKE/COP/COPCRSInstallation/Vehicle_Provisions/@Row1_C" xmlDataType="string"/>
    </xmlCellPr>
  </singleXmlCell>
  <singleXmlCell id="4077" xr6:uid="{48CCD4FD-42B7-4441-8FCB-14E4F8F2657A}" r="J5" connectionId="0">
    <xmlCellPr id="1" xr6:uid="{78A0451D-609F-4326-A724-4B6E3DCD187F}" uniqueName="Row1_R">
      <xmlPr mapId="7" xpath="/MAKE/COP/COPCRSInstallation/Vehicle_Provisions/@Row1_R" xmlDataType="string"/>
    </xmlCellPr>
  </singleXmlCell>
  <singleXmlCell id="4078" xr6:uid="{25B27332-FB1D-40D5-880A-3C5B6ED51DAC}" r="K5" connectionId="0">
    <xmlCellPr id="1" xr6:uid="{6F490DC5-5165-42C1-BFD1-ACEFB96C5CF3}" uniqueName="Row2_L">
      <xmlPr mapId="7" xpath="/MAKE/COP/COPCRSInstallation/Vehicle_Provisions/@Row2_L" xmlDataType="string"/>
    </xmlCellPr>
  </singleXmlCell>
  <singleXmlCell id="4079" xr6:uid="{506F8043-49DE-4FC8-BB52-E2C4F995EF30}" r="L5" connectionId="0">
    <xmlCellPr id="1" xr6:uid="{82157BDB-722A-4EF1-91B7-382AD3033070}" uniqueName="Row2_C">
      <xmlPr mapId="7" xpath="/MAKE/COP/COPCRSInstallation/Vehicle_Provisions/@Row2_C" xmlDataType="string"/>
    </xmlCellPr>
  </singleXmlCell>
  <singleXmlCell id="4080" xr6:uid="{B2FD9356-3505-47E6-96C4-6F10FE4611B0}" r="M5" connectionId="0">
    <xmlCellPr id="1" xr6:uid="{49A2C693-2053-4E1B-AC31-4D49986AA9B2}" uniqueName="Row2_R">
      <xmlPr mapId="7" xpath="/MAKE/COP/COPCRSInstallation/Vehicle_Provisions/@Row2_R" xmlDataType="string"/>
    </xmlCellPr>
  </singleXmlCell>
  <singleXmlCell id="4081" xr6:uid="{8EE48F70-FFBF-4DC4-9E96-FB8D9C2A58E0}" r="N5" connectionId="0">
    <xmlCellPr id="1" xr6:uid="{5BC4D253-E976-4023-B814-2F10BE0860EB}" uniqueName="Row3_L">
      <xmlPr mapId="7" xpath="/MAKE/COP/COPCRSInstallation/Vehicle_Provisions/@Row3_L" xmlDataType="string"/>
    </xmlCellPr>
  </singleXmlCell>
  <singleXmlCell id="4082" xr6:uid="{D53B235A-4C73-4116-8314-4CE1F13B3A12}" r="O5" connectionId="0">
    <xmlCellPr id="1" xr6:uid="{32C3E40B-EFCC-45CF-A05F-C8FAB915A78E}" uniqueName="Row3_C">
      <xmlPr mapId="7" xpath="/MAKE/COP/COPCRSInstallation/Vehicle_Provisions/@Row3_C" xmlDataType="string"/>
    </xmlCellPr>
  </singleXmlCell>
  <singleXmlCell id="4083" xr6:uid="{1F078F2E-17DF-4EA0-B764-9C32C4020523}" r="P5" connectionId="0">
    <xmlCellPr id="1" xr6:uid="{5AF92E95-DC50-465C-A16B-7D9746EC7BCE}" uniqueName="Row3_R">
      <xmlPr mapId="7" xpath="/MAKE/COP/COPCRSInstallation/Vehicle_Provisions/@Row3_R" xmlDataType="string"/>
    </xmlCellPr>
  </singleXmlCell>
  <singleXmlCell id="4084" xr6:uid="{02A07129-F5B2-4E39-958F-D1FF4BDCCCA7}" r="C6" connectionId="0">
    <xmlCellPr id="1" xr6:uid="{4EADB253-D905-4B48-9A7A-F5BB705B5941}" uniqueName="Stature">
      <xmlPr mapId="7" xpath="/MAKE/COP/COPCRSInstallation/CRS_1/@Stature" xmlDataType="string"/>
    </xmlCellPr>
  </singleXmlCell>
  <singleXmlCell id="4085" xr6:uid="{AA27AB5F-4554-4E67-9354-A21C001F4185}" r="D6" connectionId="0">
    <xmlCellPr id="1" xr6:uid="{A913E61E-5FFE-47C2-A27F-77CCD410752A}" uniqueName="Name">
      <xmlPr mapId="7" xpath="/MAKE/COP/COPCRSInstallation/CRS_1/@Name" xmlDataType="string"/>
    </xmlCellPr>
  </singleXmlCell>
  <singleXmlCell id="4086" xr6:uid="{7013FBCE-FABF-4259-B060-1C1A1EC80D17}" r="F6" connectionId="0">
    <xmlCellPr id="1" xr6:uid="{375A83E1-ADEF-4F2A-876F-D3215D902EFA}" uniqueName="Type_Code">
      <xmlPr mapId="7" xpath="/MAKE/COP/COPCRSInstallation/CRS_1/@Type_Code" xmlDataType="string"/>
    </xmlCellPr>
  </singleXmlCell>
  <singleXmlCell id="4087" xr6:uid="{54A4776C-E87D-4E24-95A9-A51D0809A550}" r="G6" connectionId="0">
    <xmlCellPr id="1" xr6:uid="{6E9A13B9-82B9-46EC-949C-CC5FC1469C43}" uniqueName="Size">
      <xmlPr mapId="7" xpath="/MAKE/COP/COPCRSInstallation/CRS_1/@Size" xmlDataType="string"/>
    </xmlCellPr>
  </singleXmlCell>
  <singleXmlCell id="4088" xr6:uid="{F2391836-6D57-4D03-B838-674D9A8AB843}" r="H6" connectionId="0">
    <xmlCellPr id="1" xr6:uid="{D8A58C86-ABAD-451D-81AF-E96DDC48B93F}" uniqueName="Row1_L">
      <xmlPr mapId="7" xpath="/MAKE/COP/COPCRSInstallation/CRS_1/@Row1_L" xmlDataType="string"/>
    </xmlCellPr>
  </singleXmlCell>
  <singleXmlCell id="4089" xr6:uid="{E224D8BB-5441-4EBE-B752-55E1418B8FF4}" r="I6" connectionId="0">
    <xmlCellPr id="1" xr6:uid="{EE3CD710-67FE-441B-A8FC-2098AFA87ECC}" uniqueName="Row1_C">
      <xmlPr mapId="7" xpath="/MAKE/COP/COPCRSInstallation/CRS_1/@Row1_C" xmlDataType="string"/>
    </xmlCellPr>
  </singleXmlCell>
  <singleXmlCell id="4090" xr6:uid="{31DDB671-509C-45D8-9AAD-14C8E5DCF223}" r="J6" connectionId="0">
    <xmlCellPr id="1" xr6:uid="{88D8B0AC-EC07-4EC8-92C8-B684ED3D8CBB}" uniqueName="Row1_R">
      <xmlPr mapId="7" xpath="/MAKE/COP/COPCRSInstallation/CRS_1/@Row1_R" xmlDataType="string"/>
    </xmlCellPr>
  </singleXmlCell>
  <singleXmlCell id="4091" xr6:uid="{0F059552-8C37-4B64-A035-0D0AE438A179}" r="K6" connectionId="0">
    <xmlCellPr id="1" xr6:uid="{F78A0A89-9C37-4618-AA4D-7E43B320BFC2}" uniqueName="Row2_L">
      <xmlPr mapId="7" xpath="/MAKE/COP/COPCRSInstallation/CRS_1/@Row2_L" xmlDataType="string"/>
    </xmlCellPr>
  </singleXmlCell>
  <singleXmlCell id="4092" xr6:uid="{12F5E464-8CA2-4205-A1D4-18101A275CC8}" r="L6" connectionId="0">
    <xmlCellPr id="1" xr6:uid="{8B46D72D-73C6-485A-A7C7-A6A93B43D759}" uniqueName="Row2_C">
      <xmlPr mapId="7" xpath="/MAKE/COP/COPCRSInstallation/CRS_1/@Row2_C" xmlDataType="string"/>
    </xmlCellPr>
  </singleXmlCell>
  <singleXmlCell id="4093" xr6:uid="{A429D459-45E0-479F-85ED-210536D316FA}" r="M6" connectionId="0">
    <xmlCellPr id="1" xr6:uid="{FAAA1477-161A-4BD9-AC85-67EDD9ECB99D}" uniqueName="Row2_R">
      <xmlPr mapId="7" xpath="/MAKE/COP/COPCRSInstallation/CRS_1/@Row2_R" xmlDataType="string"/>
    </xmlCellPr>
  </singleXmlCell>
  <singleXmlCell id="4094" xr6:uid="{CC338024-03EB-4FC4-AE5A-A2FE52522ADE}" r="N6" connectionId="0">
    <xmlCellPr id="1" xr6:uid="{970E2DE1-125C-4233-A4D8-BC77867F260F}" uniqueName="Row3_L">
      <xmlPr mapId="7" xpath="/MAKE/COP/COPCRSInstallation/CRS_1/@Row3_L" xmlDataType="string"/>
    </xmlCellPr>
  </singleXmlCell>
  <singleXmlCell id="4095" xr6:uid="{D047AE05-7501-4D29-9318-0F003B72C28D}" r="O6" connectionId="0">
    <xmlCellPr id="1" xr6:uid="{4D452F4B-A5DD-48DA-9D4B-CCBF1A445964}" uniqueName="Row3_C">
      <xmlPr mapId="7" xpath="/MAKE/COP/COPCRSInstallation/CRS_1/@Row3_C" xmlDataType="string"/>
    </xmlCellPr>
  </singleXmlCell>
  <singleXmlCell id="4096" xr6:uid="{AF962DC0-5862-4B22-9A95-CE13DE5ED911}" r="P6" connectionId="0">
    <xmlCellPr id="1" xr6:uid="{D57B9CC3-601B-4B92-9811-A04CD2FC0C9A}" uniqueName="Row3_R">
      <xmlPr mapId="7" xpath="/MAKE/COP/COPCRSInstallation/CRS_1/@Row3_R" xmlDataType="string"/>
    </xmlCellPr>
  </singleXmlCell>
  <singleXmlCell id="4097" xr6:uid="{4DB857F7-64A1-43F4-B476-C672A922E8C2}" r="Q6" connectionId="0">
    <xmlCellPr id="1" xr6:uid="{868FCB43-4FFC-4C9C-B071-870FB7159EE3}" uniqueName="Pass">
      <xmlPr mapId="7" xpath="/MAKE/COP/COPCRSInstallation/CRS_1/@Pass" xmlDataType="decimal"/>
    </xmlCellPr>
  </singleXmlCell>
  <singleXmlCell id="4098" xr6:uid="{AEEADD78-AE3E-41A5-8AB1-D6C16E4B69FC}" r="R6" connectionId="0">
    <xmlCellPr id="1" xr6:uid="{0591A8B2-CAC4-4D3C-AA6A-096060432ACA}" uniqueName="Fail">
      <xmlPr mapId="7" xpath="/MAKE/COP/COPCRSInstallation/CRS_1/@Fail" xmlDataType="decimal"/>
    </xmlCellPr>
  </singleXmlCell>
  <singleXmlCell id="4099" xr6:uid="{F9FB2C32-2A25-4BB0-B20E-0A48055A0BB0}" r="S6" connectionId="0">
    <xmlCellPr id="1" xr6:uid="{CB83AAB0-58B8-42E3-8FB4-1A916BE7B7B7}" uniqueName="Exempt">
      <xmlPr mapId="7" xpath="/MAKE/COP/COPCRSInstallation/CRS_1/@Exempt" xmlDataType="decimal"/>
    </xmlCellPr>
  </singleXmlCell>
  <singleXmlCell id="4100" xr6:uid="{72BDEE59-D056-4955-9E2A-7250631D7AFC}" r="T6" connectionId="0">
    <xmlCellPr id="1" xr6:uid="{C8B33EB6-5CAC-4B57-A19B-C00334877F29}" uniqueName="Score">
      <xmlPr mapId="7" xpath="/MAKE/COP/COPCRSInstallation/CRS_1/@Score" xmlDataType="decimal"/>
    </xmlCellPr>
  </singleXmlCell>
  <singleXmlCell id="4101" xr6:uid="{AA342CBA-71F7-4A1A-9439-6EB9ACC8E0FE}" r="U6" connectionId="0">
    <xmlCellPr id="1" xr6:uid="{B867D906-2816-4E2B-8BA7-337BFF4DB55F}" uniqueName="Facing">
      <xmlPr mapId="7" xpath="/MAKE/COP/COPCRSInstallation/CRS_1/@Facing" xmlDataType="string"/>
    </xmlCellPr>
  </singleXmlCell>
  <singleXmlCell id="4102" xr6:uid="{D5C52AB4-2800-4188-AF26-544028B37251}" r="V6" connectionId="0">
    <xmlCellPr id="1" xr6:uid="{CB5CE66D-1D3A-4F8E-9570-1012CBD0C562}" uniqueName="Description">
      <xmlPr mapId="7" xpath="/MAKE/COP/COPCRSInstallation/CRS_1/@Description" xmlDataType="string"/>
    </xmlCellPr>
  </singleXmlCell>
  <singleXmlCell id="4122" xr6:uid="{DFE118EF-558F-4EF4-8496-C077BE0CE077}" r="C7" connectionId="0">
    <xmlCellPr id="1" xr6:uid="{1990EB07-9651-49B1-92AB-4A302807B0C4}" uniqueName="Stature">
      <xmlPr mapId="7" xpath="/MAKE/COP/COPCRSInstallation/CRS_2/@Stature" xmlDataType="string"/>
    </xmlCellPr>
  </singleXmlCell>
  <singleXmlCell id="4123" xr6:uid="{57587F24-FFAA-4ACE-A6C9-7AA80DBE7FF3}" r="D7" connectionId="0">
    <xmlCellPr id="1" xr6:uid="{8D0AD49B-F333-4EFE-B92E-8F2B17AD785B}" uniqueName="Name">
      <xmlPr mapId="7" xpath="/MAKE/COP/COPCRSInstallation/CRS_2/@Name" xmlDataType="string"/>
    </xmlCellPr>
  </singleXmlCell>
  <singleXmlCell id="4124" xr6:uid="{74A484A6-C114-4E66-A854-E0DABAEB4232}" r="F7" connectionId="0">
    <xmlCellPr id="1" xr6:uid="{C06015B1-A400-47D6-A635-1916D4620BEA}" uniqueName="Type_Code">
      <xmlPr mapId="7" xpath="/MAKE/COP/COPCRSInstallation/CRS_2/@Type_Code" xmlDataType="string"/>
    </xmlCellPr>
  </singleXmlCell>
  <singleXmlCell id="4125" xr6:uid="{82CC1398-AB3A-41DE-9616-D9E07083F48D}" r="G7" connectionId="0">
    <xmlCellPr id="1" xr6:uid="{2F33BA54-881F-49B7-BD6A-9C29CAAD7670}" uniqueName="Size">
      <xmlPr mapId="7" xpath="/MAKE/COP/COPCRSInstallation/CRS_2/@Size" xmlDataType="string"/>
    </xmlCellPr>
  </singleXmlCell>
  <singleXmlCell id="4126" xr6:uid="{1D90FA74-1965-41F1-82F3-6E8E89F86D2F}" r="H7" connectionId="0">
    <xmlCellPr id="1" xr6:uid="{62DAB494-6AE5-48C4-9BFE-04E9B7652CDE}" uniqueName="Row1_L">
      <xmlPr mapId="7" xpath="/MAKE/COP/COPCRSInstallation/CRS_2/@Row1_L" xmlDataType="string"/>
    </xmlCellPr>
  </singleXmlCell>
  <singleXmlCell id="4127" xr6:uid="{E56E1F70-B90C-4EA7-8B47-BAC456503F4A}" r="I7" connectionId="0">
    <xmlCellPr id="1" xr6:uid="{C13A1A66-EE3A-462E-A84D-07D6B8995AA1}" uniqueName="Row1_C">
      <xmlPr mapId="7" xpath="/MAKE/COP/COPCRSInstallation/CRS_2/@Row1_C" xmlDataType="string"/>
    </xmlCellPr>
  </singleXmlCell>
  <singleXmlCell id="4128" xr6:uid="{008693F7-2546-4AD0-BC31-241665E89D30}" r="J7" connectionId="0">
    <xmlCellPr id="1" xr6:uid="{606962A6-218A-45D6-ADBE-B7ED94750AFA}" uniqueName="Row1_R">
      <xmlPr mapId="7" xpath="/MAKE/COP/COPCRSInstallation/CRS_2/@Row1_R" xmlDataType="string"/>
    </xmlCellPr>
  </singleXmlCell>
  <singleXmlCell id="4129" xr6:uid="{AAE6C4EB-EBA6-4206-8DE1-3AD4F573B50A}" r="K7" connectionId="0">
    <xmlCellPr id="1" xr6:uid="{59C00953-677A-4849-882B-ED55BD306F12}" uniqueName="Row2_L">
      <xmlPr mapId="7" xpath="/MAKE/COP/COPCRSInstallation/CRS_2/@Row2_L" xmlDataType="string"/>
    </xmlCellPr>
  </singleXmlCell>
  <singleXmlCell id="4130" xr6:uid="{8236F8AA-4424-45B6-8A4F-0C2CDAE533A7}" r="L7" connectionId="0">
    <xmlCellPr id="1" xr6:uid="{FEFDFA0F-84E7-43A5-8940-0BE1B39C6B99}" uniqueName="Row2_C">
      <xmlPr mapId="7" xpath="/MAKE/COP/COPCRSInstallation/CRS_2/@Row2_C" xmlDataType="string"/>
    </xmlCellPr>
  </singleXmlCell>
  <singleXmlCell id="4131" xr6:uid="{D6811480-9F74-4B75-9B70-5C2040B34E6C}" r="M7" connectionId="0">
    <xmlCellPr id="1" xr6:uid="{5AD013BD-65B2-4796-B923-DFA950C940FF}" uniqueName="Row2_R">
      <xmlPr mapId="7" xpath="/MAKE/COP/COPCRSInstallation/CRS_2/@Row2_R" xmlDataType="string"/>
    </xmlCellPr>
  </singleXmlCell>
  <singleXmlCell id="4132" xr6:uid="{73522B35-0993-4E0B-BA01-2A0CEC3C8A8E}" r="N7" connectionId="0">
    <xmlCellPr id="1" xr6:uid="{284075B3-0846-4BC0-B142-E4E21BBC076A}" uniqueName="Row3_L">
      <xmlPr mapId="7" xpath="/MAKE/COP/COPCRSInstallation/CRS_2/@Row3_L" xmlDataType="string"/>
    </xmlCellPr>
  </singleXmlCell>
  <singleXmlCell id="4133" xr6:uid="{A73DD0F3-06D6-4976-8C5E-01CA086E1574}" r="O7" connectionId="0">
    <xmlCellPr id="1" xr6:uid="{935B61C6-91EF-47DE-86FE-3E402F05DAF7}" uniqueName="Row3_C">
      <xmlPr mapId="7" xpath="/MAKE/COP/COPCRSInstallation/CRS_2/@Row3_C" xmlDataType="string"/>
    </xmlCellPr>
  </singleXmlCell>
  <singleXmlCell id="4134" xr6:uid="{BD121FCD-39B1-4DF4-9128-077245496D93}" r="P7" connectionId="0">
    <xmlCellPr id="1" xr6:uid="{6EFEBF2B-3B89-4ECC-A41A-248A1170A3FA}" uniqueName="Row3_R">
      <xmlPr mapId="7" xpath="/MAKE/COP/COPCRSInstallation/CRS_2/@Row3_R" xmlDataType="string"/>
    </xmlCellPr>
  </singleXmlCell>
  <singleXmlCell id="4135" xr6:uid="{821B638D-76BF-42A2-A943-C7B4827C1384}" r="Q7" connectionId="0">
    <xmlCellPr id="1" xr6:uid="{5E425CD8-3F17-4232-BA77-EB022A455687}" uniqueName="Pass">
      <xmlPr mapId="7" xpath="/MAKE/COP/COPCRSInstallation/CRS_2/@Pass" xmlDataType="decimal"/>
    </xmlCellPr>
  </singleXmlCell>
  <singleXmlCell id="4136" xr6:uid="{2DC395B5-2FBB-4925-B162-D77991C0790A}" r="R7" connectionId="0">
    <xmlCellPr id="1" xr6:uid="{9F7742FB-94CB-475D-BD9F-B0EB3281920C}" uniqueName="Fail">
      <xmlPr mapId="7" xpath="/MAKE/COP/COPCRSInstallation/CRS_2/@Fail" xmlDataType="decimal"/>
    </xmlCellPr>
  </singleXmlCell>
  <singleXmlCell id="4137" xr6:uid="{5842C342-5A4B-473F-8BAD-66970683741B}" r="S7" connectionId="0">
    <xmlCellPr id="1" xr6:uid="{5275D832-B829-46F3-B784-ABA514D86CE1}" uniqueName="Exempt">
      <xmlPr mapId="7" xpath="/MAKE/COP/COPCRSInstallation/CRS_2/@Exempt" xmlDataType="decimal"/>
    </xmlCellPr>
  </singleXmlCell>
  <singleXmlCell id="4138" xr6:uid="{BBBB212D-1C23-4B3F-B98D-44E89275E96A}" r="T7" connectionId="0">
    <xmlCellPr id="1" xr6:uid="{ABD16D15-D471-48F5-8817-EBCC65ABA68C}" uniqueName="Score">
      <xmlPr mapId="7" xpath="/MAKE/COP/COPCRSInstallation/CRS_2/@Score" xmlDataType="decimal"/>
    </xmlCellPr>
  </singleXmlCell>
  <singleXmlCell id="4139" xr6:uid="{3EBD35A0-F4FC-4584-B326-06DF6DE377FB}" r="U7" connectionId="0">
    <xmlCellPr id="1" xr6:uid="{C073315E-5131-4E80-A21E-A2B14F60E95D}" uniqueName="Facing">
      <xmlPr mapId="7" xpath="/MAKE/COP/COPCRSInstallation/CRS_2/@Facing" xmlDataType="string"/>
    </xmlCellPr>
  </singleXmlCell>
  <singleXmlCell id="4140" xr6:uid="{479829C3-21AC-4EAB-9F4F-2BC2D0256EE0}" r="V7" connectionId="0">
    <xmlCellPr id="1" xr6:uid="{1B4CF747-4B42-4F55-9D90-45E464EF2416}" uniqueName="Description">
      <xmlPr mapId="7" xpath="/MAKE/COP/COPCRSInstallation/CRS_2/@Description" xmlDataType="string"/>
    </xmlCellPr>
  </singleXmlCell>
  <singleXmlCell id="4141" xr6:uid="{1028A643-50C6-46BA-99B3-7758437711C1}" r="C8" connectionId="0">
    <xmlCellPr id="1" xr6:uid="{72C63153-2E6F-4A27-8BEF-32A99C464AA2}" uniqueName="Stature">
      <xmlPr mapId="7" xpath="/MAKE/COP/COPCRSInstallation/CRS_3/@Stature" xmlDataType="string"/>
    </xmlCellPr>
  </singleXmlCell>
  <singleXmlCell id="4142" xr6:uid="{B26CF6DA-71B3-4926-BA5C-076D628A97BB}" r="D8" connectionId="0">
    <xmlCellPr id="1" xr6:uid="{89F5F9D3-90A6-46B4-87FE-A25287A3B495}" uniqueName="Name">
      <xmlPr mapId="7" xpath="/MAKE/COP/COPCRSInstallation/CRS_3/@Name" xmlDataType="string"/>
    </xmlCellPr>
  </singleXmlCell>
  <singleXmlCell id="4143" xr6:uid="{7F0B3B40-1B5A-4A6C-8325-FA61276C5F65}" r="F8" connectionId="0">
    <xmlCellPr id="1" xr6:uid="{5AB597AD-48F8-4785-B8A4-081BD6868ED2}" uniqueName="Type_Code">
      <xmlPr mapId="7" xpath="/MAKE/COP/COPCRSInstallation/CRS_3/@Type_Code" xmlDataType="string"/>
    </xmlCellPr>
  </singleXmlCell>
  <singleXmlCell id="4144" xr6:uid="{E4C271B2-9849-40F3-A693-1AE4841A9438}" r="G8" connectionId="0">
    <xmlCellPr id="1" xr6:uid="{1776A4F2-40A7-4E21-B083-225172159EE8}" uniqueName="Size">
      <xmlPr mapId="7" xpath="/MAKE/COP/COPCRSInstallation/CRS_3/@Size" xmlDataType="string"/>
    </xmlCellPr>
  </singleXmlCell>
  <singleXmlCell id="4145" xr6:uid="{3A99B47A-D36F-4F43-A074-8C01B57E180B}" r="H8" connectionId="0">
    <xmlCellPr id="1" xr6:uid="{12165A09-7D0F-4309-9CC7-72CA704897F3}" uniqueName="Row1_L">
      <xmlPr mapId="7" xpath="/MAKE/COP/COPCRSInstallation/CRS_3/@Row1_L" xmlDataType="string"/>
    </xmlCellPr>
  </singleXmlCell>
  <singleXmlCell id="4146" xr6:uid="{4F082027-5C7E-43A3-8A72-5C1F471318EB}" r="I8" connectionId="0">
    <xmlCellPr id="1" xr6:uid="{AB39BAFE-C75B-49E8-8FBB-B20F528B1FEE}" uniqueName="Row1_C">
      <xmlPr mapId="7" xpath="/MAKE/COP/COPCRSInstallation/CRS_3/@Row1_C" xmlDataType="string"/>
    </xmlCellPr>
  </singleXmlCell>
  <singleXmlCell id="4147" xr6:uid="{D31D4354-62D3-4042-8F38-6B96C50EC3FD}" r="J8" connectionId="0">
    <xmlCellPr id="1" xr6:uid="{687F396F-F49E-47AB-9E8A-5FC7BC22412C}" uniqueName="Row1_R">
      <xmlPr mapId="7" xpath="/MAKE/COP/COPCRSInstallation/CRS_3/@Row1_R" xmlDataType="string"/>
    </xmlCellPr>
  </singleXmlCell>
  <singleXmlCell id="4148" xr6:uid="{1607FFB2-B86B-425A-A84F-5BF6774F56B5}" r="K8" connectionId="0">
    <xmlCellPr id="1" xr6:uid="{DA2E20C2-A08D-4511-9ED8-2C347951582D}" uniqueName="Row2_L">
      <xmlPr mapId="7" xpath="/MAKE/COP/COPCRSInstallation/CRS_3/@Row2_L" xmlDataType="string"/>
    </xmlCellPr>
  </singleXmlCell>
  <singleXmlCell id="4149" xr6:uid="{CCEDB160-3D43-49F0-9872-89DF1D7ED560}" r="L8" connectionId="0">
    <xmlCellPr id="1" xr6:uid="{AAE64167-F712-4175-90C2-F8CC2F36BAA2}" uniqueName="Row2_C">
      <xmlPr mapId="7" xpath="/MAKE/COP/COPCRSInstallation/CRS_3/@Row2_C" xmlDataType="string"/>
    </xmlCellPr>
  </singleXmlCell>
  <singleXmlCell id="4150" xr6:uid="{2B23C67C-4C14-477C-824E-D800A2DD93DB}" r="M8" connectionId="0">
    <xmlCellPr id="1" xr6:uid="{4075AE5A-F6D0-4623-BF4F-36C704C0E177}" uniqueName="Row2_R">
      <xmlPr mapId="7" xpath="/MAKE/COP/COPCRSInstallation/CRS_3/@Row2_R" xmlDataType="string"/>
    </xmlCellPr>
  </singleXmlCell>
  <singleXmlCell id="4151" xr6:uid="{EABC7C01-483E-4E13-BD63-478E062DD96E}" r="N8" connectionId="0">
    <xmlCellPr id="1" xr6:uid="{7CA162B1-C700-4E2B-9883-28260E868DE5}" uniqueName="Row3_L">
      <xmlPr mapId="7" xpath="/MAKE/COP/COPCRSInstallation/CRS_3/@Row3_L" xmlDataType="string"/>
    </xmlCellPr>
  </singleXmlCell>
  <singleXmlCell id="4152" xr6:uid="{176C0778-EDF2-43E7-9F58-BD11D8161434}" r="O8" connectionId="0">
    <xmlCellPr id="1" xr6:uid="{81F5D8B8-5497-4D2E-86C9-34B00E37A0BA}" uniqueName="Row3_C">
      <xmlPr mapId="7" xpath="/MAKE/COP/COPCRSInstallation/CRS_3/@Row3_C" xmlDataType="string"/>
    </xmlCellPr>
  </singleXmlCell>
  <singleXmlCell id="4153" xr6:uid="{1744350E-A979-4A9B-B204-0D55F91F2521}" r="P8" connectionId="0">
    <xmlCellPr id="1" xr6:uid="{389F242F-CFE9-466C-92F4-46F5DA44014D}" uniqueName="Row3_R">
      <xmlPr mapId="7" xpath="/MAKE/COP/COPCRSInstallation/CRS_3/@Row3_R" xmlDataType="string"/>
    </xmlCellPr>
  </singleXmlCell>
  <singleXmlCell id="4154" xr6:uid="{4AE4F39E-9FED-4174-BCA9-A2C427CE46AF}" r="Q8" connectionId="0">
    <xmlCellPr id="1" xr6:uid="{D87CE16A-F0F3-44E4-9B72-83B83D1D1134}" uniqueName="Pass">
      <xmlPr mapId="7" xpath="/MAKE/COP/COPCRSInstallation/CRS_3/@Pass" xmlDataType="decimal"/>
    </xmlCellPr>
  </singleXmlCell>
  <singleXmlCell id="4155" xr6:uid="{B9451737-9124-4053-982A-9EEF390D7467}" r="R8" connectionId="0">
    <xmlCellPr id="1" xr6:uid="{2879D26D-B988-415F-8B26-5017E6A64B84}" uniqueName="Fail">
      <xmlPr mapId="7" xpath="/MAKE/COP/COPCRSInstallation/CRS_3/@Fail" xmlDataType="decimal"/>
    </xmlCellPr>
  </singleXmlCell>
  <singleXmlCell id="4156" xr6:uid="{73130ED6-9720-40DC-A27A-75CE327C2AB9}" r="S8" connectionId="0">
    <xmlCellPr id="1" xr6:uid="{B5D6EF48-25F0-4C25-8D95-95D3E779BF17}" uniqueName="Exempt">
      <xmlPr mapId="7" xpath="/MAKE/COP/COPCRSInstallation/CRS_3/@Exempt" xmlDataType="decimal"/>
    </xmlCellPr>
  </singleXmlCell>
  <singleXmlCell id="4157" xr6:uid="{297799B6-AB52-4E85-8665-AECDA00FEB20}" r="T8" connectionId="0">
    <xmlCellPr id="1" xr6:uid="{8FDB2A9B-ADE7-4275-A5F7-032B623010B3}" uniqueName="Score">
      <xmlPr mapId="7" xpath="/MAKE/COP/COPCRSInstallation/CRS_3/@Score" xmlDataType="decimal"/>
    </xmlCellPr>
  </singleXmlCell>
  <singleXmlCell id="4158" xr6:uid="{FFA1A390-AA67-4C4E-856A-108C3AFB92B8}" r="U8" connectionId="0">
    <xmlCellPr id="1" xr6:uid="{E539B8F8-5EA3-4D91-91E2-8043B7E97057}" uniqueName="Facing">
      <xmlPr mapId="7" xpath="/MAKE/COP/COPCRSInstallation/CRS_3/@Facing" xmlDataType="string"/>
    </xmlCellPr>
  </singleXmlCell>
  <singleXmlCell id="4159" xr6:uid="{CC9BB90C-7F36-4BED-8EB3-F636C664695E}" r="V8" connectionId="0">
    <xmlCellPr id="1" xr6:uid="{B68691FB-D4B2-44FA-B286-21ACE7EE5676}" uniqueName="Description">
      <xmlPr mapId="7" xpath="/MAKE/COP/COPCRSInstallation/CRS_3/@Description" xmlDataType="string"/>
    </xmlCellPr>
  </singleXmlCell>
  <singleXmlCell id="4160" xr6:uid="{FEFC0D53-FE53-4C50-AA55-0853A40337C0}" r="C9" connectionId="0">
    <xmlCellPr id="1" xr6:uid="{8390BC73-9532-406B-82F7-CD4CD3B40EC1}" uniqueName="Stature">
      <xmlPr mapId="7" xpath="/MAKE/COP/COPCRSInstallation/CRS_4/@Stature" xmlDataType="string"/>
    </xmlCellPr>
  </singleXmlCell>
  <singleXmlCell id="4161" xr6:uid="{6567BA77-413C-4ADF-8961-4626EE5AC3BE}" r="D9" connectionId="0">
    <xmlCellPr id="1" xr6:uid="{A3833D6A-3948-4BA2-90F9-D024698FE0CB}" uniqueName="Name">
      <xmlPr mapId="7" xpath="/MAKE/COP/COPCRSInstallation/CRS_4/@Name" xmlDataType="string"/>
    </xmlCellPr>
  </singleXmlCell>
  <singleXmlCell id="4162" xr6:uid="{80C98685-8419-449F-8303-E585DC18CDDE}" r="F9" connectionId="0">
    <xmlCellPr id="1" xr6:uid="{2C11521B-9F8A-493F-8BB0-AD5AED085E33}" uniqueName="Type_Code">
      <xmlPr mapId="7" xpath="/MAKE/COP/COPCRSInstallation/CRS_4/@Type_Code" xmlDataType="string"/>
    </xmlCellPr>
  </singleXmlCell>
  <singleXmlCell id="4163" xr6:uid="{BEA47FEF-F7BD-46ED-81C1-C0CA108CDB20}" r="G9" connectionId="0">
    <xmlCellPr id="1" xr6:uid="{94ABEA0C-91EA-45A1-ACB2-C5CBE17CA7A2}" uniqueName="Size">
      <xmlPr mapId="7" xpath="/MAKE/COP/COPCRSInstallation/CRS_4/@Size" xmlDataType="string"/>
    </xmlCellPr>
  </singleXmlCell>
  <singleXmlCell id="4164" xr6:uid="{8B2296A0-696A-431D-8DB7-D894B696DDF1}" r="H9" connectionId="0">
    <xmlCellPr id="1" xr6:uid="{71743C12-5E69-426B-89E8-0B9399F9D7B1}" uniqueName="Row1_L">
      <xmlPr mapId="7" xpath="/MAKE/COP/COPCRSInstallation/CRS_4/@Row1_L" xmlDataType="string"/>
    </xmlCellPr>
  </singleXmlCell>
  <singleXmlCell id="4165" xr6:uid="{CA777830-A028-4935-8784-74509B926EB3}" r="I9" connectionId="0">
    <xmlCellPr id="1" xr6:uid="{A6A4A233-0AE8-4FC9-998B-3B81DFC2C138}" uniqueName="Row1_C">
      <xmlPr mapId="7" xpath="/MAKE/COP/COPCRSInstallation/CRS_4/@Row1_C" xmlDataType="string"/>
    </xmlCellPr>
  </singleXmlCell>
  <singleXmlCell id="4166" xr6:uid="{332D729B-DE32-4F20-B903-21D8F2EDFE98}" r="J9" connectionId="0">
    <xmlCellPr id="1" xr6:uid="{FD837A9D-8FD8-47B7-A0C2-4A9F4E28648B}" uniqueName="Row1_R">
      <xmlPr mapId="7" xpath="/MAKE/COP/COPCRSInstallation/CRS_4/@Row1_R" xmlDataType="string"/>
    </xmlCellPr>
  </singleXmlCell>
  <singleXmlCell id="4167" xr6:uid="{0DBF4E39-9634-4D99-88B7-7E55B30B4CC6}" r="K9" connectionId="0">
    <xmlCellPr id="1" xr6:uid="{C46581F5-48A9-4C2C-BB9E-6E93E6903379}" uniqueName="Row2_L">
      <xmlPr mapId="7" xpath="/MAKE/COP/COPCRSInstallation/CRS_4/@Row2_L" xmlDataType="string"/>
    </xmlCellPr>
  </singleXmlCell>
  <singleXmlCell id="4168" xr6:uid="{4F57A586-2F03-47F9-B2E2-9C8AE305EF9F}" r="L9" connectionId="0">
    <xmlCellPr id="1" xr6:uid="{B88E17AC-D5D5-4CC6-B1FE-3EE87F946114}" uniqueName="Row2_C">
      <xmlPr mapId="7" xpath="/MAKE/COP/COPCRSInstallation/CRS_4/@Row2_C" xmlDataType="string"/>
    </xmlCellPr>
  </singleXmlCell>
  <singleXmlCell id="4169" xr6:uid="{82C27BAE-5592-4222-9458-FF277B2DE502}" r="M9" connectionId="0">
    <xmlCellPr id="1" xr6:uid="{2B3D0659-1620-4826-9D44-57667CEE5549}" uniqueName="Row2_R">
      <xmlPr mapId="7" xpath="/MAKE/COP/COPCRSInstallation/CRS_4/@Row2_R" xmlDataType="string"/>
    </xmlCellPr>
  </singleXmlCell>
  <singleXmlCell id="4170" xr6:uid="{8C5E4711-7007-452C-96A4-564680B764D7}" r="N9" connectionId="0">
    <xmlCellPr id="1" xr6:uid="{FF77FF15-C5CE-4B08-8D49-44B7B701B1FE}" uniqueName="Row3_L">
      <xmlPr mapId="7" xpath="/MAKE/COP/COPCRSInstallation/CRS_4/@Row3_L" xmlDataType="string"/>
    </xmlCellPr>
  </singleXmlCell>
  <singleXmlCell id="4171" xr6:uid="{C7FE47E7-BFA2-4C95-A0AC-6D61A7361FBA}" r="O9" connectionId="0">
    <xmlCellPr id="1" xr6:uid="{2A8E22AF-58E8-4FF5-B289-582395A11C99}" uniqueName="Row3_C">
      <xmlPr mapId="7" xpath="/MAKE/COP/COPCRSInstallation/CRS_4/@Row3_C" xmlDataType="string"/>
    </xmlCellPr>
  </singleXmlCell>
  <singleXmlCell id="4172" xr6:uid="{D46CF0DC-3AE4-4FC3-9580-A1C281D60CAB}" r="P9" connectionId="0">
    <xmlCellPr id="1" xr6:uid="{AF084B89-77FD-4A18-9540-A608D64F8978}" uniqueName="Row3_R">
      <xmlPr mapId="7" xpath="/MAKE/COP/COPCRSInstallation/CRS_4/@Row3_R" xmlDataType="string"/>
    </xmlCellPr>
  </singleXmlCell>
  <singleXmlCell id="4173" xr6:uid="{FA3F4F16-3CD0-45FE-B0E2-B26310F07462}" r="Q9" connectionId="0">
    <xmlCellPr id="1" xr6:uid="{23F80D0A-068D-48F2-B865-0C52CE7CC7A1}" uniqueName="Pass">
      <xmlPr mapId="7" xpath="/MAKE/COP/COPCRSInstallation/CRS_4/@Pass" xmlDataType="decimal"/>
    </xmlCellPr>
  </singleXmlCell>
  <singleXmlCell id="4174" xr6:uid="{918F0499-B49F-4AB3-9DE1-4FE39B162780}" r="R9" connectionId="0">
    <xmlCellPr id="1" xr6:uid="{68A93B63-3D3C-4C6E-84DF-E338DBC46BB7}" uniqueName="Fail">
      <xmlPr mapId="7" xpath="/MAKE/COP/COPCRSInstallation/CRS_4/@Fail" xmlDataType="decimal"/>
    </xmlCellPr>
  </singleXmlCell>
  <singleXmlCell id="4175" xr6:uid="{6966BC10-69BB-466C-A2AD-CFD4F0A581F8}" r="S9" connectionId="0">
    <xmlCellPr id="1" xr6:uid="{C9570F15-B4DE-41E3-BA9F-C29130AF33CD}" uniqueName="Exempt">
      <xmlPr mapId="7" xpath="/MAKE/COP/COPCRSInstallation/CRS_4/@Exempt" xmlDataType="decimal"/>
    </xmlCellPr>
  </singleXmlCell>
  <singleXmlCell id="4176" xr6:uid="{4CE98965-CC04-45FD-9C7D-037187244526}" r="T9" connectionId="0">
    <xmlCellPr id="1" xr6:uid="{514AE213-80CF-4FDF-BC52-3A943C3CBC12}" uniqueName="Score">
      <xmlPr mapId="7" xpath="/MAKE/COP/COPCRSInstallation/CRS_4/@Score" xmlDataType="decimal"/>
    </xmlCellPr>
  </singleXmlCell>
  <singleXmlCell id="4177" xr6:uid="{719AB22F-29CB-46E6-B61A-ED40968EF483}" r="U9" connectionId="0">
    <xmlCellPr id="1" xr6:uid="{5690E48F-02B2-4DCC-88E6-9F2609794658}" uniqueName="Facing">
      <xmlPr mapId="7" xpath="/MAKE/COP/COPCRSInstallation/CRS_4/@Facing" xmlDataType="string"/>
    </xmlCellPr>
  </singleXmlCell>
  <singleXmlCell id="4178" xr6:uid="{BEECFBB5-4C4F-4394-8BFC-75B7307066DC}" r="V9" connectionId="0">
    <xmlCellPr id="1" xr6:uid="{8D6E3E8B-7205-4F43-BD69-0E6F80D6F8AE}" uniqueName="Description">
      <xmlPr mapId="7" xpath="/MAKE/COP/COPCRSInstallation/CRS_4/@Description" xmlDataType="string"/>
    </xmlCellPr>
  </singleXmlCell>
  <singleXmlCell id="4179" xr6:uid="{FAE1A2CF-0A4C-4C69-9DC9-011DC33DC599}" r="C10" connectionId="0">
    <xmlCellPr id="1" xr6:uid="{59EAE6AB-C1D2-4473-9FF5-DBDBC96061C6}" uniqueName="Stature">
      <xmlPr mapId="7" xpath="/MAKE/COP/COPCRSInstallation/CRS_5/@Stature" xmlDataType="string"/>
    </xmlCellPr>
  </singleXmlCell>
  <singleXmlCell id="4180" xr6:uid="{EE48C191-18E5-449A-BB33-510B9CB3DB51}" r="D10" connectionId="0">
    <xmlCellPr id="1" xr6:uid="{3B61D483-3C64-4CDA-AABA-36C818796D04}" uniqueName="Name">
      <xmlPr mapId="7" xpath="/MAKE/COP/COPCRSInstallation/CRS_5/@Name" xmlDataType="string"/>
    </xmlCellPr>
  </singleXmlCell>
  <singleXmlCell id="4181" xr6:uid="{397E6907-F966-4FFA-890B-EB25FD282DF9}" r="F10" connectionId="0">
    <xmlCellPr id="1" xr6:uid="{E388ADDB-4520-4C19-9A6E-D496BEA24268}" uniqueName="Type_Code">
      <xmlPr mapId="7" xpath="/MAKE/COP/COPCRSInstallation/CRS_5/@Type_Code" xmlDataType="string"/>
    </xmlCellPr>
  </singleXmlCell>
  <singleXmlCell id="4182" xr6:uid="{826F72BA-0182-4B90-A155-17566475F96F}" r="G10" connectionId="0">
    <xmlCellPr id="1" xr6:uid="{12124678-96A8-4E44-B255-120397280199}" uniqueName="Size">
      <xmlPr mapId="7" xpath="/MAKE/COP/COPCRSInstallation/CRS_5/@Size" xmlDataType="string"/>
    </xmlCellPr>
  </singleXmlCell>
  <singleXmlCell id="4183" xr6:uid="{3AD47BAC-B1E5-4296-84DC-202A5643DF3B}" r="H10" connectionId="0">
    <xmlCellPr id="1" xr6:uid="{9D37756C-4D96-4C44-ACCB-C2F7C7995083}" uniqueName="Row1_L">
      <xmlPr mapId="7" xpath="/MAKE/COP/COPCRSInstallation/CRS_5/@Row1_L" xmlDataType="string"/>
    </xmlCellPr>
  </singleXmlCell>
  <singleXmlCell id="4184" xr6:uid="{AC7B8B69-E842-4C28-B853-33B8626CC521}" r="I10" connectionId="0">
    <xmlCellPr id="1" xr6:uid="{9285EC43-8FE4-4452-97A4-F5CD17C7FE0D}" uniqueName="Row1_C">
      <xmlPr mapId="7" xpath="/MAKE/COP/COPCRSInstallation/CRS_5/@Row1_C" xmlDataType="string"/>
    </xmlCellPr>
  </singleXmlCell>
  <singleXmlCell id="4185" xr6:uid="{1A9CCBA6-A157-4E97-B476-701901C19158}" r="J10" connectionId="0">
    <xmlCellPr id="1" xr6:uid="{2672C2CE-3349-48C8-8933-DF009EB8A85C}" uniqueName="Row1_R">
      <xmlPr mapId="7" xpath="/MAKE/COP/COPCRSInstallation/CRS_5/@Row1_R" xmlDataType="string"/>
    </xmlCellPr>
  </singleXmlCell>
  <singleXmlCell id="4186" xr6:uid="{5D9CA31D-E51B-4677-B01F-4F4BE83F464B}" r="K10" connectionId="0">
    <xmlCellPr id="1" xr6:uid="{68897563-DD75-4A8C-96F9-0773B2EF5E35}" uniqueName="Row2_L">
      <xmlPr mapId="7" xpath="/MAKE/COP/COPCRSInstallation/CRS_5/@Row2_L" xmlDataType="string"/>
    </xmlCellPr>
  </singleXmlCell>
  <singleXmlCell id="4187" xr6:uid="{F37423C6-173C-430D-80F7-AB14764C317E}" r="L10" connectionId="0">
    <xmlCellPr id="1" xr6:uid="{AA7F54DA-06B0-468D-A33E-2C36D6C9F20D}" uniqueName="Row2_C">
      <xmlPr mapId="7" xpath="/MAKE/COP/COPCRSInstallation/CRS_5/@Row2_C" xmlDataType="string"/>
    </xmlCellPr>
  </singleXmlCell>
  <singleXmlCell id="4188" xr6:uid="{0B9E76C4-8CCA-4A11-B6CE-D6BC5B65935B}" r="M10" connectionId="0">
    <xmlCellPr id="1" xr6:uid="{8EEF3100-70B8-4011-A17F-00EAE716E491}" uniqueName="Row2_R">
      <xmlPr mapId="7" xpath="/MAKE/COP/COPCRSInstallation/CRS_5/@Row2_R" xmlDataType="string"/>
    </xmlCellPr>
  </singleXmlCell>
  <singleXmlCell id="4189" xr6:uid="{F9E2247F-2638-4040-99B4-F21EFBFA78A9}" r="N10" connectionId="0">
    <xmlCellPr id="1" xr6:uid="{95337EBE-1E62-462E-B630-F9C3F9D39F85}" uniqueName="Row3_L">
      <xmlPr mapId="7" xpath="/MAKE/COP/COPCRSInstallation/CRS_5/@Row3_L" xmlDataType="string"/>
    </xmlCellPr>
  </singleXmlCell>
  <singleXmlCell id="4190" xr6:uid="{587E3DB0-4CAC-4763-8177-5F319BFF2DE3}" r="O10" connectionId="0">
    <xmlCellPr id="1" xr6:uid="{DD84D97B-3B37-43C3-829D-6956DB07BAD6}" uniqueName="Row3_C">
      <xmlPr mapId="7" xpath="/MAKE/COP/COPCRSInstallation/CRS_5/@Row3_C" xmlDataType="string"/>
    </xmlCellPr>
  </singleXmlCell>
  <singleXmlCell id="4191" xr6:uid="{10345C2F-8443-4CEA-A182-6C717BF4C490}" r="P10" connectionId="0">
    <xmlCellPr id="1" xr6:uid="{BA075880-9C74-4DCE-B75A-F5E15973A2F1}" uniqueName="Row3_R">
      <xmlPr mapId="7" xpath="/MAKE/COP/COPCRSInstallation/CRS_5/@Row3_R" xmlDataType="string"/>
    </xmlCellPr>
  </singleXmlCell>
  <singleXmlCell id="4192" xr6:uid="{42716AF3-E519-415C-BA75-A20EC633AE90}" r="Q10" connectionId="0">
    <xmlCellPr id="1" xr6:uid="{1D5562B4-A2DF-425D-8283-0F0F818247D4}" uniqueName="Pass">
      <xmlPr mapId="7" xpath="/MAKE/COP/COPCRSInstallation/CRS_5/@Pass" xmlDataType="decimal"/>
    </xmlCellPr>
  </singleXmlCell>
  <singleXmlCell id="4193" xr6:uid="{6398818F-7CDE-4884-B2C1-5C6ACB6B5F6C}" r="R10" connectionId="0">
    <xmlCellPr id="1" xr6:uid="{4A3E7954-C5BF-40DA-9896-CAE193EEF541}" uniqueName="Fail">
      <xmlPr mapId="7" xpath="/MAKE/COP/COPCRSInstallation/CRS_5/@Fail" xmlDataType="decimal"/>
    </xmlCellPr>
  </singleXmlCell>
  <singleXmlCell id="4194" xr6:uid="{6F43ABF1-C136-42D2-AF26-4E11B3B819A8}" r="S10" connectionId="0">
    <xmlCellPr id="1" xr6:uid="{C5FE9E28-9328-48ED-B443-B70EC5BFFD9F}" uniqueName="Exempt">
      <xmlPr mapId="7" xpath="/MAKE/COP/COPCRSInstallation/CRS_5/@Exempt" xmlDataType="decimal"/>
    </xmlCellPr>
  </singleXmlCell>
  <singleXmlCell id="4195" xr6:uid="{21C4A839-362E-49C8-A5F1-79D9A7F3A056}" r="T10" connectionId="0">
    <xmlCellPr id="1" xr6:uid="{A6DDDAFB-0290-4192-8077-D4B61F4BE6A6}" uniqueName="Score">
      <xmlPr mapId="7" xpath="/MAKE/COP/COPCRSInstallation/CRS_5/@Score" xmlDataType="decimal"/>
    </xmlCellPr>
  </singleXmlCell>
  <singleXmlCell id="4196" xr6:uid="{BE9A63A5-488C-44D5-AC78-8093CFDFEA85}" r="U10" connectionId="0">
    <xmlCellPr id="1" xr6:uid="{5206925A-425C-427F-B6B0-99E9D591F38E}" uniqueName="Facing">
      <xmlPr mapId="7" xpath="/MAKE/COP/COPCRSInstallation/CRS_5/@Facing" xmlDataType="string"/>
    </xmlCellPr>
  </singleXmlCell>
  <singleXmlCell id="4197" xr6:uid="{F0C506A5-C3CF-408F-9A99-4CBC9CC8F133}" r="V10" connectionId="0">
    <xmlCellPr id="1" xr6:uid="{5FFD0813-0D16-4127-A8A8-B339DA9DA340}" uniqueName="Description">
      <xmlPr mapId="7" xpath="/MAKE/COP/COPCRSInstallation/CRS_5/@Description" xmlDataType="string"/>
    </xmlCellPr>
  </singleXmlCell>
  <singleXmlCell id="4198" xr6:uid="{00A1CD51-9725-4FF1-8647-1B2A2C300889}" r="C11" connectionId="0">
    <xmlCellPr id="1" xr6:uid="{C16626F9-2585-4149-A513-2157D5E82453}" uniqueName="Stature">
      <xmlPr mapId="7" xpath="/MAKE/COP/COPCRSInstallation/CRS_6/@Stature" xmlDataType="string"/>
    </xmlCellPr>
  </singleXmlCell>
  <singleXmlCell id="4199" xr6:uid="{2EEFD556-03E7-479B-BD59-2F0FAA404578}" r="D11" connectionId="0">
    <xmlCellPr id="1" xr6:uid="{9F74BD6E-15C2-4D98-9065-BF2FF77F55EF}" uniqueName="Name">
      <xmlPr mapId="7" xpath="/MAKE/COP/COPCRSInstallation/CRS_6/@Name" xmlDataType="string"/>
    </xmlCellPr>
  </singleXmlCell>
  <singleXmlCell id="4200" xr6:uid="{5245FA22-0F18-4D5D-A393-0B9668A0965D}" r="F11" connectionId="0">
    <xmlCellPr id="1" xr6:uid="{72EA19C8-9E5E-4F29-AB21-03BAC7B5B8C2}" uniqueName="Type_Code">
      <xmlPr mapId="7" xpath="/MAKE/COP/COPCRSInstallation/CRS_6/@Type_Code" xmlDataType="string"/>
    </xmlCellPr>
  </singleXmlCell>
  <singleXmlCell id="4201" xr6:uid="{57E5D120-637A-41FE-B5AF-4B26BAE4E801}" r="G11" connectionId="0">
    <xmlCellPr id="1" xr6:uid="{FC7D3978-649F-42B6-BB93-85241209A695}" uniqueName="Size">
      <xmlPr mapId="7" xpath="/MAKE/COP/COPCRSInstallation/CRS_6/@Size" xmlDataType="string"/>
    </xmlCellPr>
  </singleXmlCell>
  <singleXmlCell id="4202" xr6:uid="{77E6958E-96DF-4C92-A62F-E4FDADCE72F3}" r="H11" connectionId="0">
    <xmlCellPr id="1" xr6:uid="{A517EFA1-A1E4-4470-B274-60AA6B1AEBA6}" uniqueName="Row1_L">
      <xmlPr mapId="7" xpath="/MAKE/COP/COPCRSInstallation/CRS_6/@Row1_L" xmlDataType="string"/>
    </xmlCellPr>
  </singleXmlCell>
  <singleXmlCell id="4203" xr6:uid="{ADC1EE90-0736-4775-B8DF-D812ADDC647C}" r="I11" connectionId="0">
    <xmlCellPr id="1" xr6:uid="{EE146831-5AD8-458C-85F3-9F898854C0DA}" uniqueName="Row1_C">
      <xmlPr mapId="7" xpath="/MAKE/COP/COPCRSInstallation/CRS_6/@Row1_C" xmlDataType="string"/>
    </xmlCellPr>
  </singleXmlCell>
  <singleXmlCell id="4204" xr6:uid="{CB2F987B-5759-4E25-8B63-6CF4225F7CC0}" r="J11" connectionId="0">
    <xmlCellPr id="1" xr6:uid="{55026DDC-3EA1-4787-9197-BADBB09D058B}" uniqueName="Row1_R">
      <xmlPr mapId="7" xpath="/MAKE/COP/COPCRSInstallation/CRS_6/@Row1_R" xmlDataType="string"/>
    </xmlCellPr>
  </singleXmlCell>
  <singleXmlCell id="4205" xr6:uid="{BF3E5C50-0095-421E-9247-2A3499580CD1}" r="K11" connectionId="0">
    <xmlCellPr id="1" xr6:uid="{CFE15A9F-3858-46CD-936B-7EF4D07D77ED}" uniqueName="Row2_L">
      <xmlPr mapId="7" xpath="/MAKE/COP/COPCRSInstallation/CRS_6/@Row2_L" xmlDataType="string"/>
    </xmlCellPr>
  </singleXmlCell>
  <singleXmlCell id="4206" xr6:uid="{42DC8C5D-8947-4D22-8D6F-9D507144387B}" r="L11" connectionId="0">
    <xmlCellPr id="1" xr6:uid="{2A099B3D-19E6-4B16-832F-A322BAEBA54E}" uniqueName="Row2_C">
      <xmlPr mapId="7" xpath="/MAKE/COP/COPCRSInstallation/CRS_6/@Row2_C" xmlDataType="string"/>
    </xmlCellPr>
  </singleXmlCell>
  <singleXmlCell id="4207" xr6:uid="{47D0D358-E25A-40D3-AE31-F9481E346CF6}" r="M11" connectionId="0">
    <xmlCellPr id="1" xr6:uid="{CF1E3733-7E51-45BE-8A43-A21AF866C8B1}" uniqueName="Row2_R">
      <xmlPr mapId="7" xpath="/MAKE/COP/COPCRSInstallation/CRS_6/@Row2_R" xmlDataType="string"/>
    </xmlCellPr>
  </singleXmlCell>
  <singleXmlCell id="4208" xr6:uid="{E165C6BA-6125-4AA7-87C8-EF0B37268B0B}" r="N11" connectionId="0">
    <xmlCellPr id="1" xr6:uid="{033EFC89-A723-476D-BEA4-DFB6E387193E}" uniqueName="Row3_L">
      <xmlPr mapId="7" xpath="/MAKE/COP/COPCRSInstallation/CRS_6/@Row3_L" xmlDataType="string"/>
    </xmlCellPr>
  </singleXmlCell>
  <singleXmlCell id="4209" xr6:uid="{54EE437A-37CF-4A79-90A1-97BFE1983FC5}" r="O11" connectionId="0">
    <xmlCellPr id="1" xr6:uid="{17EFFBDF-E91B-48E2-B092-EF27E0898FE8}" uniqueName="Row3_C">
      <xmlPr mapId="7" xpath="/MAKE/COP/COPCRSInstallation/CRS_6/@Row3_C" xmlDataType="string"/>
    </xmlCellPr>
  </singleXmlCell>
  <singleXmlCell id="4210" xr6:uid="{F0685022-647A-49DE-AF36-DB6539DA6FC4}" r="P11" connectionId="0">
    <xmlCellPr id="1" xr6:uid="{10341278-BDC5-494E-B0C8-4869D1291617}" uniqueName="Row3_R">
      <xmlPr mapId="7" xpath="/MAKE/COP/COPCRSInstallation/CRS_6/@Row3_R" xmlDataType="string"/>
    </xmlCellPr>
  </singleXmlCell>
  <singleXmlCell id="4211" xr6:uid="{A56DD533-E28D-4A40-AEC5-9C902C87BEF9}" r="Q11" connectionId="0">
    <xmlCellPr id="1" xr6:uid="{DC7803BA-89E9-42B6-B897-194ADF8417A7}" uniqueName="Pass">
      <xmlPr mapId="7" xpath="/MAKE/COP/COPCRSInstallation/CRS_6/@Pass" xmlDataType="decimal"/>
    </xmlCellPr>
  </singleXmlCell>
  <singleXmlCell id="4212" xr6:uid="{82918E28-B4FF-4CDA-90E2-5271DE4CFE39}" r="R11" connectionId="0">
    <xmlCellPr id="1" xr6:uid="{F1300883-ED85-4D56-A919-3FDAFA9EB40B}" uniqueName="Fail">
      <xmlPr mapId="7" xpath="/MAKE/COP/COPCRSInstallation/CRS_6/@Fail" xmlDataType="decimal"/>
    </xmlCellPr>
  </singleXmlCell>
  <singleXmlCell id="4213" xr6:uid="{7409F72A-FBFA-4898-99C7-AC84221AF1AB}" r="S11" connectionId="0">
    <xmlCellPr id="1" xr6:uid="{3CDACBED-CA06-41E8-8593-EF53222AAB36}" uniqueName="Exempt">
      <xmlPr mapId="7" xpath="/MAKE/COP/COPCRSInstallation/CRS_6/@Exempt" xmlDataType="decimal"/>
    </xmlCellPr>
  </singleXmlCell>
  <singleXmlCell id="4214" xr6:uid="{1CEB81ED-D687-40A0-8B01-7A2FD166A392}" r="T11" connectionId="0">
    <xmlCellPr id="1" xr6:uid="{C6D5D9F3-E824-4615-A9CE-854A568EF9CD}" uniqueName="Score">
      <xmlPr mapId="7" xpath="/MAKE/COP/COPCRSInstallation/CRS_6/@Score" xmlDataType="decimal"/>
    </xmlCellPr>
  </singleXmlCell>
  <singleXmlCell id="4215" xr6:uid="{80A84DDD-0934-4053-9B03-2502EE81D338}" r="U11" connectionId="0">
    <xmlCellPr id="1" xr6:uid="{BC4155D2-561A-47AF-8C5C-E793C69990F5}" uniqueName="Facing">
      <xmlPr mapId="7" xpath="/MAKE/COP/COPCRSInstallation/CRS_6/@Facing" xmlDataType="string"/>
    </xmlCellPr>
  </singleXmlCell>
  <singleXmlCell id="4216" xr6:uid="{B9B6CC0D-4DA7-49B3-BE59-3BA5FBB4A3E7}" r="V11" connectionId="0">
    <xmlCellPr id="1" xr6:uid="{54B13B02-09D0-4715-8077-3BC69CBE6B0A}" uniqueName="Description">
      <xmlPr mapId="7" xpath="/MAKE/COP/COPCRSInstallation/CRS_6/@Description" xmlDataType="string"/>
    </xmlCellPr>
  </singleXmlCell>
  <singleXmlCell id="4217" xr6:uid="{116D6673-12A2-4DE5-8257-E6B0EF7E510B}" r="C12" connectionId="0">
    <xmlCellPr id="1" xr6:uid="{4E505C12-0261-48D3-BEDD-FF8B565BBEF1}" uniqueName="Stature">
      <xmlPr mapId="7" xpath="/MAKE/COP/COPCRSInstallation/CRS_7/@Stature" xmlDataType="string"/>
    </xmlCellPr>
  </singleXmlCell>
  <singleXmlCell id="4218" xr6:uid="{B1B7CB49-1461-4F19-AB86-7DE62512D6AB}" r="D12" connectionId="0">
    <xmlCellPr id="1" xr6:uid="{595BE8F9-066B-455F-B38B-18B9AB707845}" uniqueName="Name">
      <xmlPr mapId="7" xpath="/MAKE/COP/COPCRSInstallation/CRS_7/@Name" xmlDataType="string"/>
    </xmlCellPr>
  </singleXmlCell>
  <singleXmlCell id="4219" xr6:uid="{FF10D56E-3885-410B-B3FC-3BC72DF7CF83}" r="F12" connectionId="0">
    <xmlCellPr id="1" xr6:uid="{20E2512D-3957-4164-B0BC-D4E7B6C1797D}" uniqueName="Type_Code">
      <xmlPr mapId="7" xpath="/MAKE/COP/COPCRSInstallation/CRS_7/@Type_Code" xmlDataType="string"/>
    </xmlCellPr>
  </singleXmlCell>
  <singleXmlCell id="4220" xr6:uid="{59D404A0-F4CD-40AB-A53D-A65F3D1B1B74}" r="G12" connectionId="0">
    <xmlCellPr id="1" xr6:uid="{2EB96424-EF05-4460-B560-89C58D372F06}" uniqueName="Size">
      <xmlPr mapId="7" xpath="/MAKE/COP/COPCRSInstallation/CRS_7/@Size" xmlDataType="string"/>
    </xmlCellPr>
  </singleXmlCell>
  <singleXmlCell id="4221" xr6:uid="{82D00365-1795-41C9-B58A-D9C3039C14A9}" r="H12" connectionId="0">
    <xmlCellPr id="1" xr6:uid="{32C3DEAF-7565-4B80-A6B2-A8A95128812D}" uniqueName="Row1_L">
      <xmlPr mapId="7" xpath="/MAKE/COP/COPCRSInstallation/CRS_7/@Row1_L" xmlDataType="string"/>
    </xmlCellPr>
  </singleXmlCell>
  <singleXmlCell id="4222" xr6:uid="{D8EFAE9C-C241-40FA-A6E4-DCBA2273DAB7}" r="I12" connectionId="0">
    <xmlCellPr id="1" xr6:uid="{1D726728-6AFD-4679-9C7A-DB867EE5BC59}" uniqueName="Row1_C">
      <xmlPr mapId="7" xpath="/MAKE/COP/COPCRSInstallation/CRS_7/@Row1_C" xmlDataType="string"/>
    </xmlCellPr>
  </singleXmlCell>
  <singleXmlCell id="4223" xr6:uid="{E7010956-D3BF-467D-B442-5CC8D297F23E}" r="J12" connectionId="0">
    <xmlCellPr id="1" xr6:uid="{F773D8C9-4811-459F-B0C1-6E1F17D38677}" uniqueName="Row1_R">
      <xmlPr mapId="7" xpath="/MAKE/COP/COPCRSInstallation/CRS_7/@Row1_R" xmlDataType="string"/>
    </xmlCellPr>
  </singleXmlCell>
  <singleXmlCell id="4224" xr6:uid="{A1E8012A-FBD9-4013-AD5C-7E93EC3986D5}" r="K12" connectionId="0">
    <xmlCellPr id="1" xr6:uid="{B4FC1977-9A73-4867-BA1E-DC4D5E2735CF}" uniqueName="Row2_L">
      <xmlPr mapId="7" xpath="/MAKE/COP/COPCRSInstallation/CRS_7/@Row2_L" xmlDataType="string"/>
    </xmlCellPr>
  </singleXmlCell>
  <singleXmlCell id="4225" xr6:uid="{B5AEE60F-5EF6-4769-ADB8-881F42D93745}" r="L12" connectionId="0">
    <xmlCellPr id="1" xr6:uid="{BB02A3A6-243D-418C-A241-F28FA3AA391B}" uniqueName="Row2_C">
      <xmlPr mapId="7" xpath="/MAKE/COP/COPCRSInstallation/CRS_7/@Row2_C" xmlDataType="string"/>
    </xmlCellPr>
  </singleXmlCell>
  <singleXmlCell id="4226" xr6:uid="{73CB8284-4639-43FD-8A9F-2FEB128A2F91}" r="M12" connectionId="0">
    <xmlCellPr id="1" xr6:uid="{F266CDD9-BE7F-411E-89A5-ECC4407BAA0E}" uniqueName="Row2_R">
      <xmlPr mapId="7" xpath="/MAKE/COP/COPCRSInstallation/CRS_7/@Row2_R" xmlDataType="string"/>
    </xmlCellPr>
  </singleXmlCell>
  <singleXmlCell id="4227" xr6:uid="{BDE82683-7653-4FF7-8024-AD75592F28BA}" r="N12" connectionId="0">
    <xmlCellPr id="1" xr6:uid="{B8E577C7-D4F7-4563-BAF8-800642DC166F}" uniqueName="Row3_L">
      <xmlPr mapId="7" xpath="/MAKE/COP/COPCRSInstallation/CRS_7/@Row3_L" xmlDataType="string"/>
    </xmlCellPr>
  </singleXmlCell>
  <singleXmlCell id="4228" xr6:uid="{9C84B1E4-0520-49CF-BD3E-01D635B6B47C}" r="O12" connectionId="0">
    <xmlCellPr id="1" xr6:uid="{303BFA0A-1442-40EB-882F-02DC713E4A62}" uniqueName="Row3_C">
      <xmlPr mapId="7" xpath="/MAKE/COP/COPCRSInstallation/CRS_7/@Row3_C" xmlDataType="string"/>
    </xmlCellPr>
  </singleXmlCell>
  <singleXmlCell id="4229" xr6:uid="{47BE35D4-10E6-4E00-80D0-6029859180FC}" r="P12" connectionId="0">
    <xmlCellPr id="1" xr6:uid="{5306CD5E-909B-4549-88F5-8D3DD1478B5A}" uniqueName="Row3_R">
      <xmlPr mapId="7" xpath="/MAKE/COP/COPCRSInstallation/CRS_7/@Row3_R" xmlDataType="string"/>
    </xmlCellPr>
  </singleXmlCell>
  <singleXmlCell id="4230" xr6:uid="{3DC0012D-0CD3-43CB-92E3-F050EBB1F2A3}" r="Q12" connectionId="0">
    <xmlCellPr id="1" xr6:uid="{190D234B-585E-4128-9809-FEC967A86106}" uniqueName="Pass">
      <xmlPr mapId="7" xpath="/MAKE/COP/COPCRSInstallation/CRS_7/@Pass" xmlDataType="decimal"/>
    </xmlCellPr>
  </singleXmlCell>
  <singleXmlCell id="4231" xr6:uid="{C64EEA4F-65F0-40A6-8F27-387D15C5542C}" r="R12" connectionId="0">
    <xmlCellPr id="1" xr6:uid="{FA9F02AE-45AC-41F3-AA49-85EC3C3BBADC}" uniqueName="Fail">
      <xmlPr mapId="7" xpath="/MAKE/COP/COPCRSInstallation/CRS_7/@Fail" xmlDataType="decimal"/>
    </xmlCellPr>
  </singleXmlCell>
  <singleXmlCell id="4232" xr6:uid="{34481DB9-3693-4742-9DD9-5056D2739EFC}" r="S12" connectionId="0">
    <xmlCellPr id="1" xr6:uid="{C509D3A6-F476-4432-B035-AAED10009ABA}" uniqueName="Exempt">
      <xmlPr mapId="7" xpath="/MAKE/COP/COPCRSInstallation/CRS_7/@Exempt" xmlDataType="decimal"/>
    </xmlCellPr>
  </singleXmlCell>
  <singleXmlCell id="4233" xr6:uid="{6E2A624C-A8B8-4DF4-954F-2F8D3E5914B8}" r="T12" connectionId="0">
    <xmlCellPr id="1" xr6:uid="{4EA690FB-1A1F-4DEE-B26A-4101EBD58676}" uniqueName="Score">
      <xmlPr mapId="7" xpath="/MAKE/COP/COPCRSInstallation/CRS_7/@Score" xmlDataType="decimal"/>
    </xmlCellPr>
  </singleXmlCell>
  <singleXmlCell id="4234" xr6:uid="{599F7922-65F4-422D-BED6-5B44ED5E845A}" r="U12" connectionId="0">
    <xmlCellPr id="1" xr6:uid="{BAB33F9B-7AD2-46A0-A706-B2F987640481}" uniqueName="Facing">
      <xmlPr mapId="7" xpath="/MAKE/COP/COPCRSInstallation/CRS_7/@Facing" xmlDataType="string"/>
    </xmlCellPr>
  </singleXmlCell>
  <singleXmlCell id="4235" xr6:uid="{B474E888-CD35-47C8-9701-F379FED182F1}" r="V12" connectionId="0">
    <xmlCellPr id="1" xr6:uid="{99E4229C-2E79-479A-B250-9A09574BB6A4}" uniqueName="Description">
      <xmlPr mapId="7" xpath="/MAKE/COP/COPCRSInstallation/CRS_7/@Description" xmlDataType="string"/>
    </xmlCellPr>
  </singleXmlCell>
  <singleXmlCell id="4236" xr6:uid="{0CAC9687-223D-44F8-9C5B-534AAF961DEF}" r="C13" connectionId="0">
    <xmlCellPr id="1" xr6:uid="{F58AEAB2-F868-43C2-B7CF-008B96C44707}" uniqueName="Stature">
      <xmlPr mapId="7" xpath="/MAKE/COP/COPCRSInstallation/CRS_8/@Stature" xmlDataType="string"/>
    </xmlCellPr>
  </singleXmlCell>
  <singleXmlCell id="4237" xr6:uid="{EE628917-BE02-486F-B45A-F3937EB60200}" r="D13" connectionId="0">
    <xmlCellPr id="1" xr6:uid="{1378B293-1F89-4E74-B053-49338F31B20C}" uniqueName="Name">
      <xmlPr mapId="7" xpath="/MAKE/COP/COPCRSInstallation/CRS_8/@Name" xmlDataType="string"/>
    </xmlCellPr>
  </singleXmlCell>
  <singleXmlCell id="4238" xr6:uid="{ACDE817E-43A7-4E36-9658-831CD00ABB80}" r="F13" connectionId="0">
    <xmlCellPr id="1" xr6:uid="{3A16ACB7-96D4-4524-AA17-5B4A6F006727}" uniqueName="Type_Code">
      <xmlPr mapId="7" xpath="/MAKE/COP/COPCRSInstallation/CRS_8/@Type_Code" xmlDataType="string"/>
    </xmlCellPr>
  </singleXmlCell>
  <singleXmlCell id="4239" xr6:uid="{B6987792-CD54-4963-A8E1-309E2DFB0467}" r="G13" connectionId="0">
    <xmlCellPr id="1" xr6:uid="{1C82AA6E-E839-4D32-9C82-B20EC0FB0C36}" uniqueName="Size">
      <xmlPr mapId="7" xpath="/MAKE/COP/COPCRSInstallation/CRS_8/@Size" xmlDataType="string"/>
    </xmlCellPr>
  </singleXmlCell>
  <singleXmlCell id="4240" xr6:uid="{0A0A09DE-5413-48DE-8D45-F570593D71E3}" r="H13" connectionId="0">
    <xmlCellPr id="1" xr6:uid="{2C477141-621A-4B9A-9E3A-165EEC09F791}" uniqueName="Row1_L">
      <xmlPr mapId="7" xpath="/MAKE/COP/COPCRSInstallation/CRS_8/@Row1_L" xmlDataType="string"/>
    </xmlCellPr>
  </singleXmlCell>
  <singleXmlCell id="4241" xr6:uid="{BD4BEDEC-8411-4670-AB0C-9AE64681FF9A}" r="I13" connectionId="0">
    <xmlCellPr id="1" xr6:uid="{36CD86B8-F22B-444C-81EB-DA704CB0B768}" uniqueName="Row1_C">
      <xmlPr mapId="7" xpath="/MAKE/COP/COPCRSInstallation/CRS_8/@Row1_C" xmlDataType="string"/>
    </xmlCellPr>
  </singleXmlCell>
  <singleXmlCell id="4242" xr6:uid="{1C4BC4CF-6A24-4036-9E84-AF24A087F89E}" r="J13" connectionId="0">
    <xmlCellPr id="1" xr6:uid="{E05206E6-7188-4B83-8133-ED27B59B6441}" uniqueName="Row1_R">
      <xmlPr mapId="7" xpath="/MAKE/COP/COPCRSInstallation/CRS_8/@Row1_R" xmlDataType="string"/>
    </xmlCellPr>
  </singleXmlCell>
  <singleXmlCell id="4243" xr6:uid="{BB2400B3-E502-4910-92E7-56114DD517CA}" r="K13" connectionId="0">
    <xmlCellPr id="1" xr6:uid="{4060B866-0D50-4726-9B86-E2BF5B999806}" uniqueName="Row2_L">
      <xmlPr mapId="7" xpath="/MAKE/COP/COPCRSInstallation/CRS_8/@Row2_L" xmlDataType="string"/>
    </xmlCellPr>
  </singleXmlCell>
  <singleXmlCell id="4244" xr6:uid="{F8A1653B-57D6-4AAC-9137-8C87F8761466}" r="L13" connectionId="0">
    <xmlCellPr id="1" xr6:uid="{2E075A3F-4790-46D6-A475-0F441FC9F2B9}" uniqueName="Row2_C">
      <xmlPr mapId="7" xpath="/MAKE/COP/COPCRSInstallation/CRS_8/@Row2_C" xmlDataType="string"/>
    </xmlCellPr>
  </singleXmlCell>
  <singleXmlCell id="4245" xr6:uid="{1C544043-3A36-4F16-9B78-444B0023F938}" r="M13" connectionId="0">
    <xmlCellPr id="1" xr6:uid="{9D2A9AE2-0935-4F4C-A74B-D6CAE92DAB05}" uniqueName="Row2_R">
      <xmlPr mapId="7" xpath="/MAKE/COP/COPCRSInstallation/CRS_8/@Row2_R" xmlDataType="string"/>
    </xmlCellPr>
  </singleXmlCell>
  <singleXmlCell id="4246" xr6:uid="{444D61AF-7AE4-43E8-BF61-1B68C7DA74A7}" r="N13" connectionId="0">
    <xmlCellPr id="1" xr6:uid="{0F7B3120-9805-4230-8F79-EE56371A4BD4}" uniqueName="Row3_L">
      <xmlPr mapId="7" xpath="/MAKE/COP/COPCRSInstallation/CRS_8/@Row3_L" xmlDataType="string"/>
    </xmlCellPr>
  </singleXmlCell>
  <singleXmlCell id="4247" xr6:uid="{120816B8-221F-48CF-BA38-F59C4E0E2ADC}" r="O13" connectionId="0">
    <xmlCellPr id="1" xr6:uid="{C2A79D01-6057-41D8-BCBF-E9D8AF6FE4CE}" uniqueName="Row3_C">
      <xmlPr mapId="7" xpath="/MAKE/COP/COPCRSInstallation/CRS_8/@Row3_C" xmlDataType="string"/>
    </xmlCellPr>
  </singleXmlCell>
  <singleXmlCell id="4248" xr6:uid="{8B3D29E6-39C9-4BAB-86C7-AD515E8E4A80}" r="P13" connectionId="0">
    <xmlCellPr id="1" xr6:uid="{9965926E-0650-4CBC-99CA-DC7957F5D039}" uniqueName="Row3_R">
      <xmlPr mapId="7" xpath="/MAKE/COP/COPCRSInstallation/CRS_8/@Row3_R" xmlDataType="string"/>
    </xmlCellPr>
  </singleXmlCell>
  <singleXmlCell id="4249" xr6:uid="{4F6637E3-537D-4F06-BF45-8EA3373BAD09}" r="Q13" connectionId="0">
    <xmlCellPr id="1" xr6:uid="{F0410769-5C7A-4B8B-B22E-EFB46778A53C}" uniqueName="Pass">
      <xmlPr mapId="7" xpath="/MAKE/COP/COPCRSInstallation/CRS_8/@Pass" xmlDataType="decimal"/>
    </xmlCellPr>
  </singleXmlCell>
  <singleXmlCell id="4250" xr6:uid="{57C60BFC-354E-4C8E-94B5-76DDB79E59AC}" r="R13" connectionId="0">
    <xmlCellPr id="1" xr6:uid="{56630861-277B-40C0-AFC0-C16473D98601}" uniqueName="Fail">
      <xmlPr mapId="7" xpath="/MAKE/COP/COPCRSInstallation/CRS_8/@Fail" xmlDataType="decimal"/>
    </xmlCellPr>
  </singleXmlCell>
  <singleXmlCell id="4251" xr6:uid="{ED4C7372-1596-43F8-A5FF-5B6223C34B88}" r="S13" connectionId="0">
    <xmlCellPr id="1" xr6:uid="{FB5E5617-A31F-4AA5-B023-40025BAFEFCA}" uniqueName="Exempt">
      <xmlPr mapId="7" xpath="/MAKE/COP/COPCRSInstallation/CRS_8/@Exempt" xmlDataType="decimal"/>
    </xmlCellPr>
  </singleXmlCell>
  <singleXmlCell id="4252" xr6:uid="{656B9A8D-DDCD-427C-A468-99FF9543AF49}" r="T13" connectionId="0">
    <xmlCellPr id="1" xr6:uid="{BABA6D11-ED71-41AA-9B0E-198BFEBCC976}" uniqueName="Score">
      <xmlPr mapId="7" xpath="/MAKE/COP/COPCRSInstallation/CRS_8/@Score" xmlDataType="decimal"/>
    </xmlCellPr>
  </singleXmlCell>
  <singleXmlCell id="4253" xr6:uid="{1DFC1A4F-3D5A-469A-AC30-AB13A787D118}" r="U13" connectionId="0">
    <xmlCellPr id="1" xr6:uid="{EF8BB50C-5DEC-49D4-8C8F-8BF47C96461B}" uniqueName="Facing">
      <xmlPr mapId="7" xpath="/MAKE/COP/COPCRSInstallation/CRS_8/@Facing" xmlDataType="string"/>
    </xmlCellPr>
  </singleXmlCell>
  <singleXmlCell id="4254" xr6:uid="{77DA00E6-9B04-4218-9AC4-C84237C51E71}" r="V13" connectionId="0">
    <xmlCellPr id="1" xr6:uid="{A61AC4CC-FCCA-48C4-AA3F-CD8B18133B0C}" uniqueName="Description">
      <xmlPr mapId="7" xpath="/MAKE/COP/COPCRSInstallation/CRS_8/@Description" xmlDataType="string"/>
    </xmlCellPr>
  </singleXmlCell>
  <singleXmlCell id="4255" xr6:uid="{73DF56B7-8841-4BEE-8CFA-AEA5A619AF5F}" r="C14" connectionId="0">
    <xmlCellPr id="1" xr6:uid="{6867FCB3-12EC-4406-AEFB-015A5A86B993}" uniqueName="Stature">
      <xmlPr mapId="7" xpath="/MAKE/COP/COPCRSInstallation/CRS_9/@Stature" xmlDataType="string"/>
    </xmlCellPr>
  </singleXmlCell>
  <singleXmlCell id="4256" xr6:uid="{9A8D5B1F-0DC2-4274-8F73-75E727B3B79B}" r="D14" connectionId="0">
    <xmlCellPr id="1" xr6:uid="{0F00D129-15BD-43C9-A3A1-CA40FBE0BA88}" uniqueName="Name">
      <xmlPr mapId="7" xpath="/MAKE/COP/COPCRSInstallation/CRS_9/@Name" xmlDataType="string"/>
    </xmlCellPr>
  </singleXmlCell>
  <singleXmlCell id="4257" xr6:uid="{9CFE6ABE-5D78-4859-9164-856A9E7D6B98}" r="F14" connectionId="0">
    <xmlCellPr id="1" xr6:uid="{008F9690-437E-4535-906A-A624ADA2B9BB}" uniqueName="Type_Code">
      <xmlPr mapId="7" xpath="/MAKE/COP/COPCRSInstallation/CRS_9/@Type_Code" xmlDataType="string"/>
    </xmlCellPr>
  </singleXmlCell>
  <singleXmlCell id="4258" xr6:uid="{50FE6C82-CF25-44DE-8677-D138D88351A0}" r="G14" connectionId="0">
    <xmlCellPr id="1" xr6:uid="{1F4915DE-93B8-4AB7-AD7C-0358D1539983}" uniqueName="Size">
      <xmlPr mapId="7" xpath="/MAKE/COP/COPCRSInstallation/CRS_9/@Size" xmlDataType="string"/>
    </xmlCellPr>
  </singleXmlCell>
  <singleXmlCell id="4259" xr6:uid="{66841282-84DB-455E-B065-420686B84A63}" r="H14" connectionId="0">
    <xmlCellPr id="1" xr6:uid="{6640E593-970F-4761-9759-33577BCC088A}" uniqueName="Row1_L">
      <xmlPr mapId="7" xpath="/MAKE/COP/COPCRSInstallation/CRS_9/@Row1_L" xmlDataType="string"/>
    </xmlCellPr>
  </singleXmlCell>
  <singleXmlCell id="4260" xr6:uid="{8983699F-28D3-4E74-90FF-71C9D10221CE}" r="I14" connectionId="0">
    <xmlCellPr id="1" xr6:uid="{04542B89-756A-4361-8E5B-906CF6B95621}" uniqueName="Row1_C">
      <xmlPr mapId="7" xpath="/MAKE/COP/COPCRSInstallation/CRS_9/@Row1_C" xmlDataType="string"/>
    </xmlCellPr>
  </singleXmlCell>
  <singleXmlCell id="4261" xr6:uid="{C361DECA-D21B-4F36-899D-8F9897E18362}" r="J14" connectionId="0">
    <xmlCellPr id="1" xr6:uid="{01CDE06C-D8AB-41F5-984E-FA2B60CC6759}" uniqueName="Row1_R">
      <xmlPr mapId="7" xpath="/MAKE/COP/COPCRSInstallation/CRS_9/@Row1_R" xmlDataType="string"/>
    </xmlCellPr>
  </singleXmlCell>
  <singleXmlCell id="4262" xr6:uid="{23CB01A4-D88A-4CDE-A49F-3A7255841D58}" r="K14" connectionId="0">
    <xmlCellPr id="1" xr6:uid="{7C3C6A5F-56CD-4A6E-9AD3-EFF65C63F982}" uniqueName="Row2_L">
      <xmlPr mapId="7" xpath="/MAKE/COP/COPCRSInstallation/CRS_9/@Row2_L" xmlDataType="string"/>
    </xmlCellPr>
  </singleXmlCell>
  <singleXmlCell id="4263" xr6:uid="{C3E45DAB-2650-494E-AE0C-3EE2113261C3}" r="L14" connectionId="0">
    <xmlCellPr id="1" xr6:uid="{FEB34B64-63A5-4CDC-B8D9-BB87E0C4211B}" uniqueName="Row2_C">
      <xmlPr mapId="7" xpath="/MAKE/COP/COPCRSInstallation/CRS_9/@Row2_C" xmlDataType="string"/>
    </xmlCellPr>
  </singleXmlCell>
  <singleXmlCell id="4264" xr6:uid="{E5AE960F-D8D3-4515-AC3D-A882D24FC878}" r="M14" connectionId="0">
    <xmlCellPr id="1" xr6:uid="{7B13F75A-DBBA-4670-91C5-164EE4D8160F}" uniqueName="Row2_R">
      <xmlPr mapId="7" xpath="/MAKE/COP/COPCRSInstallation/CRS_9/@Row2_R" xmlDataType="string"/>
    </xmlCellPr>
  </singleXmlCell>
  <singleXmlCell id="4265" xr6:uid="{1E896FF0-2B48-4885-A572-C387710515E7}" r="N14" connectionId="0">
    <xmlCellPr id="1" xr6:uid="{28749533-4AAE-43C3-80EA-30B199819C43}" uniqueName="Row3_L">
      <xmlPr mapId="7" xpath="/MAKE/COP/COPCRSInstallation/CRS_9/@Row3_L" xmlDataType="string"/>
    </xmlCellPr>
  </singleXmlCell>
  <singleXmlCell id="4266" xr6:uid="{74E65378-5567-4D9F-8B59-E13A51F5E532}" r="O14" connectionId="0">
    <xmlCellPr id="1" xr6:uid="{5BFEAF1F-3588-49C3-A038-B27764540F29}" uniqueName="Row3_C">
      <xmlPr mapId="7" xpath="/MAKE/COP/COPCRSInstallation/CRS_9/@Row3_C" xmlDataType="string"/>
    </xmlCellPr>
  </singleXmlCell>
  <singleXmlCell id="4267" xr6:uid="{CA12739E-D39E-4892-9A95-06A9C561B955}" r="P14" connectionId="0">
    <xmlCellPr id="1" xr6:uid="{5C483388-B476-4E16-A3CA-8CAD0C582CE8}" uniqueName="Row3_R">
      <xmlPr mapId="7" xpath="/MAKE/COP/COPCRSInstallation/CRS_9/@Row3_R" xmlDataType="string"/>
    </xmlCellPr>
  </singleXmlCell>
  <singleXmlCell id="4268" xr6:uid="{99DCBAE3-A8AB-42AF-AF18-2221B5622DBA}" r="Q14" connectionId="0">
    <xmlCellPr id="1" xr6:uid="{F2BA1D28-455F-40CA-821C-FB5908DD6B09}" uniqueName="Pass">
      <xmlPr mapId="7" xpath="/MAKE/COP/COPCRSInstallation/CRS_9/@Pass" xmlDataType="decimal"/>
    </xmlCellPr>
  </singleXmlCell>
  <singleXmlCell id="4269" xr6:uid="{123EE9CF-0872-47C0-8F72-182CA8C4DB4B}" r="R14" connectionId="0">
    <xmlCellPr id="1" xr6:uid="{02A99A13-B69E-4B84-A372-22ABBB3279BE}" uniqueName="Fail">
      <xmlPr mapId="7" xpath="/MAKE/COP/COPCRSInstallation/CRS_9/@Fail" xmlDataType="decimal"/>
    </xmlCellPr>
  </singleXmlCell>
  <singleXmlCell id="4270" xr6:uid="{97FF3C15-CB7A-431C-AE1D-39573FB28CE4}" r="S14" connectionId="0">
    <xmlCellPr id="1" xr6:uid="{04387078-D12D-4E57-9307-2D938D252C35}" uniqueName="Exempt">
      <xmlPr mapId="7" xpath="/MAKE/COP/COPCRSInstallation/CRS_9/@Exempt" xmlDataType="decimal"/>
    </xmlCellPr>
  </singleXmlCell>
  <singleXmlCell id="4271" xr6:uid="{7BF25CA5-F7D1-4B7A-B0E9-656D2166CF61}" r="T14" connectionId="0">
    <xmlCellPr id="1" xr6:uid="{94A1FEC7-DF25-457A-88A0-D02C5AD72055}" uniqueName="Score">
      <xmlPr mapId="7" xpath="/MAKE/COP/COPCRSInstallation/CRS_9/@Score" xmlDataType="decimal"/>
    </xmlCellPr>
  </singleXmlCell>
  <singleXmlCell id="4272" xr6:uid="{F6BF9B84-A78A-483A-B864-EF558EF9E27E}" r="U14" connectionId="0">
    <xmlCellPr id="1" xr6:uid="{35D304B8-9CB3-4A56-91CA-10EF6F96E09F}" uniqueName="Facing">
      <xmlPr mapId="7" xpath="/MAKE/COP/COPCRSInstallation/CRS_9/@Facing" xmlDataType="string"/>
    </xmlCellPr>
  </singleXmlCell>
  <singleXmlCell id="4273" xr6:uid="{1B478134-5F53-47E4-8B4B-5DEE26FD521F}" r="V14" connectionId="0">
    <xmlCellPr id="1" xr6:uid="{8546E309-D578-407F-9FAF-706DCC431779}" uniqueName="Description">
      <xmlPr mapId="7" xpath="/MAKE/COP/COPCRSInstallation/CRS_9/@Description" xmlDataType="string"/>
    </xmlCellPr>
  </singleXmlCell>
  <singleXmlCell id="4274" xr6:uid="{21DE11D9-2E0C-4175-9DC6-42B1D7261054}" r="C15" connectionId="0">
    <xmlCellPr id="1" xr6:uid="{35FBD97C-781B-42DA-8502-B75C22B54012}" uniqueName="Stature">
      <xmlPr mapId="7" xpath="/MAKE/COP/COPCRSInstallation/CRS_10/@Stature" xmlDataType="string"/>
    </xmlCellPr>
  </singleXmlCell>
  <singleXmlCell id="4275" xr6:uid="{EAA698BF-126A-47D4-A3CA-6324C98C130A}" r="D15" connectionId="0">
    <xmlCellPr id="1" xr6:uid="{C1AC22E4-A16F-4A12-A385-9DE0266582D4}" uniqueName="Name">
      <xmlPr mapId="7" xpath="/MAKE/COP/COPCRSInstallation/CRS_10/@Name" xmlDataType="string"/>
    </xmlCellPr>
  </singleXmlCell>
  <singleXmlCell id="4276" xr6:uid="{8BC803E0-75FB-4B45-9836-DE0B3792F12C}" r="F15" connectionId="0">
    <xmlCellPr id="1" xr6:uid="{D2B3A03A-92EA-4AB5-BE64-A36A1D78AC82}" uniqueName="Type_Code">
      <xmlPr mapId="7" xpath="/MAKE/COP/COPCRSInstallation/CRS_10/@Type_Code" xmlDataType="string"/>
    </xmlCellPr>
  </singleXmlCell>
  <singleXmlCell id="4277" xr6:uid="{7A9AB1CE-3CB7-4A64-A335-210E8DE49C6F}" r="G15" connectionId="0">
    <xmlCellPr id="1" xr6:uid="{B456E81A-BF7D-4C46-9172-04945A917555}" uniqueName="Size">
      <xmlPr mapId="7" xpath="/MAKE/COP/COPCRSInstallation/CRS_10/@Size" xmlDataType="string"/>
    </xmlCellPr>
  </singleXmlCell>
  <singleXmlCell id="4278" xr6:uid="{202B1926-024E-4F0A-90FF-AF50D6781B87}" r="H15" connectionId="0">
    <xmlCellPr id="1" xr6:uid="{3558C47A-F7E3-40CC-925C-500485CED923}" uniqueName="Row1_L">
      <xmlPr mapId="7" xpath="/MAKE/COP/COPCRSInstallation/CRS_10/@Row1_L" xmlDataType="string"/>
    </xmlCellPr>
  </singleXmlCell>
  <singleXmlCell id="4279" xr6:uid="{1CC1EB53-44A1-4F64-BF44-EDCE25B64534}" r="I15" connectionId="0">
    <xmlCellPr id="1" xr6:uid="{275BE974-0684-43A0-A494-9293E4D4D770}" uniqueName="Row1_C">
      <xmlPr mapId="7" xpath="/MAKE/COP/COPCRSInstallation/CRS_10/@Row1_C" xmlDataType="string"/>
    </xmlCellPr>
  </singleXmlCell>
  <singleXmlCell id="4280" xr6:uid="{3E53B989-1F32-4465-B5A9-118DE843E407}" r="J15" connectionId="0">
    <xmlCellPr id="1" xr6:uid="{CA054659-8216-4073-A372-D103D06B559D}" uniqueName="Row1_R">
      <xmlPr mapId="7" xpath="/MAKE/COP/COPCRSInstallation/CRS_10/@Row1_R" xmlDataType="string"/>
    </xmlCellPr>
  </singleXmlCell>
  <singleXmlCell id="4281" xr6:uid="{5486CC97-D4FD-4DBD-A7CF-B91E3E5FEFC9}" r="K15" connectionId="0">
    <xmlCellPr id="1" xr6:uid="{0A13D5A6-D749-4764-9C35-7DD35C2884A8}" uniqueName="Row2_L">
      <xmlPr mapId="7" xpath="/MAKE/COP/COPCRSInstallation/CRS_10/@Row2_L" xmlDataType="string"/>
    </xmlCellPr>
  </singleXmlCell>
  <singleXmlCell id="4282" xr6:uid="{85B473B8-0416-4874-BE18-864F33C7485A}" r="L15" connectionId="0">
    <xmlCellPr id="1" xr6:uid="{2DC47E30-9CA4-4956-BC2E-CAE7DB734253}" uniqueName="Row2_C">
      <xmlPr mapId="7" xpath="/MAKE/COP/COPCRSInstallation/CRS_10/@Row2_C" xmlDataType="string"/>
    </xmlCellPr>
  </singleXmlCell>
  <singleXmlCell id="4283" xr6:uid="{3F1FEFB3-7661-49E2-B2BE-2B889677686F}" r="M15" connectionId="0">
    <xmlCellPr id="1" xr6:uid="{D1E44959-7AF4-4262-A229-88067C6102BD}" uniqueName="Row2_R">
      <xmlPr mapId="7" xpath="/MAKE/COP/COPCRSInstallation/CRS_10/@Row2_R" xmlDataType="string"/>
    </xmlCellPr>
  </singleXmlCell>
  <singleXmlCell id="4284" xr6:uid="{7AE1910D-2939-4158-B17E-52A961E4651F}" r="N15" connectionId="0">
    <xmlCellPr id="1" xr6:uid="{BD9322FB-9BE2-40AA-A93E-AB73F6AFFBBA}" uniqueName="Row3_L">
      <xmlPr mapId="7" xpath="/MAKE/COP/COPCRSInstallation/CRS_10/@Row3_L" xmlDataType="string"/>
    </xmlCellPr>
  </singleXmlCell>
  <singleXmlCell id="4285" xr6:uid="{34BF05BA-1B51-492D-AB0E-5EBEDF09807C}" r="O15" connectionId="0">
    <xmlCellPr id="1" xr6:uid="{CC87C684-D0F6-4306-A4EC-9337BC1732A0}" uniqueName="Row3_C">
      <xmlPr mapId="7" xpath="/MAKE/COP/COPCRSInstallation/CRS_10/@Row3_C" xmlDataType="string"/>
    </xmlCellPr>
  </singleXmlCell>
  <singleXmlCell id="4286" xr6:uid="{40BEB48A-B422-42A5-B252-9620253FC5CF}" r="P15" connectionId="0">
    <xmlCellPr id="1" xr6:uid="{EF39B765-E9F8-49D0-A0CB-FC94F457F142}" uniqueName="Row3_R">
      <xmlPr mapId="7" xpath="/MAKE/COP/COPCRSInstallation/CRS_10/@Row3_R" xmlDataType="string"/>
    </xmlCellPr>
  </singleXmlCell>
  <singleXmlCell id="4287" xr6:uid="{3AC35694-2F90-4A55-A3D3-B247C242787A}" r="Q15" connectionId="0">
    <xmlCellPr id="1" xr6:uid="{E7B50CE1-FCD0-4DCB-9DD6-C9257735C73B}" uniqueName="Pass">
      <xmlPr mapId="7" xpath="/MAKE/COP/COPCRSInstallation/CRS_10/@Pass" xmlDataType="decimal"/>
    </xmlCellPr>
  </singleXmlCell>
  <singleXmlCell id="4288" xr6:uid="{4F89041A-3736-44AD-9230-735640D46462}" r="R15" connectionId="0">
    <xmlCellPr id="1" xr6:uid="{B18D1EE8-4A44-4A10-8684-40F44BC891F2}" uniqueName="Fail">
      <xmlPr mapId="7" xpath="/MAKE/COP/COPCRSInstallation/CRS_10/@Fail" xmlDataType="decimal"/>
    </xmlCellPr>
  </singleXmlCell>
  <singleXmlCell id="4289" xr6:uid="{569FF896-F869-4FD5-A952-6E9DEB07A3DC}" r="S15" connectionId="0">
    <xmlCellPr id="1" xr6:uid="{51042365-5097-4420-BA9B-FAC7A2968B82}" uniqueName="Exempt">
      <xmlPr mapId="7" xpath="/MAKE/COP/COPCRSInstallation/CRS_10/@Exempt" xmlDataType="decimal"/>
    </xmlCellPr>
  </singleXmlCell>
  <singleXmlCell id="4290" xr6:uid="{27093DFD-791A-45A4-9638-02CA0946FAC6}" r="T15" connectionId="0">
    <xmlCellPr id="1" xr6:uid="{14F82AB7-74F8-479C-B026-E50EB200D4D8}" uniqueName="Score">
      <xmlPr mapId="7" xpath="/MAKE/COP/COPCRSInstallation/CRS_10/@Score" xmlDataType="decimal"/>
    </xmlCellPr>
  </singleXmlCell>
  <singleXmlCell id="4291" xr6:uid="{EE181966-14CD-4563-AC18-5817A6E16F4C}" r="U15" connectionId="0">
    <xmlCellPr id="1" xr6:uid="{C018677C-41C1-4703-B235-5BEDF3A16F76}" uniqueName="Facing">
      <xmlPr mapId="7" xpath="/MAKE/COP/COPCRSInstallation/CRS_10/@Facing" xmlDataType="string"/>
    </xmlCellPr>
  </singleXmlCell>
  <singleXmlCell id="4292" xr6:uid="{40F49EE5-6412-4DE2-9C80-AD2128652647}" r="V15" connectionId="0">
    <xmlCellPr id="1" xr6:uid="{ED8FD58A-8233-4A49-B583-A149828B307C}" uniqueName="Description">
      <xmlPr mapId="7" xpath="/MAKE/COP/COPCRSInstallation/CRS_10/@Description" xmlDataType="string"/>
    </xmlCellPr>
  </singleXmlCell>
  <singleXmlCell id="4293" xr6:uid="{D15A559F-B8A9-4717-9D62-6520551F6F1C}" r="C16" connectionId="0">
    <xmlCellPr id="1" xr6:uid="{34B0C93F-E50D-42F7-929F-3275F1B366EF}" uniqueName="Stature">
      <xmlPr mapId="7" xpath="/MAKE/COP/COPCRSInstallation/Rec_1/@Stature" xmlDataType="string"/>
    </xmlCellPr>
  </singleXmlCell>
  <singleXmlCell id="4294" xr6:uid="{B60D1228-7E6F-4429-8C35-5DC1DA609D5E}" r="D16" connectionId="0">
    <xmlCellPr id="1" xr6:uid="{5511C711-117E-419A-BE32-72DC90927FF4}" uniqueName="Name">
      <xmlPr mapId="7" xpath="/MAKE/COP/COPCRSInstallation/Rec_1/@Name" xmlDataType="string"/>
    </xmlCellPr>
  </singleXmlCell>
  <singleXmlCell id="4295" xr6:uid="{4AF71567-5BF4-4EF6-B8FD-2EFACA7ECDCD}" r="F16" connectionId="0">
    <xmlCellPr id="1" xr6:uid="{6731836D-A020-4C04-AA54-708FEA2C58F7}" uniqueName="Type_Code">
      <xmlPr mapId="7" xpath="/MAKE/COP/COPCRSInstallation/Rec_1/@Type_Code" xmlDataType="string"/>
    </xmlCellPr>
  </singleXmlCell>
  <singleXmlCell id="4296" xr6:uid="{BC8A924E-1B98-4E7B-9586-9A5A6B0A2FAD}" r="G16" connectionId="0">
    <xmlCellPr id="1" xr6:uid="{D4F6E968-3C17-408F-801A-B36240246295}" uniqueName="Size">
      <xmlPr mapId="7" xpath="/MAKE/COP/COPCRSInstallation/Rec_1/@Size" xmlDataType="string"/>
    </xmlCellPr>
  </singleXmlCell>
  <singleXmlCell id="4297" xr6:uid="{F25535AA-20DF-47C0-ABC7-004366334E9E}" r="H16" connectionId="0">
    <xmlCellPr id="1" xr6:uid="{0ABDA32B-7311-44C9-926A-BEF6542366D5}" uniqueName="Row1_L">
      <xmlPr mapId="7" xpath="/MAKE/COP/COPCRSInstallation/Rec_1/@Row1_L" xmlDataType="string"/>
    </xmlCellPr>
  </singleXmlCell>
  <singleXmlCell id="4298" xr6:uid="{ADBB64FE-B3B6-4BA0-8C5E-62A92F7DB816}" r="I16" connectionId="0">
    <xmlCellPr id="1" xr6:uid="{7F18253D-421E-4886-A444-30E68B032054}" uniqueName="Row1_C">
      <xmlPr mapId="7" xpath="/MAKE/COP/COPCRSInstallation/Rec_1/@Row1_C" xmlDataType="string"/>
    </xmlCellPr>
  </singleXmlCell>
  <singleXmlCell id="4299" xr6:uid="{B492D43E-DBD6-4A44-82A6-BE54C6F4EE0C}" r="J16" connectionId="0">
    <xmlCellPr id="1" xr6:uid="{6ADB83CF-D241-4C80-A79E-33705ED73C01}" uniqueName="Row1_R">
      <xmlPr mapId="7" xpath="/MAKE/COP/COPCRSInstallation/Rec_1/@Row1_R" xmlDataType="string"/>
    </xmlCellPr>
  </singleXmlCell>
  <singleXmlCell id="4300" xr6:uid="{97DD405B-3F14-4C08-A078-B122F1B7B84F}" r="K16" connectionId="0">
    <xmlCellPr id="1" xr6:uid="{D653CBA8-E61B-474E-97E2-8D420E09D26A}" uniqueName="Row2_L">
      <xmlPr mapId="7" xpath="/MAKE/COP/COPCRSInstallation/Rec_1/@Row2_L" xmlDataType="string"/>
    </xmlCellPr>
  </singleXmlCell>
  <singleXmlCell id="4301" xr6:uid="{037C6157-155E-4508-A168-E33F1F9E5FB6}" r="L16" connectionId="0">
    <xmlCellPr id="1" xr6:uid="{ABA6408B-7D16-425E-8C15-0611F93E8124}" uniqueName="Row2_C">
      <xmlPr mapId="7" xpath="/MAKE/COP/COPCRSInstallation/Rec_1/@Row2_C" xmlDataType="string"/>
    </xmlCellPr>
  </singleXmlCell>
  <singleXmlCell id="4302" xr6:uid="{90E3D293-21AC-46FC-BD81-5DAE15670D96}" r="M16" connectionId="0">
    <xmlCellPr id="1" xr6:uid="{4CA9488D-B671-4C89-9A42-FAAD7A12831A}" uniqueName="Row2_R">
      <xmlPr mapId="7" xpath="/MAKE/COP/COPCRSInstallation/Rec_1/@Row2_R" xmlDataType="string"/>
    </xmlCellPr>
  </singleXmlCell>
  <singleXmlCell id="4303" xr6:uid="{07F87627-4CA9-4305-9948-E554FC283D49}" r="N16" connectionId="0">
    <xmlCellPr id="1" xr6:uid="{52A5D7AA-A708-494C-9109-386BFB995000}" uniqueName="Row3_L">
      <xmlPr mapId="7" xpath="/MAKE/COP/COPCRSInstallation/Rec_1/@Row3_L" xmlDataType="string"/>
    </xmlCellPr>
  </singleXmlCell>
  <singleXmlCell id="4304" xr6:uid="{48A8AEAE-EEB0-4859-84B4-669F1CF4A829}" r="O16" connectionId="0">
    <xmlCellPr id="1" xr6:uid="{E96316B8-D4FC-49B5-B351-76BB2B2258BD}" uniqueName="Row3_C">
      <xmlPr mapId="7" xpath="/MAKE/COP/COPCRSInstallation/Rec_1/@Row3_C" xmlDataType="string"/>
    </xmlCellPr>
  </singleXmlCell>
  <singleXmlCell id="4305" xr6:uid="{9E3E543F-5F16-4D7F-925E-41EE181D1018}" r="P16" connectionId="0">
    <xmlCellPr id="1" xr6:uid="{7374A027-4B17-4E97-83ED-178FF79DEB80}" uniqueName="Row3_R">
      <xmlPr mapId="7" xpath="/MAKE/COP/COPCRSInstallation/Rec_1/@Row3_R" xmlDataType="string"/>
    </xmlCellPr>
  </singleXmlCell>
  <singleXmlCell id="4312" xr6:uid="{241DFC7D-2592-4F7A-A468-88B88D43062F}" r="U16" connectionId="0">
    <xmlCellPr id="1" xr6:uid="{C525013A-69B5-43D5-867D-B8C0C0F7723E}" uniqueName="Facing">
      <xmlPr mapId="7" xpath="/MAKE/COP/COPCRSInstallation/Rec_1/@Facing" xmlDataType="string"/>
    </xmlCellPr>
  </singleXmlCell>
  <singleXmlCell id="4313" xr6:uid="{1691545D-67D5-48F4-8D81-A355BD79F468}" r="V16" connectionId="0">
    <xmlCellPr id="1" xr6:uid="{6D13FE54-6AC1-45EF-B8E4-68FCE8331F34}" uniqueName="Description">
      <xmlPr mapId="7" xpath="/MAKE/COP/COPCRSInstallation/Rec_1/@Description" xmlDataType="string"/>
    </xmlCellPr>
  </singleXmlCell>
  <singleXmlCell id="4314" xr6:uid="{69EE99D7-1F1C-4E87-A545-A8C9AB8E0EEF}" r="C17" connectionId="0">
    <xmlCellPr id="1" xr6:uid="{F7F209AB-5AED-4D40-A81D-80A908D7EC6D}" uniqueName="Stature">
      <xmlPr mapId="7" xpath="/MAKE/COP/COPCRSInstallation/Rec_2/@Stature" xmlDataType="string"/>
    </xmlCellPr>
  </singleXmlCell>
  <singleXmlCell id="4315" xr6:uid="{597BC6F0-D15C-4B80-A78B-D89D877248C6}" r="D17" connectionId="0">
    <xmlCellPr id="1" xr6:uid="{A55AFAF2-7684-4C0E-A4FF-E39AD7F80D34}" uniqueName="Name">
      <xmlPr mapId="7" xpath="/MAKE/COP/COPCRSInstallation/Rec_2/@Name" xmlDataType="string"/>
    </xmlCellPr>
  </singleXmlCell>
  <singleXmlCell id="4316" xr6:uid="{46AE010F-549C-4D1C-ABC6-2C0381255F22}" r="F17" connectionId="0">
    <xmlCellPr id="1" xr6:uid="{1B5B6979-C845-4B34-A25B-63677E7403A6}" uniqueName="Type_Code">
      <xmlPr mapId="7" xpath="/MAKE/COP/COPCRSInstallation/Rec_2/@Type_Code" xmlDataType="string"/>
    </xmlCellPr>
  </singleXmlCell>
  <singleXmlCell id="4317" xr6:uid="{CF677E7C-3E6C-4374-9F17-7BB8A59527E5}" r="G17" connectionId="0">
    <xmlCellPr id="1" xr6:uid="{513637B1-6AFE-44CF-9788-36E4E30E536F}" uniqueName="Size">
      <xmlPr mapId="7" xpath="/MAKE/COP/COPCRSInstallation/Rec_2/@Size" xmlDataType="string"/>
    </xmlCellPr>
  </singleXmlCell>
  <singleXmlCell id="4318" xr6:uid="{8F5117FF-8810-4966-918B-0DE1EFA9F497}" r="H17" connectionId="0">
    <xmlCellPr id="1" xr6:uid="{D1DF53EC-1D9F-433B-9247-26962B31A439}" uniqueName="Row1_L">
      <xmlPr mapId="7" xpath="/MAKE/COP/COPCRSInstallation/Rec_2/@Row1_L" xmlDataType="string"/>
    </xmlCellPr>
  </singleXmlCell>
  <singleXmlCell id="4319" xr6:uid="{5919ABB0-952D-4E98-9E4B-823F8410BB0A}" r="I17" connectionId="0">
    <xmlCellPr id="1" xr6:uid="{14E5E3CA-0624-474E-B10B-A541B2387787}" uniqueName="Row1_C">
      <xmlPr mapId="7" xpath="/MAKE/COP/COPCRSInstallation/Rec_2/@Row1_C" xmlDataType="string"/>
    </xmlCellPr>
  </singleXmlCell>
  <singleXmlCell id="4320" xr6:uid="{B5D17991-8CF9-4A8D-8FFC-B7E022AE0563}" r="J17" connectionId="0">
    <xmlCellPr id="1" xr6:uid="{249FFFFD-D050-4B29-803F-CE6F01E0B1B5}" uniqueName="Row1_R">
      <xmlPr mapId="7" xpath="/MAKE/COP/COPCRSInstallation/Rec_2/@Row1_R" xmlDataType="string"/>
    </xmlCellPr>
  </singleXmlCell>
  <singleXmlCell id="4321" xr6:uid="{570F1166-75EC-4CEB-AF55-5A50D498A0C4}" r="K17" connectionId="0">
    <xmlCellPr id="1" xr6:uid="{89EE4836-935F-4BF2-9436-35A58AD7F43B}" uniqueName="Row2_L">
      <xmlPr mapId="7" xpath="/MAKE/COP/COPCRSInstallation/Rec_2/@Row2_L" xmlDataType="string"/>
    </xmlCellPr>
  </singleXmlCell>
  <singleXmlCell id="4322" xr6:uid="{E0DB1E63-3F7C-43EB-8848-1F5C438CE0BD}" r="L17" connectionId="0">
    <xmlCellPr id="1" xr6:uid="{68784F9F-B338-4E7C-BB2E-1A9A4091C4C3}" uniqueName="Row2_C">
      <xmlPr mapId="7" xpath="/MAKE/COP/COPCRSInstallation/Rec_2/@Row2_C" xmlDataType="string"/>
    </xmlCellPr>
  </singleXmlCell>
  <singleXmlCell id="4323" xr6:uid="{ED1DB324-D8B6-4FDD-BA32-E24358CA73D9}" r="M17" connectionId="0">
    <xmlCellPr id="1" xr6:uid="{27F7CD92-445F-4513-9908-B0B03F0D34E9}" uniqueName="Row2_R">
      <xmlPr mapId="7" xpath="/MAKE/COP/COPCRSInstallation/Rec_2/@Row2_R" xmlDataType="string"/>
    </xmlCellPr>
  </singleXmlCell>
  <singleXmlCell id="4324" xr6:uid="{8A2A88B1-0E20-49E7-AC51-72FD6D45AD8B}" r="N17" connectionId="0">
    <xmlCellPr id="1" xr6:uid="{2E29D629-95E7-44B4-9C4D-7EC0EFBFD1C4}" uniqueName="Row3_L">
      <xmlPr mapId="7" xpath="/MAKE/COP/COPCRSInstallation/Rec_2/@Row3_L" xmlDataType="string"/>
    </xmlCellPr>
  </singleXmlCell>
  <singleXmlCell id="4325" xr6:uid="{768C846E-C546-4FD3-88C7-86B41A567FF2}" r="O17" connectionId="0">
    <xmlCellPr id="1" xr6:uid="{6E9005B2-9477-47DA-8651-0C59D62C0CDC}" uniqueName="Row3_C">
      <xmlPr mapId="7" xpath="/MAKE/COP/COPCRSInstallation/Rec_2/@Row3_C" xmlDataType="string"/>
    </xmlCellPr>
  </singleXmlCell>
  <singleXmlCell id="4326" xr6:uid="{2BF2E06E-DDCE-43FD-8D16-D83E2D488B14}" r="P17" connectionId="0">
    <xmlCellPr id="1" xr6:uid="{E31DE28A-726C-4F58-8559-79A996C96303}" uniqueName="Row3_R">
      <xmlPr mapId="7" xpath="/MAKE/COP/COPCRSInstallation/Rec_2/@Row3_R" xmlDataType="string"/>
    </xmlCellPr>
  </singleXmlCell>
  <singleXmlCell id="4333" xr6:uid="{C8606A27-D035-4804-A761-54CF091BC4C4}" r="U17" connectionId="0">
    <xmlCellPr id="1" xr6:uid="{92ADFDFD-B367-4B1E-B438-F0E6B7F352EB}" uniqueName="Facing">
      <xmlPr mapId="7" xpath="/MAKE/COP/COPCRSInstallation/Rec_2/@Facing" xmlDataType="string"/>
    </xmlCellPr>
  </singleXmlCell>
  <singleXmlCell id="4334" xr6:uid="{AA710CF5-78A2-4F51-B88A-9B3958C9E500}" r="V17" connectionId="0">
    <xmlCellPr id="1" xr6:uid="{B0C265E3-4D83-4946-B8C1-E94217D63CE2}" uniqueName="Description">
      <xmlPr mapId="7" xpath="/MAKE/COP/COPCRSInstallation/Rec_2/@Description" xmlDataType="string"/>
    </xmlCellPr>
  </singleXmlCell>
  <singleXmlCell id="4335" xr6:uid="{10B4A2E0-8650-4D4B-B85A-0087B232523B}" r="C18" connectionId="0">
    <xmlCellPr id="1" xr6:uid="{E66B3373-E25F-43E5-81A7-1DDD79A3C32A}" uniqueName="Stature">
      <xmlPr mapId="7" xpath="/MAKE/COP/COPCRSInstallation/Rec_3/@Stature" xmlDataType="string"/>
    </xmlCellPr>
  </singleXmlCell>
  <singleXmlCell id="4336" xr6:uid="{70C935A1-76B4-43F8-BEBE-A0B8BA52273B}" r="D18" connectionId="0">
    <xmlCellPr id="1" xr6:uid="{DC6E16ED-434C-4D23-94A4-787A8648610F}" uniqueName="Name">
      <xmlPr mapId="7" xpath="/MAKE/COP/COPCRSInstallation/Rec_3/@Name" xmlDataType="string"/>
    </xmlCellPr>
  </singleXmlCell>
  <singleXmlCell id="4337" xr6:uid="{35087B7E-8512-418D-857A-B60E4D8B0CF5}" r="F18" connectionId="0">
    <xmlCellPr id="1" xr6:uid="{1D06F7B9-F235-45CA-BEFB-E2E16A03F40C}" uniqueName="Type_Code">
      <xmlPr mapId="7" xpath="/MAKE/COP/COPCRSInstallation/Rec_3/@Type_Code" xmlDataType="string"/>
    </xmlCellPr>
  </singleXmlCell>
  <singleXmlCell id="4338" xr6:uid="{5B2307AA-2DDB-499F-8228-E6A62D6AB495}" r="G18" connectionId="0">
    <xmlCellPr id="1" xr6:uid="{65BF919E-7596-4AFB-B890-ED33E246DE4D}" uniqueName="Size">
      <xmlPr mapId="7" xpath="/MAKE/COP/COPCRSInstallation/Rec_3/@Size" xmlDataType="string"/>
    </xmlCellPr>
  </singleXmlCell>
  <singleXmlCell id="4339" xr6:uid="{69AB2358-0475-4AAC-8EA4-154F0AC5946A}" r="H18" connectionId="0">
    <xmlCellPr id="1" xr6:uid="{AED6E129-6F10-42E3-B5A6-4214B872EE88}" uniqueName="Row1_L">
      <xmlPr mapId="7" xpath="/MAKE/COP/COPCRSInstallation/Rec_3/@Row1_L" xmlDataType="string"/>
    </xmlCellPr>
  </singleXmlCell>
  <singleXmlCell id="4340" xr6:uid="{B6897ED5-481B-4835-9167-FA0CB2BA16D5}" r="I18" connectionId="0">
    <xmlCellPr id="1" xr6:uid="{43007EF0-A694-4F15-8598-154A2A4E6C8F}" uniqueName="Row1_C">
      <xmlPr mapId="7" xpath="/MAKE/COP/COPCRSInstallation/Rec_3/@Row1_C" xmlDataType="string"/>
    </xmlCellPr>
  </singleXmlCell>
  <singleXmlCell id="4341" xr6:uid="{9C241633-9DFB-4BD7-8AB6-4854A54ACC1E}" r="J18" connectionId="0">
    <xmlCellPr id="1" xr6:uid="{11C45290-EB5E-4F96-8EC5-C602651662D2}" uniqueName="Row1_R">
      <xmlPr mapId="7" xpath="/MAKE/COP/COPCRSInstallation/Rec_3/@Row1_R" xmlDataType="string"/>
    </xmlCellPr>
  </singleXmlCell>
  <singleXmlCell id="4342" xr6:uid="{197CC051-0DD9-4754-93AB-7BE5025EA371}" r="K18" connectionId="0">
    <xmlCellPr id="1" xr6:uid="{BDF33000-3651-49E1-9D27-C60E0B77AB51}" uniqueName="Row2_L">
      <xmlPr mapId="7" xpath="/MAKE/COP/COPCRSInstallation/Rec_3/@Row2_L" xmlDataType="string"/>
    </xmlCellPr>
  </singleXmlCell>
  <singleXmlCell id="4343" xr6:uid="{4E79CB87-A8B3-491D-A77A-BE389331804E}" r="L18" connectionId="0">
    <xmlCellPr id="1" xr6:uid="{48239DC2-F5C5-4A63-B612-227316CFE637}" uniqueName="Row2_C">
      <xmlPr mapId="7" xpath="/MAKE/COP/COPCRSInstallation/Rec_3/@Row2_C" xmlDataType="string"/>
    </xmlCellPr>
  </singleXmlCell>
  <singleXmlCell id="4344" xr6:uid="{EE9BE541-10CA-49FB-9C85-E0ECDC05B332}" r="M18" connectionId="0">
    <xmlCellPr id="1" xr6:uid="{3FB0FB63-A323-408B-B87D-E01A33436C0F}" uniqueName="Row2_R">
      <xmlPr mapId="7" xpath="/MAKE/COP/COPCRSInstallation/Rec_3/@Row2_R" xmlDataType="string"/>
    </xmlCellPr>
  </singleXmlCell>
  <singleXmlCell id="4345" xr6:uid="{6CCE8BE5-D4D5-48CE-B96B-3EFA754B34D4}" r="N18" connectionId="0">
    <xmlCellPr id="1" xr6:uid="{DE7EA4CE-6D09-4C63-A1FB-07D637A9953A}" uniqueName="Row3_L">
      <xmlPr mapId="7" xpath="/MAKE/COP/COPCRSInstallation/Rec_3/@Row3_L" xmlDataType="string"/>
    </xmlCellPr>
  </singleXmlCell>
  <singleXmlCell id="4346" xr6:uid="{BD63D990-76C6-44AB-A0BF-D595D0CC32FF}" r="O18" connectionId="0">
    <xmlCellPr id="1" xr6:uid="{E1B4CFA0-095F-4865-A3A2-4EC9B9EAE573}" uniqueName="Row3_C">
      <xmlPr mapId="7" xpath="/MAKE/COP/COPCRSInstallation/Rec_3/@Row3_C" xmlDataType="string"/>
    </xmlCellPr>
  </singleXmlCell>
  <singleXmlCell id="4347" xr6:uid="{9A82FA3E-14F7-4430-A3F7-BADB6C94831D}" r="P18" connectionId="0">
    <xmlCellPr id="1" xr6:uid="{FA1403AF-BF13-4D08-9213-9DD843E12377}" uniqueName="Row3_R">
      <xmlPr mapId="7" xpath="/MAKE/COP/COPCRSInstallation/Rec_3/@Row3_R" xmlDataType="string"/>
    </xmlCellPr>
  </singleXmlCell>
  <singleXmlCell id="4348" xr6:uid="{4F6F40CF-8907-49C3-AD42-DD07FBD5E6ED}" r="U18" connectionId="0">
    <xmlCellPr id="1" xr6:uid="{9A3A51AD-D5A8-43FE-83CB-8E7D5706C9E7}" uniqueName="Facing">
      <xmlPr mapId="7" xpath="/MAKE/COP/COPCRSInstallation/Rec_3/@Facing" xmlDataType="string"/>
    </xmlCellPr>
  </singleXmlCell>
  <singleXmlCell id="4349" xr6:uid="{512AED3D-7DA3-48F9-94DC-13F11F60B6AB}" r="V18" connectionId="0">
    <xmlCellPr id="1" xr6:uid="{27DDD553-9ABC-4A6F-9E42-008D46B83AFB}" uniqueName="Description">
      <xmlPr mapId="7" xpath="/MAKE/COP/COPCRSInstallation/Rec_3/@Description" xmlDataType="string"/>
    </xmlCellPr>
  </singleXmlCell>
  <singleXmlCell id="4350" xr6:uid="{D7DA7691-9693-4F67-8254-ADE48303F3B2}" r="C19" connectionId="0">
    <xmlCellPr id="1" xr6:uid="{981E54F4-4595-49B7-AB34-772017A50534}" uniqueName="Stature">
      <xmlPr mapId="7" xpath="/MAKE/COP/COPCRSInstallation/Rec_4/@Stature" xmlDataType="string"/>
    </xmlCellPr>
  </singleXmlCell>
  <singleXmlCell id="4351" xr6:uid="{1408E724-B21E-43C3-8E12-EE904C6F5591}" r="D19" connectionId="0">
    <xmlCellPr id="1" xr6:uid="{6D33B254-494D-400B-ADD7-5C19DB439ABE}" uniqueName="Name">
      <xmlPr mapId="7" xpath="/MAKE/COP/COPCRSInstallation/Rec_4/@Name" xmlDataType="string"/>
    </xmlCellPr>
  </singleXmlCell>
  <singleXmlCell id="4352" xr6:uid="{17C25BF9-E993-423F-B0F2-AFDFF90D7880}" r="F19" connectionId="0">
    <xmlCellPr id="1" xr6:uid="{E943062B-78F2-4459-A3FE-708CFA5F67FA}" uniqueName="Type_Code">
      <xmlPr mapId="7" xpath="/MAKE/COP/COPCRSInstallation/Rec_4/@Type_Code" xmlDataType="string"/>
    </xmlCellPr>
  </singleXmlCell>
  <singleXmlCell id="4353" xr6:uid="{3A557157-9D2F-4998-ABDE-2567A513B76B}" r="G19" connectionId="0">
    <xmlCellPr id="1" xr6:uid="{6E3D5BEE-F4A6-45F5-B1A7-A547C985CD53}" uniqueName="Size">
      <xmlPr mapId="7" xpath="/MAKE/COP/COPCRSInstallation/Rec_4/@Size" xmlDataType="string"/>
    </xmlCellPr>
  </singleXmlCell>
  <singleXmlCell id="4354" xr6:uid="{54AFA32F-9065-4F00-9822-1027FED06468}" r="H19" connectionId="0">
    <xmlCellPr id="1" xr6:uid="{E1D0DD59-9389-4CBD-A1DC-1C9BFC4C3A04}" uniqueName="Row1_L">
      <xmlPr mapId="7" xpath="/MAKE/COP/COPCRSInstallation/Rec_4/@Row1_L" xmlDataType="string"/>
    </xmlCellPr>
  </singleXmlCell>
  <singleXmlCell id="4355" xr6:uid="{FF873689-5B6D-4726-9EEA-5D1004241C0D}" r="I19" connectionId="0">
    <xmlCellPr id="1" xr6:uid="{84DA1357-C8D7-4C72-8554-BEB8D452AB55}" uniqueName="Row1_C">
      <xmlPr mapId="7" xpath="/MAKE/COP/COPCRSInstallation/Rec_4/@Row1_C" xmlDataType="string"/>
    </xmlCellPr>
  </singleXmlCell>
  <singleXmlCell id="4356" xr6:uid="{4A3D59C3-AB79-4A33-8085-B6086BFCEE41}" r="J19" connectionId="0">
    <xmlCellPr id="1" xr6:uid="{6CBD44C3-E684-47E0-AB57-789DECB1E5D1}" uniqueName="Row1_R">
      <xmlPr mapId="7" xpath="/MAKE/COP/COPCRSInstallation/Rec_4/@Row1_R" xmlDataType="string"/>
    </xmlCellPr>
  </singleXmlCell>
  <singleXmlCell id="4357" xr6:uid="{3EA3EAA1-522D-466A-B2F8-F2D085F19643}" r="K19" connectionId="0">
    <xmlCellPr id="1" xr6:uid="{7732C601-862C-4948-9A49-4857A3705615}" uniqueName="Row2_L">
      <xmlPr mapId="7" xpath="/MAKE/COP/COPCRSInstallation/Rec_4/@Row2_L" xmlDataType="string"/>
    </xmlCellPr>
  </singleXmlCell>
  <singleXmlCell id="4358" xr6:uid="{D80F3D51-41D7-4405-B75A-9EA398B4C7B5}" r="L19" connectionId="0">
    <xmlCellPr id="1" xr6:uid="{22F8A01B-2CC2-43A2-BF11-7F4309B3E4F9}" uniqueName="Row2_C">
      <xmlPr mapId="7" xpath="/MAKE/COP/COPCRSInstallation/Rec_4/@Row2_C" xmlDataType="string"/>
    </xmlCellPr>
  </singleXmlCell>
  <singleXmlCell id="4359" xr6:uid="{DB2B8B08-33E1-434A-ACB1-71378584F01E}" r="M19" connectionId="0">
    <xmlCellPr id="1" xr6:uid="{0B9F96B4-A903-4679-92CD-DE5161A7C54A}" uniqueName="Row2_R">
      <xmlPr mapId="7" xpath="/MAKE/COP/COPCRSInstallation/Rec_4/@Row2_R" xmlDataType="string"/>
    </xmlCellPr>
  </singleXmlCell>
  <singleXmlCell id="4360" xr6:uid="{48C2FD55-F271-4D85-BC24-E7106B19B153}" r="N19" connectionId="0">
    <xmlCellPr id="1" xr6:uid="{4322CC06-7D62-4909-B510-53E467C42318}" uniqueName="Row3_L">
      <xmlPr mapId="7" xpath="/MAKE/COP/COPCRSInstallation/Rec_4/@Row3_L" xmlDataType="string"/>
    </xmlCellPr>
  </singleXmlCell>
  <singleXmlCell id="4361" xr6:uid="{6222F759-8805-4BBC-8690-563B33D8DC65}" r="O19" connectionId="0">
    <xmlCellPr id="1" xr6:uid="{E5E973EE-BDD6-4B84-B100-359A5FE622CD}" uniqueName="Row3_C">
      <xmlPr mapId="7" xpath="/MAKE/COP/COPCRSInstallation/Rec_4/@Row3_C" xmlDataType="string"/>
    </xmlCellPr>
  </singleXmlCell>
  <singleXmlCell id="4362" xr6:uid="{857502E8-9D4A-4161-9567-62D213CD883E}" r="P19" connectionId="0">
    <xmlCellPr id="1" xr6:uid="{5F272138-2DA5-45AA-974B-A0D8C3ADCE7A}" uniqueName="Row3_R">
      <xmlPr mapId="7" xpath="/MAKE/COP/COPCRSInstallation/Rec_4/@Row3_R" xmlDataType="string"/>
    </xmlCellPr>
  </singleXmlCell>
  <singleXmlCell id="4363" xr6:uid="{F1D9F23A-EC32-4296-8340-E95791B6AC68}" r="U19" connectionId="0">
    <xmlCellPr id="1" xr6:uid="{0D34A7E2-4749-4C25-ACC3-3B2E3D10B6AC}" uniqueName="Facing">
      <xmlPr mapId="7" xpath="/MAKE/COP/COPCRSInstallation/Rec_4/@Facing" xmlDataType="string"/>
    </xmlCellPr>
  </singleXmlCell>
  <singleXmlCell id="4364" xr6:uid="{406AE25B-107D-4209-ABF0-822AD64098A3}" r="V19" connectionId="0">
    <xmlCellPr id="1" xr6:uid="{05516BFE-D367-4B38-818A-614C515B09D8}" uniqueName="Description">
      <xmlPr mapId="7" xpath="/MAKE/COP/COPCRSInstallation/Rec_4/@Description" xmlDataType="string"/>
    </xmlCellPr>
  </singleXmlCell>
  <singleXmlCell id="4365" xr6:uid="{17112E2F-DB39-4F94-9062-CD3D1CB87D5E}" r="H22" connectionId="0">
    <xmlCellPr id="1" xr6:uid="{5144C60D-B6C4-4245-953C-52A6FA4AF3E5}" uniqueName="Installation_Score">
      <xmlPr mapId="7" xpath="/MAKE/COP/COPCRSInstallation/Installation_Score" xmlDataType="decimal"/>
    </xmlCellPr>
  </singleXmlCell>
  <singleXmlCell id="4366" xr6:uid="{EB751C4A-14FC-4E74-87FB-31A47FBFCF8B}" r="H23" connectionId="0">
    <xmlCellPr id="1" xr6:uid="{4EDB2F9E-0133-49A7-9555-77A2C54B722D}" uniqueName="OEM_Assessment">
      <xmlPr mapId="7" xpath="/MAKE/COP/COPCRSInstallation/OEM_Assessment" xmlDataType="decimal"/>
    </xmlCellPr>
  </singleXmlCell>
  <singleXmlCell id="5242" xr6:uid="{0A50809B-0C40-4316-8AC9-D5717BE932F6}" r="H29" connectionId="0">
    <xmlCellPr id="1" xr6:uid="{EACC68D8-BC9C-475A-8C31-056DD6C40DD6}" uniqueName="Row1_L">
      <xmlPr mapId="7" xpath="/MAKE/COP/COPCRSInstallation/Website_Illustrations/iSize/@Row1_L" xmlDataType="string"/>
    </xmlCellPr>
  </singleXmlCell>
  <singleXmlCell id="5243" xr6:uid="{12AE549B-5E39-41FC-9CBB-89E6A8E789E3}" r="I29" connectionId="0">
    <xmlCellPr id="1" xr6:uid="{A33E19C4-E522-4A7B-AB62-BFF931F4705A}" uniqueName="Row1_C">
      <xmlPr mapId="7" xpath="/MAKE/COP/COPCRSInstallation/Website_Illustrations/iSize/@Row1_C" xmlDataType="string"/>
    </xmlCellPr>
  </singleXmlCell>
  <singleXmlCell id="5244" xr6:uid="{4FB86600-5BDB-447D-A04B-B6FC5C7A2F7E}" r="J29" connectionId="0">
    <xmlCellPr id="1" xr6:uid="{374843EC-7499-4E3B-ACF5-6A0CE9159D92}" uniqueName="Row1_R">
      <xmlPr mapId="7" xpath="/MAKE/COP/COPCRSInstallation/Website_Illustrations/iSize/@Row1_R" xmlDataType="string"/>
    </xmlCellPr>
  </singleXmlCell>
  <singleXmlCell id="5245" xr6:uid="{68DD87B5-E8EC-490B-9D50-63E5A93E0A4C}" r="K29" connectionId="0">
    <xmlCellPr id="1" xr6:uid="{A2FB5A81-6F21-4771-A823-A32C33757288}" uniqueName="Row2_L">
      <xmlPr mapId="7" xpath="/MAKE/COP/COPCRSInstallation/Website_Illustrations/iSize/@Row2_L" xmlDataType="string"/>
    </xmlCellPr>
  </singleXmlCell>
  <singleXmlCell id="5246" xr6:uid="{E8896885-BBBD-41C0-97D7-5F9B3AD6291D}" r="L29" connectionId="0">
    <xmlCellPr id="1" xr6:uid="{E9FB36FE-4948-4B86-AC2E-A4423E50654E}" uniqueName="Row2_C">
      <xmlPr mapId="7" xpath="/MAKE/COP/COPCRSInstallation/Website_Illustrations/iSize/@Row2_C" xmlDataType="string"/>
    </xmlCellPr>
  </singleXmlCell>
  <singleXmlCell id="5247" xr6:uid="{9F5FC417-E040-4CF1-B11C-07CB70DEE7C6}" r="M29" connectionId="0">
    <xmlCellPr id="1" xr6:uid="{6C8C37CA-F388-4A5D-B650-18153E7F8711}" uniqueName="Row2_R">
      <xmlPr mapId="7" xpath="/MAKE/COP/COPCRSInstallation/Website_Illustrations/iSize/@Row2_R" xmlDataType="string"/>
    </xmlCellPr>
  </singleXmlCell>
  <singleXmlCell id="5248" xr6:uid="{09CE3B14-3AF8-4CE3-9FBD-4DD4DF9F8050}" r="N29" connectionId="0">
    <xmlCellPr id="1" xr6:uid="{001CBCD5-3F7F-4BAD-AC19-95CE932B4F36}" uniqueName="Row3_L">
      <xmlPr mapId="7" xpath="/MAKE/COP/COPCRSInstallation/Website_Illustrations/iSize/@Row3_L" xmlDataType="string"/>
    </xmlCellPr>
  </singleXmlCell>
  <singleXmlCell id="5249" xr6:uid="{F6A88AF9-EF4F-407B-A253-029BF0DAABD4}" r="O29" connectionId="0">
    <xmlCellPr id="1" xr6:uid="{7FDF9D7A-6CC4-4E9B-9D6F-10412C1BA3E2}" uniqueName="Row3_C">
      <xmlPr mapId="7" xpath="/MAKE/COP/COPCRSInstallation/Website_Illustrations/iSize/@Row3_C" xmlDataType="string"/>
    </xmlCellPr>
  </singleXmlCell>
  <singleXmlCell id="5250" xr6:uid="{9E9C98E8-CFAA-4E98-AC16-A94E6AA03CD7}" r="P29" connectionId="0">
    <xmlCellPr id="1" xr6:uid="{AB186FAE-5AE0-46A1-8BE4-D3EED4F945A9}" uniqueName="Row3_R">
      <xmlPr mapId="7" xpath="/MAKE/COP/COPCRSInstallation/Website_Illustrations/iSize/@Row3_R" xmlDataType="string"/>
    </xmlCellPr>
  </singleXmlCell>
  <singleXmlCell id="5251" xr6:uid="{3C92B4B9-D658-4021-95C9-47058EA9625D}" r="H30" connectionId="0">
    <xmlCellPr id="1" xr6:uid="{35A60885-12D4-49A6-8D7D-1CBFE01EED27}" uniqueName="Row1_L">
      <xmlPr mapId="7" xpath="/MAKE/COP/COPCRSInstallation/Website_Illustrations/ISOFIX/@Row1_L" xmlDataType="string"/>
    </xmlCellPr>
  </singleXmlCell>
  <singleXmlCell id="5252" xr6:uid="{B9BF6212-D2D1-4CD1-B7F0-BE0154372B1D}" r="I30" connectionId="0">
    <xmlCellPr id="1" xr6:uid="{69625F6C-75CB-4258-A73C-24F4F81D4DDA}" uniqueName="Row1_C">
      <xmlPr mapId="7" xpath="/MAKE/COP/COPCRSInstallation/Website_Illustrations/ISOFIX/@Row1_C" xmlDataType="string"/>
    </xmlCellPr>
  </singleXmlCell>
  <singleXmlCell id="5253" xr6:uid="{7FA6664A-386F-4C06-B8CC-75F2213B744D}" r="J30" connectionId="0">
    <xmlCellPr id="1" xr6:uid="{DAD62493-55F8-4833-8E77-BAC5D08FA392}" uniqueName="Row1_R">
      <xmlPr mapId="7" xpath="/MAKE/COP/COPCRSInstallation/Website_Illustrations/ISOFIX/@Row1_R" xmlDataType="string"/>
    </xmlCellPr>
  </singleXmlCell>
  <singleXmlCell id="5254" xr6:uid="{ADDF3F0E-7512-4999-A808-B9EF616AC471}" r="K30" connectionId="0">
    <xmlCellPr id="1" xr6:uid="{67CD1D1F-5058-4D14-922B-6B713BE58DE4}" uniqueName="Row2_L">
      <xmlPr mapId="7" xpath="/MAKE/COP/COPCRSInstallation/Website_Illustrations/ISOFIX/@Row2_L" xmlDataType="string"/>
    </xmlCellPr>
  </singleXmlCell>
  <singleXmlCell id="5255" xr6:uid="{4C1A1AF5-5170-4217-A9C7-08F097B9A90B}" r="L30" connectionId="0">
    <xmlCellPr id="1" xr6:uid="{D9820679-5000-4F01-809C-AF9002962BCB}" uniqueName="Row2_C">
      <xmlPr mapId="7" xpath="/MAKE/COP/COPCRSInstallation/Website_Illustrations/ISOFIX/@Row2_C" xmlDataType="string"/>
    </xmlCellPr>
  </singleXmlCell>
  <singleXmlCell id="5256" xr6:uid="{F92A5DDB-33F6-4A09-BD97-FA83FD2B6133}" r="M30" connectionId="0">
    <xmlCellPr id="1" xr6:uid="{62DA1ACB-F63A-4B44-B9CF-A31CECA3732E}" uniqueName="Row2_R">
      <xmlPr mapId="7" xpath="/MAKE/COP/COPCRSInstallation/Website_Illustrations/ISOFIX/@Row2_R" xmlDataType="string"/>
    </xmlCellPr>
  </singleXmlCell>
  <singleXmlCell id="5257" xr6:uid="{B1403641-047B-4903-88A8-9B9C00CC739A}" r="N30" connectionId="0">
    <xmlCellPr id="1" xr6:uid="{9D9ED0C2-29A0-4DAB-9A26-22E99E94CE16}" uniqueName="Row3_L">
      <xmlPr mapId="7" xpath="/MAKE/COP/COPCRSInstallation/Website_Illustrations/ISOFIX/@Row3_L" xmlDataType="string"/>
    </xmlCellPr>
  </singleXmlCell>
  <singleXmlCell id="5258" xr6:uid="{397BD0FA-B278-4621-A45E-4F68A35AE752}" r="O30" connectionId="0">
    <xmlCellPr id="1" xr6:uid="{1D4CE65D-8B5D-4D8F-9B02-F274128675BB}" uniqueName="Row3_C">
      <xmlPr mapId="7" xpath="/MAKE/COP/COPCRSInstallation/Website_Illustrations/ISOFIX/@Row3_C" xmlDataType="string"/>
    </xmlCellPr>
  </singleXmlCell>
  <singleXmlCell id="5259" xr6:uid="{BACDD0F3-8E64-4E96-B408-209EBB73C044}" r="P30" connectionId="0">
    <xmlCellPr id="1" xr6:uid="{C11ED832-6215-4E84-AA4F-61608F88948C}" uniqueName="Row3_R">
      <xmlPr mapId="7" xpath="/MAKE/COP/COPCRSInstallation/Website_Illustrations/ISOFIX/@Row3_R" xmlDataType="string"/>
    </xmlCellPr>
  </singleXmlCell>
  <singleXmlCell id="5260" xr6:uid="{D6B9B3C1-C665-4E6F-B5B5-3CAC4F12899E}" r="H31" connectionId="0">
    <xmlCellPr id="1" xr6:uid="{E2838656-F02E-46AD-B1C9-AB73CBDF61F5}" uniqueName="Row1_L">
      <xmlPr mapId="7" xpath="/MAKE/COP/COPCRSInstallation/Website_Illustrations/Seatbelt_Attached/@Row1_L" xmlDataType="string"/>
    </xmlCellPr>
  </singleXmlCell>
  <singleXmlCell id="5261" xr6:uid="{09DD2EF8-7D1D-4833-A477-91E812136597}" r="I31" connectionId="0">
    <xmlCellPr id="1" xr6:uid="{2B394341-69FA-48AF-A175-709A49D1B501}" uniqueName="Row1_C">
      <xmlPr mapId="7" xpath="/MAKE/COP/COPCRSInstallation/Website_Illustrations/Seatbelt_Attached/@Row1_C" xmlDataType="string"/>
    </xmlCellPr>
  </singleXmlCell>
  <singleXmlCell id="5262" xr6:uid="{09045369-7256-461B-9F2B-534996C1E5BE}" r="J31" connectionId="0">
    <xmlCellPr id="1" xr6:uid="{250DF181-9018-4848-81AD-54DEE9291192}" uniqueName="Row1_R">
      <xmlPr mapId="7" xpath="/MAKE/COP/COPCRSInstallation/Website_Illustrations/Seatbelt_Attached/@Row1_R" xmlDataType="string"/>
    </xmlCellPr>
  </singleXmlCell>
  <singleXmlCell id="5263" xr6:uid="{AD03A9D2-8EEB-434E-8CC0-ADB04AC6C5DE}" r="K31" connectionId="0">
    <xmlCellPr id="1" xr6:uid="{15C9DB42-3EA7-47DA-8167-C11ACBF1002A}" uniqueName="Row2_L">
      <xmlPr mapId="7" xpath="/MAKE/COP/COPCRSInstallation/Website_Illustrations/Seatbelt_Attached/@Row2_L" xmlDataType="string"/>
    </xmlCellPr>
  </singleXmlCell>
  <singleXmlCell id="5264" xr6:uid="{5B9044DC-0382-4B6A-8A36-6A378AC6E4F2}" r="L31" connectionId="0">
    <xmlCellPr id="1" xr6:uid="{C5E23C77-4DF8-42ED-B418-03ADCF35FC13}" uniqueName="Row2_C">
      <xmlPr mapId="7" xpath="/MAKE/COP/COPCRSInstallation/Website_Illustrations/Seatbelt_Attached/@Row2_C" xmlDataType="string"/>
    </xmlCellPr>
  </singleXmlCell>
  <singleXmlCell id="5265" xr6:uid="{B89B7CD7-02B3-49E4-8675-0DD5DEFF32FC}" r="M31" connectionId="0">
    <xmlCellPr id="1" xr6:uid="{731156D1-DFEB-41E2-AA3A-802C80E4CAA4}" uniqueName="Row2_R">
      <xmlPr mapId="7" xpath="/MAKE/COP/COPCRSInstallation/Website_Illustrations/Seatbelt_Attached/@Row2_R" xmlDataType="string"/>
    </xmlCellPr>
  </singleXmlCell>
  <singleXmlCell id="5266" xr6:uid="{42CCF973-F0E8-4428-B714-47F0AEE16677}" r="N31" connectionId="0">
    <xmlCellPr id="1" xr6:uid="{D15C4EC8-5039-42F1-AFD4-1BB33136FFB4}" uniqueName="Row3_L">
      <xmlPr mapId="7" xpath="/MAKE/COP/COPCRSInstallation/Website_Illustrations/Seatbelt_Attached/@Row3_L" xmlDataType="string"/>
    </xmlCellPr>
  </singleXmlCell>
  <singleXmlCell id="5267" xr6:uid="{919CEAF9-32A1-461E-997B-BFA3CDD63F73}" r="O31" connectionId="0">
    <xmlCellPr id="1" xr6:uid="{153D3EA7-A419-4595-8A51-344F1764889E}" uniqueName="Row3_C">
      <xmlPr mapId="7" xpath="/MAKE/COP/COPCRSInstallation/Website_Illustrations/Seatbelt_Attached/@Row3_C" xmlDataType="string"/>
    </xmlCellPr>
  </singleXmlCell>
  <singleXmlCell id="5268" xr6:uid="{DEB32238-A461-479C-872C-FBBE15E3A769}" r="P31" connectionId="0">
    <xmlCellPr id="1" xr6:uid="{2F377191-D66C-4AA1-835A-67AD184E1E31}" uniqueName="Row3_R">
      <xmlPr mapId="7" xpath="/MAKE/COP/COPCRSInstallation/Website_Illustrations/Seatbelt_Attached/@Row3_R" xmlDataType="string"/>
    </xmlCellPr>
  </singleXmlCell>
  <singleXmlCell id="5269" xr6:uid="{AAAACBFF-2877-4015-8C57-D31A052ECEF3}" r="C34" connectionId="0">
    <xmlCellPr id="1" xr6:uid="{505A1F02-B874-4806-8427-BDA7B9713543}" uniqueName="Description">
      <xmlPr mapId="7" xpath="/MAKE/COP/COPCRSInstallation/Datasheet_Tables/iSize/Type_1/@Description" xmlDataType="anyType"/>
    </xmlCellPr>
  </singleXmlCell>
  <singleXmlCell id="5270" xr6:uid="{1C262276-2014-4275-96FE-9C8AD515F3EE}" r="I34" connectionId="0">
    <xmlCellPr id="1" xr6:uid="{9FCCE02D-B883-44D0-A38D-CC054948C302}" uniqueName="Row1_Pass_AB_On">
      <xmlPr mapId="7" xpath="/MAKE/COP/COPCRSInstallation/Datasheet_Tables/iSize/Type_1/@Row1_Pass_AB_On" xmlDataType="string"/>
    </xmlCellPr>
  </singleXmlCell>
  <singleXmlCell id="5271" xr6:uid="{9FB16B62-577B-4478-9F6C-26F3B0187F1F}" r="J34" connectionId="0">
    <xmlCellPr id="1" xr6:uid="{9B71BCA9-7820-4678-8918-0E54898F3B31}" uniqueName="Row1_Pass_AB_Off">
      <xmlPr mapId="7" xpath="/MAKE/COP/COPCRSInstallation/Datasheet_Tables/iSize/Type_1/@Row1_Pass_AB_Off" xmlDataType="string"/>
    </xmlCellPr>
  </singleXmlCell>
  <singleXmlCell id="5272" xr6:uid="{8DF917BD-7C65-43A8-A778-9ABABBF5B42F}" r="K34" connectionId="0">
    <xmlCellPr id="1" xr6:uid="{CDE6065A-4569-4BC4-9355-976BBF709AA6}" uniqueName="Row2_L">
      <xmlPr mapId="7" xpath="/MAKE/COP/COPCRSInstallation/Datasheet_Tables/iSize/Type_1/@Row2_L" xmlDataType="string"/>
    </xmlCellPr>
  </singleXmlCell>
  <singleXmlCell id="5273" xr6:uid="{8830D97D-5A28-409B-9424-E7186038EABC}" r="L34" connectionId="0">
    <xmlCellPr id="1" xr6:uid="{A87AF1CE-C0A7-4A15-98BE-548AB99B8C1B}" uniqueName="Row2_C">
      <xmlPr mapId="7" xpath="/MAKE/COP/COPCRSInstallation/Datasheet_Tables/iSize/Type_1/@Row2_C" xmlDataType="string"/>
    </xmlCellPr>
  </singleXmlCell>
  <singleXmlCell id="5274" xr6:uid="{E32A161B-44F0-4E43-A076-35B473DEF4A9}" r="M34" connectionId="0">
    <xmlCellPr id="1" xr6:uid="{225B45EB-B044-49A5-9535-4AD692E7688E}" uniqueName="Row2_R">
      <xmlPr mapId="7" xpath="/MAKE/COP/COPCRSInstallation/Datasheet_Tables/iSize/Type_1/@Row2_R" xmlDataType="string"/>
    </xmlCellPr>
  </singleXmlCell>
  <singleXmlCell id="5275" xr6:uid="{911854AB-B540-4FD6-BDCB-32A7A6183934}" r="N34" connectionId="0">
    <xmlCellPr id="1" xr6:uid="{4F1EEF25-5B75-4050-9927-1EE137259F7C}" uniqueName="Row3_L">
      <xmlPr mapId="7" xpath="/MAKE/COP/COPCRSInstallation/Datasheet_Tables/iSize/Type_1/@Row3_L" xmlDataType="string"/>
    </xmlCellPr>
  </singleXmlCell>
  <singleXmlCell id="5276" xr6:uid="{4125A7AF-9D69-48CA-9701-6822C59C54F0}" r="O34" connectionId="0">
    <xmlCellPr id="1" xr6:uid="{B638C032-9321-4A64-9BE6-16EFD7C942B5}" uniqueName="Row3_C">
      <xmlPr mapId="7" xpath="/MAKE/COP/COPCRSInstallation/Datasheet_Tables/iSize/Type_1/@Row3_C" xmlDataType="string"/>
    </xmlCellPr>
  </singleXmlCell>
  <singleXmlCell id="5277" xr6:uid="{4245BC17-70C8-4EC3-8A4F-156831492567}" r="P34" connectionId="0">
    <xmlCellPr id="1" xr6:uid="{22FD78C9-4CE8-4043-B5F8-26F333DE71C4}" uniqueName="Row3_R">
      <xmlPr mapId="7" xpath="/MAKE/COP/COPCRSInstallation/Datasheet_Tables/iSize/Type_1/@Row3_R" xmlDataType="string"/>
    </xmlCellPr>
  </singleXmlCell>
  <singleXmlCell id="5278" xr6:uid="{B8E9B21F-0CD6-4E70-BADF-6E5B25014D78}" r="C35" connectionId="0">
    <xmlCellPr id="1" xr6:uid="{E29A13DC-ABEA-4D6B-AE55-94090507C896}" uniqueName="Description">
      <xmlPr mapId="7" xpath="/MAKE/COP/COPCRSInstallation/Datasheet_Tables/ISOFIX/Type_1/@Description" xmlDataType="anyType"/>
    </xmlCellPr>
  </singleXmlCell>
  <singleXmlCell id="5279" xr6:uid="{21C17A40-4D73-4999-8DC7-06DC9F2E8CBA}" r="I35" connectionId="0">
    <xmlCellPr id="1" xr6:uid="{111B2D4E-72F5-42BD-ABEA-1633D50D01AD}" uniqueName="Row1_Pass_AB_On">
      <xmlPr mapId="7" xpath="/MAKE/COP/COPCRSInstallation/Datasheet_Tables/ISOFIX/Type_1/@Row1_Pass_AB_On" xmlDataType="string"/>
    </xmlCellPr>
  </singleXmlCell>
  <singleXmlCell id="5280" xr6:uid="{37D9A871-2435-422D-B6E8-90F43AAB676B}" r="J35" connectionId="0">
    <xmlCellPr id="1" xr6:uid="{E3CD12B8-5A2D-4EE5-9AFB-68ED88976F27}" uniqueName="Row1_Pass_AB_Off">
      <xmlPr mapId="7" xpath="/MAKE/COP/COPCRSInstallation/Datasheet_Tables/ISOFIX/Type_1/@Row1_Pass_AB_Off" xmlDataType="string"/>
    </xmlCellPr>
  </singleXmlCell>
  <singleXmlCell id="5281" xr6:uid="{425E70BC-44DD-4FAE-8FD7-052011615C44}" r="K35" connectionId="0">
    <xmlCellPr id="1" xr6:uid="{535F3937-B8CF-4989-B489-0936C50CD812}" uniqueName="Row2_L">
      <xmlPr mapId="7" xpath="/MAKE/COP/COPCRSInstallation/Datasheet_Tables/ISOFIX/Type_1/@Row2_L" xmlDataType="string"/>
    </xmlCellPr>
  </singleXmlCell>
  <singleXmlCell id="5282" xr6:uid="{03002EDB-7ED3-4C34-B2B4-0B0E31E0DBF6}" r="L35" connectionId="0">
    <xmlCellPr id="1" xr6:uid="{133BF276-3F8F-4542-BC3E-B85C659B488A}" uniqueName="Row2_C">
      <xmlPr mapId="7" xpath="/MAKE/COP/COPCRSInstallation/Datasheet_Tables/ISOFIX/Type_1/@Row2_C" xmlDataType="string"/>
    </xmlCellPr>
  </singleXmlCell>
  <singleXmlCell id="5283" xr6:uid="{AE7CB67D-8D7A-4171-8AD5-3FA60ABD0D1F}" r="M35" connectionId="0">
    <xmlCellPr id="1" xr6:uid="{6D7D8C8D-F702-4FB4-94AC-DBC64A2562B7}" uniqueName="Row2_R">
      <xmlPr mapId="7" xpath="/MAKE/COP/COPCRSInstallation/Datasheet_Tables/ISOFIX/Type_1/@Row2_R" xmlDataType="string"/>
    </xmlCellPr>
  </singleXmlCell>
  <singleXmlCell id="5284" xr6:uid="{BB6ACD08-D414-4F44-8D91-A3755E95FBAD}" r="N35" connectionId="0">
    <xmlCellPr id="1" xr6:uid="{0673CB87-22E0-459C-9FE8-B82CB822EDD4}" uniqueName="Row3_L">
      <xmlPr mapId="7" xpath="/MAKE/COP/COPCRSInstallation/Datasheet_Tables/ISOFIX/Type_1/@Row3_L" xmlDataType="string"/>
    </xmlCellPr>
  </singleXmlCell>
  <singleXmlCell id="5285" xr6:uid="{B4A10DDA-EEB9-467A-93E9-80E3B50330CA}" r="O35" connectionId="0">
    <xmlCellPr id="1" xr6:uid="{2D1BDF67-6C10-4196-8254-338A8302052D}" uniqueName="Row3_C">
      <xmlPr mapId="7" xpath="/MAKE/COP/COPCRSInstallation/Datasheet_Tables/ISOFIX/Type_1/@Row3_C" xmlDataType="string"/>
    </xmlCellPr>
  </singleXmlCell>
  <singleXmlCell id="5286" xr6:uid="{E123E0F8-C856-4E22-9B65-85BC5CB70513}" r="P35" connectionId="0">
    <xmlCellPr id="1" xr6:uid="{1857D282-54A2-4C25-A5F5-AF3159ABB2C8}" uniqueName="Row3_R">
      <xmlPr mapId="7" xpath="/MAKE/COP/COPCRSInstallation/Datasheet_Tables/ISOFIX/Type_1/@Row3_R" xmlDataType="string"/>
    </xmlCellPr>
  </singleXmlCell>
  <singleXmlCell id="5297" xr6:uid="{B9CC2435-16B5-49BB-A05D-F3FA772EE814}" r="I36" connectionId="0">
    <xmlCellPr id="1" xr6:uid="{EFEC46CC-7956-4D38-A26F-4D755F85E410}" uniqueName="Row1_Pass_AB_On">
      <xmlPr mapId="7" xpath="/MAKE/COP/COPCRSInstallation/Datasheet_Tables/ISOFIX/Type_2/@Row1_Pass_AB_On" xmlDataType="string"/>
    </xmlCellPr>
  </singleXmlCell>
  <singleXmlCell id="5298" xr6:uid="{6B1E7F32-5953-481C-8229-E7ADA097C173}" r="J36" connectionId="0">
    <xmlCellPr id="1" xr6:uid="{20CB3952-4839-4654-AA7D-4EE3707CC592}" uniqueName="Row1_Pass_AB_Off">
      <xmlPr mapId="7" xpath="/MAKE/COP/COPCRSInstallation/Datasheet_Tables/ISOFIX/Type_2/@Row1_Pass_AB_Off" xmlDataType="string"/>
    </xmlCellPr>
  </singleXmlCell>
  <singleXmlCell id="5299" xr6:uid="{15FCCD92-12F4-4818-B878-B7D1E6E28B04}" r="K36" connectionId="0">
    <xmlCellPr id="1" xr6:uid="{550A18CF-9005-47F6-9AAB-0C331C9079F1}" uniqueName="Row2_L">
      <xmlPr mapId="7" xpath="/MAKE/COP/COPCRSInstallation/Datasheet_Tables/ISOFIX/Type_2/@Row2_L" xmlDataType="string"/>
    </xmlCellPr>
  </singleXmlCell>
  <singleXmlCell id="5300" xr6:uid="{BDE5B4E9-3D06-41A7-B6F3-1C2A7D736CD6}" r="L36" connectionId="0">
    <xmlCellPr id="1" xr6:uid="{3E77F71A-660F-407B-8B4E-6224C8DA4960}" uniqueName="Row2_C">
      <xmlPr mapId="7" xpath="/MAKE/COP/COPCRSInstallation/Datasheet_Tables/ISOFIX/Type_2/@Row2_C" xmlDataType="string"/>
    </xmlCellPr>
  </singleXmlCell>
  <singleXmlCell id="5301" xr6:uid="{D867B46A-DD17-4DBE-86AD-C8DAC62D0CCC}" r="M36" connectionId="0">
    <xmlCellPr id="1" xr6:uid="{84CA435E-AECF-41E3-A2C9-2DAA30249EF8}" uniqueName="Row2_R">
      <xmlPr mapId="7" xpath="/MAKE/COP/COPCRSInstallation/Datasheet_Tables/ISOFIX/Type_2/@Row2_R" xmlDataType="string"/>
    </xmlCellPr>
  </singleXmlCell>
  <singleXmlCell id="5302" xr6:uid="{F98EAE36-5EAE-4D96-96CD-8B6735AD0F81}" r="N36" connectionId="0">
    <xmlCellPr id="1" xr6:uid="{23AD4878-FCFB-4FE9-BBDA-D0064A601D9C}" uniqueName="Row3_L">
      <xmlPr mapId="7" xpath="/MAKE/COP/COPCRSInstallation/Datasheet_Tables/ISOFIX/Type_2/@Row3_L" xmlDataType="string"/>
    </xmlCellPr>
  </singleXmlCell>
  <singleXmlCell id="5303" xr6:uid="{19416F68-2AB3-414C-A31D-C81B53044C2D}" r="O36" connectionId="0">
    <xmlCellPr id="1" xr6:uid="{5E28C88C-7494-4B92-A7B6-434100425E9B}" uniqueName="Row3_C">
      <xmlPr mapId="7" xpath="/MAKE/COP/COPCRSInstallation/Datasheet_Tables/ISOFIX/Type_2/@Row3_C" xmlDataType="string"/>
    </xmlCellPr>
  </singleXmlCell>
  <singleXmlCell id="5304" xr6:uid="{A59DB91B-F3C3-41A2-81D6-2C5D825BDCDE}" r="P36" connectionId="0">
    <xmlCellPr id="1" xr6:uid="{0540EFBC-19D1-4F04-9F38-F677DB80EDFE}" uniqueName="Row3_R">
      <xmlPr mapId="7" xpath="/MAKE/COP/COPCRSInstallation/Datasheet_Tables/ISOFIX/Type_2/@Row3_R" xmlDataType="string"/>
    </xmlCellPr>
  </singleXmlCell>
  <singleXmlCell id="5306" xr6:uid="{1542A293-7F90-4AD1-AEF3-0C27C6322C84}" r="I37" connectionId="0">
    <xmlCellPr id="1" xr6:uid="{7D096F70-0165-4186-BD49-BCF8922721E0}" uniqueName="Row1_Pass_AB_On">
      <xmlPr mapId="7" xpath="/MAKE/COP/COPCRSInstallation/Datasheet_Tables/ISOFIX/Type_3/@Row1_Pass_AB_On" xmlDataType="string"/>
    </xmlCellPr>
  </singleXmlCell>
  <singleXmlCell id="5307" xr6:uid="{4F178E7A-1985-467F-8FE4-24D4B1653849}" r="J37" connectionId="0">
    <xmlCellPr id="1" xr6:uid="{7DC9E786-2C59-47E8-A876-22A1FF5FFD0E}" uniqueName="Row1_Pass_AB_Off">
      <xmlPr mapId="7" xpath="/MAKE/COP/COPCRSInstallation/Datasheet_Tables/ISOFIX/Type_3/@Row1_Pass_AB_Off" xmlDataType="string"/>
    </xmlCellPr>
  </singleXmlCell>
  <singleXmlCell id="5308" xr6:uid="{0C9B6C2E-DFB6-4BD1-9254-A15650265DC1}" r="K37" connectionId="0">
    <xmlCellPr id="1" xr6:uid="{D90E2B2D-EE8A-49F6-9688-F405A61C97D7}" uniqueName="Row2_L">
      <xmlPr mapId="7" xpath="/MAKE/COP/COPCRSInstallation/Datasheet_Tables/ISOFIX/Type_3/@Row2_L" xmlDataType="string"/>
    </xmlCellPr>
  </singleXmlCell>
  <singleXmlCell id="5309" xr6:uid="{B7733A32-BC4F-482C-A692-A3C98F1AEBEE}" r="L37" connectionId="0">
    <xmlCellPr id="1" xr6:uid="{29C3AF93-C9A1-4E44-A65B-E16F6251470A}" uniqueName="Row2_C">
      <xmlPr mapId="7" xpath="/MAKE/COP/COPCRSInstallation/Datasheet_Tables/ISOFIX/Type_3/@Row2_C" xmlDataType="string"/>
    </xmlCellPr>
  </singleXmlCell>
  <singleXmlCell id="5310" xr6:uid="{AE1481CC-2B32-4B11-AD82-12A68B3E8984}" r="M37" connectionId="0">
    <xmlCellPr id="1" xr6:uid="{469F5236-75A0-4052-A2E5-EAD03C2C6557}" uniqueName="Row2_R">
      <xmlPr mapId="7" xpath="/MAKE/COP/COPCRSInstallation/Datasheet_Tables/ISOFIX/Type_3/@Row2_R" xmlDataType="string"/>
    </xmlCellPr>
  </singleXmlCell>
  <singleXmlCell id="5311" xr6:uid="{32E642A9-87F5-472A-B683-EC673A5C93D9}" r="N37" connectionId="0">
    <xmlCellPr id="1" xr6:uid="{BCA37233-2DF2-497E-8429-7C9A6C7FC179}" uniqueName="Row3_L">
      <xmlPr mapId="7" xpath="/MAKE/COP/COPCRSInstallation/Datasheet_Tables/ISOFIX/Type_3/@Row3_L" xmlDataType="string"/>
    </xmlCellPr>
  </singleXmlCell>
  <singleXmlCell id="5312" xr6:uid="{564AEB8B-81B6-4B41-B904-394C9C3210E0}" r="O37" connectionId="0">
    <xmlCellPr id="1" xr6:uid="{99212076-E426-4BEA-A1F9-E479CDE1A173}" uniqueName="Row3_C">
      <xmlPr mapId="7" xpath="/MAKE/COP/COPCRSInstallation/Datasheet_Tables/ISOFIX/Type_3/@Row3_C" xmlDataType="string"/>
    </xmlCellPr>
  </singleXmlCell>
  <singleXmlCell id="5313" xr6:uid="{5F21D1C9-43FF-486E-8F87-6A04860A8EE9}" r="P37" connectionId="0">
    <xmlCellPr id="1" xr6:uid="{07A4A6E3-2039-455C-9599-29E5FD3AF508}" uniqueName="Row3_R">
      <xmlPr mapId="7" xpath="/MAKE/COP/COPCRSInstallation/Datasheet_Tables/ISOFIX/Type_3/@Row3_R" xmlDataType="string"/>
    </xmlCellPr>
  </singleXmlCell>
  <singleXmlCell id="5315" xr6:uid="{434FD8DB-9580-4CA5-851E-8445618580E6}" r="I38" connectionId="0">
    <xmlCellPr id="1" xr6:uid="{C6891EEF-0869-4E39-8697-54E9EB272CB3}" uniqueName="Row1_Pass_AB_On">
      <xmlPr mapId="7" xpath="/MAKE/COP/COPCRSInstallation/Datasheet_Tables/ISOFIX/Type_4/@Row1_Pass_AB_On" xmlDataType="string"/>
    </xmlCellPr>
  </singleXmlCell>
  <singleXmlCell id="5316" xr6:uid="{BA20770B-4F9C-4B80-84DD-B4B2002DE03A}" r="J38" connectionId="0">
    <xmlCellPr id="1" xr6:uid="{EE465C88-949F-4113-AEAF-AB9CCF3B6DFE}" uniqueName="Row1_Pass_AB_Off">
      <xmlPr mapId="7" xpath="/MAKE/COP/COPCRSInstallation/Datasheet_Tables/ISOFIX/Type_4/@Row1_Pass_AB_Off" xmlDataType="string"/>
    </xmlCellPr>
  </singleXmlCell>
  <singleXmlCell id="5317" xr6:uid="{F9F18279-4D65-4DCB-A048-3DA71BA47CA0}" r="K38" connectionId="0">
    <xmlCellPr id="1" xr6:uid="{A92B396E-C053-4640-A595-DBDBE3E2EA05}" uniqueName="Row2_L">
      <xmlPr mapId="7" xpath="/MAKE/COP/COPCRSInstallation/Datasheet_Tables/ISOFIX/Type_4/@Row2_L" xmlDataType="string"/>
    </xmlCellPr>
  </singleXmlCell>
  <singleXmlCell id="5318" xr6:uid="{9B1FB91B-9AA7-431C-BE04-46A3D5D944A6}" r="L38" connectionId="0">
    <xmlCellPr id="1" xr6:uid="{FBE14CAE-9F1C-4B7D-BB19-1101218A01BF}" uniqueName="Row2_C">
      <xmlPr mapId="7" xpath="/MAKE/COP/COPCRSInstallation/Datasheet_Tables/ISOFIX/Type_4/@Row2_C" xmlDataType="string"/>
    </xmlCellPr>
  </singleXmlCell>
  <singleXmlCell id="5319" xr6:uid="{BB4206A8-0873-46BB-BF1F-88DFB46DAFC7}" r="M38" connectionId="0">
    <xmlCellPr id="1" xr6:uid="{7403E1ED-14FC-43E0-A7F4-CF18C4821C91}" uniqueName="Row2_R">
      <xmlPr mapId="7" xpath="/MAKE/COP/COPCRSInstallation/Datasheet_Tables/ISOFIX/Type_4/@Row2_R" xmlDataType="string"/>
    </xmlCellPr>
  </singleXmlCell>
  <singleXmlCell id="5320" xr6:uid="{F2E26430-2F23-41E8-AF57-62D3ADCDE8A9}" r="N38" connectionId="0">
    <xmlCellPr id="1" xr6:uid="{AB2BE788-A761-455D-BFAB-1244E83A6078}" uniqueName="Row3_L">
      <xmlPr mapId="7" xpath="/MAKE/COP/COPCRSInstallation/Datasheet_Tables/ISOFIX/Type_4/@Row3_L" xmlDataType="string"/>
    </xmlCellPr>
  </singleXmlCell>
  <singleXmlCell id="5321" xr6:uid="{1E9B0F72-8371-40E1-AD17-309593C66C71}" r="O38" connectionId="0">
    <xmlCellPr id="1" xr6:uid="{9080BC14-6AE4-4BE1-94FA-85E0F1F13266}" uniqueName="Row3_C">
      <xmlPr mapId="7" xpath="/MAKE/COP/COPCRSInstallation/Datasheet_Tables/ISOFIX/Type_4/@Row3_C" xmlDataType="string"/>
    </xmlCellPr>
  </singleXmlCell>
  <singleXmlCell id="5322" xr6:uid="{2481E2E4-875A-46BE-A6A3-747AB1D30995}" r="P38" connectionId="0">
    <xmlCellPr id="1" xr6:uid="{8B985B5A-1CC0-438B-AFEB-AA461F723CB1}" uniqueName="Row3_R">
      <xmlPr mapId="7" xpath="/MAKE/COP/COPCRSInstallation/Datasheet_Tables/ISOFIX/Type_4/@Row3_R" xmlDataType="string"/>
    </xmlCellPr>
  </singleXmlCell>
  <singleXmlCell id="5324" xr6:uid="{29E0444D-6294-4ADE-A336-0FC731006AAE}" r="I39" connectionId="0">
    <xmlCellPr id="1" xr6:uid="{22B45E56-1168-461E-B977-2E1CC0CA5BA7}" uniqueName="Row1_Pass_AB_On">
      <xmlPr mapId="7" xpath="/MAKE/COP/COPCRSInstallation/Datasheet_Tables/ISOFIX/Type_5/@Row1_Pass_AB_On" xmlDataType="string"/>
    </xmlCellPr>
  </singleXmlCell>
  <singleXmlCell id="5325" xr6:uid="{79A54D7D-1F12-4661-A4CA-CB458703319F}" r="J39" connectionId="0">
    <xmlCellPr id="1" xr6:uid="{0DCBBE8C-D3E3-4755-8DAD-045AAA4720DD}" uniqueName="Row1_Pass_AB_Off">
      <xmlPr mapId="7" xpath="/MAKE/COP/COPCRSInstallation/Datasheet_Tables/ISOFIX/Type_5/@Row1_Pass_AB_Off" xmlDataType="string"/>
    </xmlCellPr>
  </singleXmlCell>
  <singleXmlCell id="5326" xr6:uid="{29EE90EE-1CD7-4490-9072-9D8984517255}" r="K39" connectionId="0">
    <xmlCellPr id="1" xr6:uid="{25021C54-A2A4-4542-8D6C-DC8F9504D05F}" uniqueName="Row2_L">
      <xmlPr mapId="7" xpath="/MAKE/COP/COPCRSInstallation/Datasheet_Tables/ISOFIX/Type_5/@Row2_L" xmlDataType="string"/>
    </xmlCellPr>
  </singleXmlCell>
  <singleXmlCell id="5327" xr6:uid="{331968B8-24C8-4B66-8894-8B7EC2AE8536}" r="L39" connectionId="0">
    <xmlCellPr id="1" xr6:uid="{71109918-ECB9-427F-8525-AD2565D2EFF4}" uniqueName="Row2_C">
      <xmlPr mapId="7" xpath="/MAKE/COP/COPCRSInstallation/Datasheet_Tables/ISOFIX/Type_5/@Row2_C" xmlDataType="string"/>
    </xmlCellPr>
  </singleXmlCell>
  <singleXmlCell id="5328" xr6:uid="{AF6919E6-3EF4-45B4-A8B0-4A4230087554}" r="M39" connectionId="0">
    <xmlCellPr id="1" xr6:uid="{5DB47F43-6AE5-40F2-920A-713E37653B20}" uniqueName="Row2_R">
      <xmlPr mapId="7" xpath="/MAKE/COP/COPCRSInstallation/Datasheet_Tables/ISOFIX/Type_5/@Row2_R" xmlDataType="string"/>
    </xmlCellPr>
  </singleXmlCell>
  <singleXmlCell id="5329" xr6:uid="{C193FF11-14E4-49BE-B1B2-7A11A741FDBA}" r="N39" connectionId="0">
    <xmlCellPr id="1" xr6:uid="{FA526AD3-6807-4F21-B66B-D4662FDF6D14}" uniqueName="Row3_L">
      <xmlPr mapId="7" xpath="/MAKE/COP/COPCRSInstallation/Datasheet_Tables/ISOFIX/Type_5/@Row3_L" xmlDataType="string"/>
    </xmlCellPr>
  </singleXmlCell>
  <singleXmlCell id="5330" xr6:uid="{BC5A9D3C-A8D4-4FF5-8464-88933CC0DE41}" r="O39" connectionId="0">
    <xmlCellPr id="1" xr6:uid="{DBB0EB0D-8529-4727-869E-2BA66A104F86}" uniqueName="Row3_C">
      <xmlPr mapId="7" xpath="/MAKE/COP/COPCRSInstallation/Datasheet_Tables/ISOFIX/Type_5/@Row3_C" xmlDataType="string"/>
    </xmlCellPr>
  </singleXmlCell>
  <singleXmlCell id="5331" xr6:uid="{6EF3B75A-7BE0-4CAF-AD7D-E63BD82E9682}" r="P39" connectionId="0">
    <xmlCellPr id="1" xr6:uid="{642EC5AA-DAC3-4FB4-985B-B24079BE9361}" uniqueName="Row3_R">
      <xmlPr mapId="7" xpath="/MAKE/COP/COPCRSInstallation/Datasheet_Tables/ISOFIX/Type_5/@Row3_R" xmlDataType="string"/>
    </xmlCellPr>
  </singleXmlCell>
  <singleXmlCell id="5333" xr6:uid="{8E2CCAC5-C16F-42F5-8C70-815AD65351B2}" r="I40" connectionId="0">
    <xmlCellPr id="1" xr6:uid="{0476DDA9-C9D8-4706-9B04-27D07AA2F806}" uniqueName="Row1_Pass_AB_On">
      <xmlPr mapId="7" xpath="/MAKE/COP/COPCRSInstallation/Datasheet_Tables/ISOFIX/Type_6/@Row1_Pass_AB_On" xmlDataType="string"/>
    </xmlCellPr>
  </singleXmlCell>
  <singleXmlCell id="5334" xr6:uid="{8028F039-99C6-43B2-836F-5E612B4D782C}" r="J40" connectionId="0">
    <xmlCellPr id="1" xr6:uid="{ADA440D7-0A96-4F9F-A3C1-BCEF1BC8B6FF}" uniqueName="Row1_Pass_AB_Off">
      <xmlPr mapId="7" xpath="/MAKE/COP/COPCRSInstallation/Datasheet_Tables/ISOFIX/Type_6/@Row1_Pass_AB_Off" xmlDataType="string"/>
    </xmlCellPr>
  </singleXmlCell>
  <singleXmlCell id="5335" xr6:uid="{3FFE4868-12B8-4A71-8F42-4E85C22A8946}" r="K40" connectionId="0">
    <xmlCellPr id="1" xr6:uid="{93647E24-3501-4D5F-948A-2D56A53A26F3}" uniqueName="Row2_L">
      <xmlPr mapId="7" xpath="/MAKE/COP/COPCRSInstallation/Datasheet_Tables/ISOFIX/Type_6/@Row2_L" xmlDataType="string"/>
    </xmlCellPr>
  </singleXmlCell>
  <singleXmlCell id="5336" xr6:uid="{1AB2310F-64DB-4BFC-8F16-261B16643085}" r="L40" connectionId="0">
    <xmlCellPr id="1" xr6:uid="{C58CA70F-EEE1-400C-A1D6-A72B2AE52608}" uniqueName="Row2_C">
      <xmlPr mapId="7" xpath="/MAKE/COP/COPCRSInstallation/Datasheet_Tables/ISOFIX/Type_6/@Row2_C" xmlDataType="string"/>
    </xmlCellPr>
  </singleXmlCell>
  <singleXmlCell id="5337" xr6:uid="{3A78EDBD-0699-4F57-AD47-5E3263D01A77}" r="M40" connectionId="0">
    <xmlCellPr id="1" xr6:uid="{3E2B4196-E6C6-4C52-9853-DB631A667624}" uniqueName="Row2_R">
      <xmlPr mapId="7" xpath="/MAKE/COP/COPCRSInstallation/Datasheet_Tables/ISOFIX/Type_6/@Row2_R" xmlDataType="string"/>
    </xmlCellPr>
  </singleXmlCell>
  <singleXmlCell id="5338" xr6:uid="{AB05F733-39AE-456E-A25C-3EB7A5071215}" r="N40" connectionId="0">
    <xmlCellPr id="1" xr6:uid="{9A1C41DF-A9D5-46DC-9F95-18947CBA3D31}" uniqueName="Row3_L">
      <xmlPr mapId="7" xpath="/MAKE/COP/COPCRSInstallation/Datasheet_Tables/ISOFIX/Type_6/@Row3_L" xmlDataType="string"/>
    </xmlCellPr>
  </singleXmlCell>
  <singleXmlCell id="5339" xr6:uid="{A2E3E3FD-5768-4E75-8586-CE60F5295157}" r="O40" connectionId="0">
    <xmlCellPr id="1" xr6:uid="{39DDE871-D8F0-4143-BE79-F971FAA2336B}" uniqueName="Row3_C">
      <xmlPr mapId="7" xpath="/MAKE/COP/COPCRSInstallation/Datasheet_Tables/ISOFIX/Type_6/@Row3_C" xmlDataType="string"/>
    </xmlCellPr>
  </singleXmlCell>
  <singleXmlCell id="5340" xr6:uid="{5A5BD2F1-370F-4D4C-A839-8AFF31FFC84D}" r="P40" connectionId="0">
    <xmlCellPr id="1" xr6:uid="{7E91AAFC-726A-4691-A97D-33AC2254123D}" uniqueName="Row3_R">
      <xmlPr mapId="7" xpath="/MAKE/COP/COPCRSInstallation/Datasheet_Tables/ISOFIX/Type_6/@Row3_R" xmlDataType="string"/>
    </xmlCellPr>
  </singleXmlCell>
  <singleXmlCell id="5342" xr6:uid="{F2FE5FF9-5478-410D-AB9E-47C0F243A1BE}" r="I41" connectionId="0">
    <xmlCellPr id="1" xr6:uid="{2F121EE6-AA0A-427D-9C6F-59E5ABA19E99}" uniqueName="Row1_Pass_AB_On">
      <xmlPr mapId="7" xpath="/MAKE/COP/COPCRSInstallation/Datasheet_Tables/Belt_Attached/Type_1/@Row1_Pass_AB_On" xmlDataType="string"/>
    </xmlCellPr>
  </singleXmlCell>
  <singleXmlCell id="5343" xr6:uid="{0FF6B4FB-2BA7-4CE0-881C-C3CF1C637D84}" r="J41" connectionId="0">
    <xmlCellPr id="1" xr6:uid="{37AE57DA-E81C-45A5-B2E9-4527C989253F}" uniqueName="Row1_Pass_AB_Off">
      <xmlPr mapId="7" xpath="/MAKE/COP/COPCRSInstallation/Datasheet_Tables/Belt_Attached/Type_1/@Row1_Pass_AB_Off" xmlDataType="string"/>
    </xmlCellPr>
  </singleXmlCell>
  <singleXmlCell id="5344" xr6:uid="{37348796-FF20-425E-BAD0-6293EC921B3A}" r="K41" connectionId="0">
    <xmlCellPr id="1" xr6:uid="{467548CB-04E3-420A-84B8-E47CAB327423}" uniqueName="Row2_L">
      <xmlPr mapId="7" xpath="/MAKE/COP/COPCRSInstallation/Datasheet_Tables/Belt_Attached/Type_1/@Row2_L" xmlDataType="string"/>
    </xmlCellPr>
  </singleXmlCell>
  <singleXmlCell id="5345" xr6:uid="{3CF8A68C-43FA-4089-A56B-6881FFE579D4}" r="L41" connectionId="0">
    <xmlCellPr id="1" xr6:uid="{92AAF06B-DC23-4F05-A9EC-D431C50FC551}" uniqueName="Row2_C">
      <xmlPr mapId="7" xpath="/MAKE/COP/COPCRSInstallation/Datasheet_Tables/Belt_Attached/Type_1/@Row2_C" xmlDataType="string"/>
    </xmlCellPr>
  </singleXmlCell>
  <singleXmlCell id="5346" xr6:uid="{128A662C-9370-40F2-B05F-44EE7CCF9A21}" r="M41" connectionId="0">
    <xmlCellPr id="1" xr6:uid="{EB3EB1EE-F202-4DDF-9D51-1D40D17261A7}" uniqueName="Row2_R">
      <xmlPr mapId="7" xpath="/MAKE/COP/COPCRSInstallation/Datasheet_Tables/Belt_Attached/Type_1/@Row2_R" xmlDataType="string"/>
    </xmlCellPr>
  </singleXmlCell>
  <singleXmlCell id="5347" xr6:uid="{4F0D7B1F-17F2-477B-9195-CBF8F5C3ABD4}" r="N41" connectionId="0">
    <xmlCellPr id="1" xr6:uid="{F7E1976E-228B-43A8-9768-BB0466F49B84}" uniqueName="Row3_L">
      <xmlPr mapId="7" xpath="/MAKE/COP/COPCRSInstallation/Datasheet_Tables/Belt_Attached/Type_1/@Row3_L" xmlDataType="string"/>
    </xmlCellPr>
  </singleXmlCell>
  <singleXmlCell id="5348" xr6:uid="{8BF0F5F3-F7D3-4422-B0B4-F59F10642D67}" r="O41" connectionId="0">
    <xmlCellPr id="1" xr6:uid="{E811FDF3-4EAD-4983-84CA-A62AB00A4DFB}" uniqueName="Row3_C">
      <xmlPr mapId="7" xpath="/MAKE/COP/COPCRSInstallation/Datasheet_Tables/Belt_Attached/Type_1/@Row3_C" xmlDataType="string"/>
    </xmlCellPr>
  </singleXmlCell>
  <singleXmlCell id="5349" xr6:uid="{635E3F89-0D58-4C55-9593-D505593B2A8F}" r="P41" connectionId="0">
    <xmlCellPr id="1" xr6:uid="{4D3C8230-6960-4870-839D-5EDBB8C230F9}" uniqueName="Row3_R">
      <xmlPr mapId="7" xpath="/MAKE/COP/COPCRSInstallation/Datasheet_Tables/Belt_Attached/Type_1/@Row3_R" xmlDataType="string"/>
    </xmlCellPr>
  </singleXmlCell>
  <singleXmlCell id="5351" xr6:uid="{97773C34-6F33-4AE7-A781-63633448C200}" r="I42" connectionId="0">
    <xmlCellPr id="1" xr6:uid="{85547538-2AB7-45E2-A5F1-632D16EE8E29}" uniqueName="Row1_Pass_AB_On">
      <xmlPr mapId="7" xpath="/MAKE/COP/COPCRSInstallation/Datasheet_Tables/Belt_Attached/Type_2/@Row1_Pass_AB_On" xmlDataType="string"/>
    </xmlCellPr>
  </singleXmlCell>
  <singleXmlCell id="5352" xr6:uid="{175D0B21-4EB8-4216-BE50-151DAEE4F385}" r="J42" connectionId="0">
    <xmlCellPr id="1" xr6:uid="{1C7E7150-B786-4101-9AE8-1F012C369922}" uniqueName="Row1_Pass_AB_Off">
      <xmlPr mapId="7" xpath="/MAKE/COP/COPCRSInstallation/Datasheet_Tables/Belt_Attached/Type_2/@Row1_Pass_AB_Off" xmlDataType="string"/>
    </xmlCellPr>
  </singleXmlCell>
  <singleXmlCell id="5353" xr6:uid="{4D6B9707-4557-456F-88C2-AED591EB09C4}" r="K42" connectionId="0">
    <xmlCellPr id="1" xr6:uid="{F6493CF0-79CF-4D6F-B4DC-04B05B0C5A6F}" uniqueName="Row2_L">
      <xmlPr mapId="7" xpath="/MAKE/COP/COPCRSInstallation/Datasheet_Tables/Belt_Attached/Type_2/@Row2_L" xmlDataType="string"/>
    </xmlCellPr>
  </singleXmlCell>
  <singleXmlCell id="5354" xr6:uid="{3A251F62-D850-4A99-A381-1106A2011644}" r="L42" connectionId="0">
    <xmlCellPr id="1" xr6:uid="{A38B8639-EB92-4485-A61C-B38DC6CADEEB}" uniqueName="Row2_C">
      <xmlPr mapId="7" xpath="/MAKE/COP/COPCRSInstallation/Datasheet_Tables/Belt_Attached/Type_2/@Row2_C" xmlDataType="string"/>
    </xmlCellPr>
  </singleXmlCell>
  <singleXmlCell id="5355" xr6:uid="{4084ABD2-D96D-4B5C-BE93-C08456852835}" r="M42" connectionId="0">
    <xmlCellPr id="1" xr6:uid="{AE34AF7B-1497-42FA-A54C-623FB4B33DDD}" uniqueName="Row2_R">
      <xmlPr mapId="7" xpath="/MAKE/COP/COPCRSInstallation/Datasheet_Tables/Belt_Attached/Type_2/@Row2_R" xmlDataType="string"/>
    </xmlCellPr>
  </singleXmlCell>
  <singleXmlCell id="5356" xr6:uid="{B0A14EC2-6AA6-41D4-B795-EF2A8B7737F9}" r="N42" connectionId="0">
    <xmlCellPr id="1" xr6:uid="{5C4CDEF7-4611-439F-8EE5-871E0954BA4D}" uniqueName="Row3_L">
      <xmlPr mapId="7" xpath="/MAKE/COP/COPCRSInstallation/Datasheet_Tables/Belt_Attached/Type_2/@Row3_L" xmlDataType="string"/>
    </xmlCellPr>
  </singleXmlCell>
  <singleXmlCell id="5357" xr6:uid="{930FC72A-2D8B-490B-80F1-727860E90CF9}" r="O42" connectionId="0">
    <xmlCellPr id="1" xr6:uid="{792FD5CC-D6FC-409D-8CE4-03D0E9B3A0BE}" uniqueName="Row3_C">
      <xmlPr mapId="7" xpath="/MAKE/COP/COPCRSInstallation/Datasheet_Tables/Belt_Attached/Type_2/@Row3_C" xmlDataType="string"/>
    </xmlCellPr>
  </singleXmlCell>
  <singleXmlCell id="5358" xr6:uid="{A7207A41-927C-4D54-A808-90E0CC38CCB3}" r="P42" connectionId="0">
    <xmlCellPr id="1" xr6:uid="{E8FE180D-B981-459B-B781-BFA81B0AF604}" uniqueName="Row3_R">
      <xmlPr mapId="7" xpath="/MAKE/COP/COPCRSInstallation/Datasheet_Tables/Belt_Attached/Type_2/@Row3_R" xmlDataType="string"/>
    </xmlCellPr>
  </singleXmlCell>
  <singleXmlCell id="5360" xr6:uid="{241FB881-1F37-439F-9AEB-D542B06085CB}" r="I43" connectionId="0">
    <xmlCellPr id="1" xr6:uid="{1CE2D993-C234-4222-A896-FC8FB53A9C05}" uniqueName="Row1_Pass_AB_On">
      <xmlPr mapId="7" xpath="/MAKE/COP/COPCRSInstallation/Datasheet_Tables/Belt_Attached/Type_3/@Row1_Pass_AB_On" xmlDataType="string"/>
    </xmlCellPr>
  </singleXmlCell>
  <singleXmlCell id="5361" xr6:uid="{0A36C930-676C-4F7B-B4EC-AF6C9B9B5139}" r="J43" connectionId="0">
    <xmlCellPr id="1" xr6:uid="{480B36E9-37C7-4F44-9812-F6FB2CBBD034}" uniqueName="Row1_Pass_AB_Off">
      <xmlPr mapId="7" xpath="/MAKE/COP/COPCRSInstallation/Datasheet_Tables/Belt_Attached/Type_3/@Row1_Pass_AB_Off" xmlDataType="string"/>
    </xmlCellPr>
  </singleXmlCell>
  <singleXmlCell id="5362" xr6:uid="{2A9B1A27-F2DD-44ED-82D0-8B17E7F32009}" r="K43" connectionId="0">
    <xmlCellPr id="1" xr6:uid="{B812455E-5B6A-4228-9CCD-F80A3A415FB9}" uniqueName="Row2_L">
      <xmlPr mapId="7" xpath="/MAKE/COP/COPCRSInstallation/Datasheet_Tables/Belt_Attached/Type_3/@Row2_L" xmlDataType="string"/>
    </xmlCellPr>
  </singleXmlCell>
  <singleXmlCell id="5363" xr6:uid="{8FA3DE30-C8CF-4066-946F-5316D48F9EEE}" r="L43" connectionId="0">
    <xmlCellPr id="1" xr6:uid="{AC6F01D7-0552-40D1-BF87-4B65DF2093E8}" uniqueName="Row2_C">
      <xmlPr mapId="7" xpath="/MAKE/COP/COPCRSInstallation/Datasheet_Tables/Belt_Attached/Type_3/@Row2_C" xmlDataType="string"/>
    </xmlCellPr>
  </singleXmlCell>
  <singleXmlCell id="5364" xr6:uid="{9B9F449E-91EB-432B-8A5C-EDB8B4434F01}" r="M43" connectionId="0">
    <xmlCellPr id="1" xr6:uid="{A20E8DA2-7CDF-4B6D-A9BC-F78EB6D66902}" uniqueName="Row2_R">
      <xmlPr mapId="7" xpath="/MAKE/COP/COPCRSInstallation/Datasheet_Tables/Belt_Attached/Type_3/@Row2_R" xmlDataType="string"/>
    </xmlCellPr>
  </singleXmlCell>
  <singleXmlCell id="5365" xr6:uid="{B6AE3DA1-CEDE-486F-AF49-7857BA020721}" r="N43" connectionId="0">
    <xmlCellPr id="1" xr6:uid="{BBE9C01A-47DB-4D19-9DE8-1D4FC0BDA270}" uniqueName="Row3_L">
      <xmlPr mapId="7" xpath="/MAKE/COP/COPCRSInstallation/Datasheet_Tables/Belt_Attached/Type_3/@Row3_L" xmlDataType="string"/>
    </xmlCellPr>
  </singleXmlCell>
  <singleXmlCell id="5366" xr6:uid="{3EE08DFF-3DBE-46C5-9DDB-96184B36326D}" r="O43" connectionId="0">
    <xmlCellPr id="1" xr6:uid="{4705B4BF-DDB1-4DDB-8C5A-ADA042417CC3}" uniqueName="Row3_C">
      <xmlPr mapId="7" xpath="/MAKE/COP/COPCRSInstallation/Datasheet_Tables/Belt_Attached/Type_3/@Row3_C" xmlDataType="string"/>
    </xmlCellPr>
  </singleXmlCell>
  <singleXmlCell id="5367" xr6:uid="{A5136025-032E-4B23-99AF-6896E727E3BF}" r="P43" connectionId="0">
    <xmlCellPr id="1" xr6:uid="{1D57598C-6C14-4FFD-81D6-8D8E2703AF68}" uniqueName="Row3_R">
      <xmlPr mapId="7" xpath="/MAKE/COP/COPCRSInstallation/Datasheet_Tables/Belt_Attached/Type_3/@Row3_R" xmlDataType="string"/>
    </xmlCellPr>
  </singleXmlCell>
  <singleXmlCell id="5369" xr6:uid="{F044A152-7322-45BD-8D67-9555AB213359}" r="I44" connectionId="0">
    <xmlCellPr id="1" xr6:uid="{4B10C281-5D93-47BE-9D94-E904AA57746E}" uniqueName="Row1_Pass_AB_On">
      <xmlPr mapId="7" xpath="/MAKE/COP/COPCRSInstallation/Datasheet_Tables/Belt_Attached/Type_4/@Row1_Pass_AB_On" xmlDataType="string"/>
    </xmlCellPr>
  </singleXmlCell>
  <singleXmlCell id="5370" xr6:uid="{2277B38A-675E-4C7D-9A1C-D6D6E3A4F293}" r="J44" connectionId="0">
    <xmlCellPr id="1" xr6:uid="{57462C35-213C-49ED-845A-CA7BFF1A8D7E}" uniqueName="Row1_Pass_AB_Off">
      <xmlPr mapId="7" xpath="/MAKE/COP/COPCRSInstallation/Datasheet_Tables/Belt_Attached/Type_4/@Row1_Pass_AB_Off" xmlDataType="string"/>
    </xmlCellPr>
  </singleXmlCell>
  <singleXmlCell id="5371" xr6:uid="{AD9E3BED-3B0C-4C27-A1FC-B286062E7DFE}" r="K44" connectionId="0">
    <xmlCellPr id="1" xr6:uid="{C2206CD4-BC69-4A08-8529-0764A24D3670}" uniqueName="Row2_L">
      <xmlPr mapId="7" xpath="/MAKE/COP/COPCRSInstallation/Datasheet_Tables/Belt_Attached/Type_4/@Row2_L" xmlDataType="string"/>
    </xmlCellPr>
  </singleXmlCell>
  <singleXmlCell id="5372" xr6:uid="{12D27C76-F1F0-4971-9866-E99007AB8715}" r="L44" connectionId="0">
    <xmlCellPr id="1" xr6:uid="{E4C067E7-DD23-4F23-9F6D-7CC6812456EB}" uniqueName="Row2_C">
      <xmlPr mapId="7" xpath="/MAKE/COP/COPCRSInstallation/Datasheet_Tables/Belt_Attached/Type_4/@Row2_C" xmlDataType="string"/>
    </xmlCellPr>
  </singleXmlCell>
  <singleXmlCell id="5373" xr6:uid="{A7A33345-ADA5-45E2-BE32-A43012D8FF64}" r="M44" connectionId="0">
    <xmlCellPr id="1" xr6:uid="{DD78925E-EDB9-4E0E-BB36-C8AB7F2AC6E8}" uniqueName="Row2_R">
      <xmlPr mapId="7" xpath="/MAKE/COP/COPCRSInstallation/Datasheet_Tables/Belt_Attached/Type_4/@Row2_R" xmlDataType="string"/>
    </xmlCellPr>
  </singleXmlCell>
  <singleXmlCell id="5374" xr6:uid="{D4470DBA-F699-4E82-947F-7A63858A3235}" r="N44" connectionId="0">
    <xmlCellPr id="1" xr6:uid="{23520FD7-D2FD-422B-BDF4-C135B2E2C4F4}" uniqueName="Row3_L">
      <xmlPr mapId="7" xpath="/MAKE/COP/COPCRSInstallation/Datasheet_Tables/Belt_Attached/Type_4/@Row3_L" xmlDataType="string"/>
    </xmlCellPr>
  </singleXmlCell>
  <singleXmlCell id="5375" xr6:uid="{FDE1BBF9-333E-4CBF-86D0-C787BDC3EC79}" r="O44" connectionId="0">
    <xmlCellPr id="1" xr6:uid="{FA57540E-0FAF-4BCA-95C0-4000091FBC12}" uniqueName="Row3_C">
      <xmlPr mapId="7" xpath="/MAKE/COP/COPCRSInstallation/Datasheet_Tables/Belt_Attached/Type_4/@Row3_C" xmlDataType="string"/>
    </xmlCellPr>
  </singleXmlCell>
  <singleXmlCell id="5376" xr6:uid="{10916F8A-6EEA-4FDB-9F4A-0AC76C54F5A2}" r="P44" connectionId="0">
    <xmlCellPr id="1" xr6:uid="{44E35BD2-B3CA-4F6A-AEAA-592E818473D6}" uniqueName="Row3_R">
      <xmlPr mapId="7" xpath="/MAKE/COP/COPCRSInstallation/Datasheet_Tables/Belt_Attached/Type_4/@Row3_R" xmlDataType="string"/>
    </xmlCellPr>
  </singleXmlCell>
  <singleXmlCell id="5378" xr6:uid="{4F76042F-A840-4B5A-8562-DB708A13915B}" r="I45" connectionId="0">
    <xmlCellPr id="1" xr6:uid="{3BBC03F7-6ADD-4607-9980-5605517C3638}" uniqueName="Row1_Pass_AB_On">
      <xmlPr mapId="7" xpath="/MAKE/COP/COPCRSInstallation/Datasheet_Tables/Belt_Attached/Type_5/@Row1_Pass_AB_On" xmlDataType="string"/>
    </xmlCellPr>
  </singleXmlCell>
  <singleXmlCell id="5379" xr6:uid="{B35109BD-ABBA-48EB-A6B9-C77418516EEC}" r="J45" connectionId="0">
    <xmlCellPr id="1" xr6:uid="{2518F2B6-5FB5-402D-AFB5-127B9187B39E}" uniqueName="Row1_Pass_AB_Off">
      <xmlPr mapId="7" xpath="/MAKE/COP/COPCRSInstallation/Datasheet_Tables/Belt_Attached/Type_5/@Row1_Pass_AB_Off" xmlDataType="string"/>
    </xmlCellPr>
  </singleXmlCell>
  <singleXmlCell id="5380" xr6:uid="{C1587AB5-97B0-4FEB-9AEC-F336A2839526}" r="K45" connectionId="0">
    <xmlCellPr id="1" xr6:uid="{891F172A-729A-4F5A-8D11-990F9EF40330}" uniqueName="Row2_L">
      <xmlPr mapId="7" xpath="/MAKE/COP/COPCRSInstallation/Datasheet_Tables/Belt_Attached/Type_5/@Row2_L" xmlDataType="string"/>
    </xmlCellPr>
  </singleXmlCell>
  <singleXmlCell id="5381" xr6:uid="{179F4045-A445-4AA9-BF75-28926970F868}" r="L45" connectionId="0">
    <xmlCellPr id="1" xr6:uid="{0D701EEC-4F8E-46D3-B2BB-5A0E42BD96BD}" uniqueName="Row2_C">
      <xmlPr mapId="7" xpath="/MAKE/COP/COPCRSInstallation/Datasheet_Tables/Belt_Attached/Type_5/@Row2_C" xmlDataType="string"/>
    </xmlCellPr>
  </singleXmlCell>
  <singleXmlCell id="5382" xr6:uid="{C6FDCB03-EC80-40FC-B70A-E4DAC7C52F09}" r="M45" connectionId="0">
    <xmlCellPr id="1" xr6:uid="{4F1F4D8D-3EE1-4D44-B21F-75A7FFF65424}" uniqueName="Row2_R">
      <xmlPr mapId="7" xpath="/MAKE/COP/COPCRSInstallation/Datasheet_Tables/Belt_Attached/Type_5/@Row2_R" xmlDataType="string"/>
    </xmlCellPr>
  </singleXmlCell>
  <singleXmlCell id="5383" xr6:uid="{84F8EC13-0EDB-4A50-BAAF-514A9E6EE6C6}" r="N45" connectionId="0">
    <xmlCellPr id="1" xr6:uid="{527BCA81-BEED-496E-A47D-44D8FFB6CBD8}" uniqueName="Row3_L">
      <xmlPr mapId="7" xpath="/MAKE/COP/COPCRSInstallation/Datasheet_Tables/Belt_Attached/Type_5/@Row3_L" xmlDataType="string"/>
    </xmlCellPr>
  </singleXmlCell>
  <singleXmlCell id="5384" xr6:uid="{0EB0D300-6D19-41C6-94C1-874E246D57EF}" r="O45" connectionId="0">
    <xmlCellPr id="1" xr6:uid="{6425AAE6-360A-45B1-8F76-CCCA915638B2}" uniqueName="Row3_C">
      <xmlPr mapId="7" xpath="/MAKE/COP/COPCRSInstallation/Datasheet_Tables/Belt_Attached/Type_5/@Row3_C" xmlDataType="string"/>
    </xmlCellPr>
  </singleXmlCell>
  <singleXmlCell id="5385" xr6:uid="{8C79B90C-29DC-48F7-8871-AE07667A912B}" r="P45" connectionId="0">
    <xmlCellPr id="1" xr6:uid="{709F5574-7CB7-46F0-B214-D245C609A429}" uniqueName="Row3_R">
      <xmlPr mapId="7" xpath="/MAKE/COP/COPCRSInstallation/Datasheet_Tables/Belt_Attached/Type_5/@Row3_R" xmlDataType="string"/>
    </xmlCellPr>
  </singleXmlCell>
  <singleXmlCell id="5387" xr6:uid="{73736B42-34A3-4517-AEFF-8D521C81CA03}" r="I46" connectionId="0">
    <xmlCellPr id="1" xr6:uid="{D307006F-22D5-4E5E-ADF9-03BBA6C3FEB4}" uniqueName="Row1_Pass_AB_On">
      <xmlPr mapId="7" xpath="/MAKE/COP/COPCRSInstallation/Datasheet_Tables/Belt_Attached/Type_6/@Row1_Pass_AB_On" xmlDataType="string"/>
    </xmlCellPr>
  </singleXmlCell>
  <singleXmlCell id="5388" xr6:uid="{8E33AA54-7CA5-4796-B781-577A4C342CF7}" r="J46" connectionId="0">
    <xmlCellPr id="1" xr6:uid="{3134F90C-46A1-4069-9CE7-5CD8DF9A2B9F}" uniqueName="Row1_Pass_AB_Off">
      <xmlPr mapId="7" xpath="/MAKE/COP/COPCRSInstallation/Datasheet_Tables/Belt_Attached/Type_6/@Row1_Pass_AB_Off" xmlDataType="string"/>
    </xmlCellPr>
  </singleXmlCell>
  <singleXmlCell id="5389" xr6:uid="{64CF004E-B21D-41C0-93D6-4BCE9C28CEE5}" r="K46" connectionId="0">
    <xmlCellPr id="1" xr6:uid="{D329C469-D56C-40A8-A611-EED1F0CEDB9B}" uniqueName="Row2_L">
      <xmlPr mapId="7" xpath="/MAKE/COP/COPCRSInstallation/Datasheet_Tables/Belt_Attached/Type_6/@Row2_L" xmlDataType="string"/>
    </xmlCellPr>
  </singleXmlCell>
  <singleXmlCell id="5390" xr6:uid="{675537FF-EB80-41B1-9F0F-A86B6481579A}" r="L46" connectionId="0">
    <xmlCellPr id="1" xr6:uid="{9DAD6C23-6B82-41C2-8A8B-0692214C4544}" uniqueName="Row2_C">
      <xmlPr mapId="7" xpath="/MAKE/COP/COPCRSInstallation/Datasheet_Tables/Belt_Attached/Type_6/@Row2_C" xmlDataType="string"/>
    </xmlCellPr>
  </singleXmlCell>
  <singleXmlCell id="5391" xr6:uid="{A840FAF6-33D8-4B97-84C2-9FFDBBF3013D}" r="M46" connectionId="0">
    <xmlCellPr id="1" xr6:uid="{A0939509-2DBE-4E16-B9C7-A0B150E2C538}" uniqueName="Row2_R">
      <xmlPr mapId="7" xpath="/MAKE/COP/COPCRSInstallation/Datasheet_Tables/Belt_Attached/Type_6/@Row2_R" xmlDataType="string"/>
    </xmlCellPr>
  </singleXmlCell>
  <singleXmlCell id="5392" xr6:uid="{3B965F31-E852-4323-873A-0CC3B712E9D6}" r="N46" connectionId="0">
    <xmlCellPr id="1" xr6:uid="{680232A5-F107-4820-8D6B-06513E4D311D}" uniqueName="Row3_L">
      <xmlPr mapId="7" xpath="/MAKE/COP/COPCRSInstallation/Datasheet_Tables/Belt_Attached/Type_6/@Row3_L" xmlDataType="string"/>
    </xmlCellPr>
  </singleXmlCell>
  <singleXmlCell id="5393" xr6:uid="{EF4D128A-8827-46BE-9964-8754E5D2ACA1}" r="O46" connectionId="0">
    <xmlCellPr id="1" xr6:uid="{28053B1C-6120-463F-A9E0-70172CB31CCF}" uniqueName="Row3_C">
      <xmlPr mapId="7" xpath="/MAKE/COP/COPCRSInstallation/Datasheet_Tables/Belt_Attached/Type_6/@Row3_C" xmlDataType="string"/>
    </xmlCellPr>
  </singleXmlCell>
  <singleXmlCell id="5394" xr6:uid="{7C07E76A-17C0-4B0B-89D3-4A3117183D5B}" r="P46" connectionId="0">
    <xmlCellPr id="1" xr6:uid="{2702A48A-76B2-47D0-8C90-490A84EFFCDC}" uniqueName="Row3_R">
      <xmlPr mapId="7" xpath="/MAKE/COP/COPCRSInstallation/Datasheet_Tables/Belt_Attached/Type_6/@Row3_R" xmlDataType="string"/>
    </xmlCellPr>
  </singleXmlCell>
  <singleXmlCell id="5395" xr6:uid="{6DC09110-4BD4-4EB5-94C6-0C94B4D800F3}" r="C46" connectionId="0">
    <xmlCellPr id="1" xr6:uid="{C0D46784-7094-4E00-9D5B-BFCE595DA36D}" uniqueName="Description">
      <xmlPr mapId="7" xpath="/MAKE/COP/COPCRSInstallation/Datasheet_Tables/Belt_Attached/Type_6/@Description" xmlDataType="anyType"/>
    </xmlCellPr>
  </singleXmlCell>
  <singleXmlCell id="5396" xr6:uid="{C96AE483-5EAC-4858-9438-1EF5EFAE16DD}" r="C45" connectionId="0">
    <xmlCellPr id="1" xr6:uid="{ED5A540C-0BD6-4CA2-B4B2-41FA476AA75C}" uniqueName="Description">
      <xmlPr mapId="7" xpath="/MAKE/COP/COPCRSInstallation/Datasheet_Tables/Belt_Attached/Type_5/@Description" xmlDataType="anyType"/>
    </xmlCellPr>
  </singleXmlCell>
  <singleXmlCell id="5397" xr6:uid="{625B4375-90A2-4632-81B1-1363FBF69F15}" r="C44" connectionId="0">
    <xmlCellPr id="1" xr6:uid="{D9B1C086-CE77-4DC2-B19E-C4E6DE52B254}" uniqueName="Description">
      <xmlPr mapId="7" xpath="/MAKE/COP/COPCRSInstallation/Datasheet_Tables/Belt_Attached/Type_4/@Description" xmlDataType="anyType"/>
    </xmlCellPr>
  </singleXmlCell>
  <singleXmlCell id="5398" xr6:uid="{F916B1DD-293A-44FC-847F-35AABCF3854F}" r="C43" connectionId="0">
    <xmlCellPr id="1" xr6:uid="{A280DF56-FA1C-4E37-97AC-7493DBC01B73}" uniqueName="Description">
      <xmlPr mapId="7" xpath="/MAKE/COP/COPCRSInstallation/Datasheet_Tables/Belt_Attached/Type_3/@Description" xmlDataType="anyType"/>
    </xmlCellPr>
  </singleXmlCell>
  <singleXmlCell id="5399" xr6:uid="{25BD102D-F6A1-4DCF-BBF0-6808FFA89236}" r="C42" connectionId="0">
    <xmlCellPr id="1" xr6:uid="{E5C72867-BCC0-48F9-BF8D-70A3E5F94E6E}" uniqueName="Description">
      <xmlPr mapId="7" xpath="/MAKE/COP/COPCRSInstallation/Datasheet_Tables/Belt_Attached/Type_2/@Description" xmlDataType="anyType"/>
    </xmlCellPr>
  </singleXmlCell>
  <singleXmlCell id="5400" xr6:uid="{574BB2A0-6D60-4FE4-9D0D-D72789499F25}" r="C41" connectionId="0">
    <xmlCellPr id="1" xr6:uid="{3D066EE2-E64F-4CC9-BB3F-7FBE1EA6D0D8}" uniqueName="Description">
      <xmlPr mapId="7" xpath="/MAKE/COP/COPCRSInstallation/Datasheet_Tables/Belt_Attached/Type_1/@Description" xmlDataType="anyType"/>
    </xmlCellPr>
  </singleXmlCell>
  <singleXmlCell id="5401" xr6:uid="{6C5EB374-C7AA-4BD4-9218-2F1914DEEAD8}" r="C40" connectionId="0">
    <xmlCellPr id="1" xr6:uid="{F529028F-E4E6-44D6-B711-0D2841C7C993}" uniqueName="Description">
      <xmlPr mapId="7" xpath="/MAKE/COP/COPCRSInstallation/Datasheet_Tables/ISOFIX/Type_6/@Description" xmlDataType="anyType"/>
    </xmlCellPr>
  </singleXmlCell>
  <singleXmlCell id="5402" xr6:uid="{E2E9F48F-A19F-4FA6-B31D-197113C1343B}" r="C39" connectionId="0">
    <xmlCellPr id="1" xr6:uid="{58F15CF6-7AA7-467A-AFE0-A2A80BCA23B8}" uniqueName="Description">
      <xmlPr mapId="7" xpath="/MAKE/COP/COPCRSInstallation/Datasheet_Tables/ISOFIX/Type_5/@Description" xmlDataType="anyType"/>
    </xmlCellPr>
  </singleXmlCell>
  <singleXmlCell id="5403" xr6:uid="{5392AAB1-2B30-4F34-BB09-67551DF2D012}" r="C38" connectionId="0">
    <xmlCellPr id="1" xr6:uid="{AD0ADBCE-3BBA-486D-90B0-81718B21DC50}" uniqueName="Description">
      <xmlPr mapId="7" xpath="/MAKE/COP/COPCRSInstallation/Datasheet_Tables/ISOFIX/Type_4/@Description" xmlDataType="anyType"/>
    </xmlCellPr>
  </singleXmlCell>
  <singleXmlCell id="5404" xr6:uid="{2B027839-A1EF-4820-9CD5-1A684E1C6ED6}" r="C37" connectionId="0">
    <xmlCellPr id="1" xr6:uid="{1B60FDED-93B4-4C53-BE0B-0C9ECAD84C69}" uniqueName="Description">
      <xmlPr mapId="7" xpath="/MAKE/COP/COPCRSInstallation/Datasheet_Tables/ISOFIX/Type_3/@Description" xmlDataType="anyType"/>
    </xmlCellPr>
  </singleXmlCell>
  <singleXmlCell id="5405" xr6:uid="{7B837C89-46A0-4BD4-914E-26EC79C1E914}" r="C36" connectionId="0">
    <xmlCellPr id="1" xr6:uid="{551FD0A3-8C73-4E37-BA50-B1F133676C92}" uniqueName="Description">
      <xmlPr mapId="7" xpath="/MAKE/COP/COPCRSInstallation/Datasheet_Tables/ISOFIX/Type_2/@Description" xmlDataType="anyType"/>
    </xmlCellPr>
  </singleXmlCell>
</singleXmlCells>
</file>

<file path=xl/tables/tableSingleCells13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634" xr6:uid="{8F91B153-00F5-444F-9787-E62A96D5BD97}" r="T75" connectionId="0">
    <xmlCellPr id="1" xr6:uid="{6DCC3BB3-B59F-4D0E-8BA8-9E0BD47E10F9}" uniqueName="TOTAL_PEDESTRIAN_HEADFORM">
      <xmlPr mapId="7" xpath="/MAKE/PP/PPHeadform/@TOTAL_PEDESTRIAN_HEADFORM" xmlDataType="decimal"/>
    </xmlCellPr>
  </singleXmlCell>
  <singleXmlCell id="635" xr6:uid="{0CAA80D7-8B1D-4E7E-A101-D40FA0BC132C}" r="Q26" connectionId="0">
    <xmlCellPr id="1" xr6:uid="{6EFF3B04-33A2-42C1-A89A-4436B72B8E87}" uniqueName="Nr_of_points">
      <xmlPr mapId="7" xpath="/MAKE/PP/PPHeadform/PREDICTION/Default_green/@Nr_of_points" xmlDataType="decimal"/>
    </xmlCellPr>
  </singleXmlCell>
  <singleXmlCell id="636" xr6:uid="{9CF8AC79-A7D0-4725-B785-2F869FDF9F70}" r="T26" connectionId="0">
    <xmlCellPr id="1" xr6:uid="{24EBC945-CDCD-44BC-928B-B6EB870DE595}" uniqueName="Points">
      <xmlPr mapId="7" xpath="/MAKE/PP/PPHeadform/PREDICTION/Default_green/@Points" xmlDataType="decimal"/>
    </xmlCellPr>
  </singleXmlCell>
  <singleXmlCell id="637" xr6:uid="{A0D11604-6E81-4598-A76F-2E9EF3BC58DB}" r="W26" connectionId="0">
    <xmlCellPr id="1" xr6:uid="{2DF141D4-0228-4C46-9EA0-DBE71D1067CC}" uniqueName="Percentage">
      <xmlPr mapId="7" xpath="/MAKE/PP/PPHeadform/PREDICTION/Default_green/@Percentage" xmlDataType="decimal"/>
    </xmlCellPr>
  </singleXmlCell>
  <singleXmlCell id="638" xr6:uid="{E4F29674-2249-47D9-A512-B7258A3CD2E0}" r="Q27" connectionId="0">
    <xmlCellPr id="1" xr6:uid="{1028965E-C3C3-4856-8473-B6B81E98099E}" uniqueName="Nr_of_points">
      <xmlPr mapId="7" xpath="/MAKE/PP/PPHeadform/PREDICTION/Green/@Nr_of_points" xmlDataType="decimal"/>
    </xmlCellPr>
  </singleXmlCell>
  <singleXmlCell id="639" xr6:uid="{3FBE8592-1161-493F-B344-77B4FDBA63A0}" r="T27" connectionId="0">
    <xmlCellPr id="1" xr6:uid="{B644E8C7-9DFF-4068-AD0E-0C5CAD4D34B6}" uniqueName="Points">
      <xmlPr mapId="7" xpath="/MAKE/PP/PPHeadform/PREDICTION/Green/@Points" xmlDataType="decimal"/>
    </xmlCellPr>
  </singleXmlCell>
  <singleXmlCell id="640" xr6:uid="{F8B67027-4A81-4B35-8611-8963DC55D9A0}" r="W27" connectionId="0">
    <xmlCellPr id="1" xr6:uid="{B17AD269-823B-475E-9157-05C0BAAE25CE}" uniqueName="Percentage">
      <xmlPr mapId="7" xpath="/MAKE/PP/PPHeadform/PREDICTION/Green/@Percentage" xmlDataType="decimal"/>
    </xmlCellPr>
  </singleXmlCell>
  <singleXmlCell id="641" xr6:uid="{9C212676-9374-4E25-AD30-9578928D3594}" r="Q28" connectionId="0">
    <xmlCellPr id="1" xr6:uid="{1F716CF6-46B7-4457-9381-98F651B8045A}" uniqueName="Nr_of_points">
      <xmlPr mapId="7" xpath="/MAKE/PP/PPHeadform/PREDICTION/Yellow/@Nr_of_points" xmlDataType="decimal"/>
    </xmlCellPr>
  </singleXmlCell>
  <singleXmlCell id="642" xr6:uid="{1717F796-B758-473F-87A6-BE95EF95718D}" r="T28" connectionId="0">
    <xmlCellPr id="1" xr6:uid="{22C0CAE6-6436-4B90-AF37-A14E466216F1}" uniqueName="Points">
      <xmlPr mapId="7" xpath="/MAKE/PP/PPHeadform/PREDICTION/Yellow/@Points" xmlDataType="decimal"/>
    </xmlCellPr>
  </singleXmlCell>
  <singleXmlCell id="643" xr6:uid="{AF5E8A8E-C28E-47C0-B24D-DF30385529BA}" r="W28" connectionId="0">
    <xmlCellPr id="1" xr6:uid="{E37C7701-5C0F-4336-AC87-3765DB2E7AC0}" uniqueName="Percentage">
      <xmlPr mapId="7" xpath="/MAKE/PP/PPHeadform/PREDICTION/Yellow/@Percentage" xmlDataType="decimal"/>
    </xmlCellPr>
  </singleXmlCell>
  <singleXmlCell id="644" xr6:uid="{BE4BB6B1-5775-4F2C-9235-E040F341A54E}" r="Q29" connectionId="0">
    <xmlCellPr id="1" xr6:uid="{82044468-8251-411C-9F22-C1AA1BA99535}" uniqueName="Nr_of_points">
      <xmlPr mapId="7" xpath="/MAKE/PP/PPHeadform/PREDICTION/Orange/@Nr_of_points" xmlDataType="decimal"/>
    </xmlCellPr>
  </singleXmlCell>
  <singleXmlCell id="645" xr6:uid="{F7971628-B5E4-423B-8E49-5B66E13EC164}" r="T29" connectionId="0">
    <xmlCellPr id="1" xr6:uid="{37FEB50C-46C0-4468-8E94-8FC15A1B8DD3}" uniqueName="Points">
      <xmlPr mapId="7" xpath="/MAKE/PP/PPHeadform/PREDICTION/Orange/@Points" xmlDataType="decimal"/>
    </xmlCellPr>
  </singleXmlCell>
  <singleXmlCell id="646" xr6:uid="{4B1BF61D-F34F-4C6C-A61F-5056AE9E3A21}" r="W29" connectionId="0">
    <xmlCellPr id="1" xr6:uid="{2520397A-7FCB-4CA1-96C7-22230D8E19BD}" uniqueName="Percentage">
      <xmlPr mapId="7" xpath="/MAKE/PP/PPHeadform/PREDICTION/Orange/@Percentage" xmlDataType="decimal"/>
    </xmlCellPr>
  </singleXmlCell>
  <singleXmlCell id="647" xr6:uid="{D72EE1EE-9483-46C7-810E-869722E6DE2E}" r="Q30" connectionId="0">
    <xmlCellPr id="1" xr6:uid="{45CC3AE4-95F6-41B3-8C26-90A3733CFEC7}" uniqueName="Nr_of_points">
      <xmlPr mapId="7" xpath="/MAKE/PP/PPHeadform/PREDICTION/Brown/@Nr_of_points" xmlDataType="decimal"/>
    </xmlCellPr>
  </singleXmlCell>
  <singleXmlCell id="648" xr6:uid="{89255774-CDFC-421C-8E1E-375160AF40B6}" r="T30" connectionId="0">
    <xmlCellPr id="1" xr6:uid="{93DECD4C-CBFA-4089-A1C7-F6622A96D830}" uniqueName="Points">
      <xmlPr mapId="7" xpath="/MAKE/PP/PPHeadform/PREDICTION/Brown/@Points" xmlDataType="decimal"/>
    </xmlCellPr>
  </singleXmlCell>
  <singleXmlCell id="649" xr6:uid="{ED3F1465-0A99-42F9-BBDA-BEA36AEEC458}" r="W30" connectionId="0">
    <xmlCellPr id="1" xr6:uid="{CCCEF45C-4BF9-4BCA-B20F-9328CC9E6393}" uniqueName="Percentage">
      <xmlPr mapId="7" xpath="/MAKE/PP/PPHeadform/PREDICTION/Brown/@Percentage" xmlDataType="decimal"/>
    </xmlCellPr>
  </singleXmlCell>
  <singleXmlCell id="650" xr6:uid="{0FA2BD6C-96B2-41B5-B911-C007104D660C}" r="Q31" connectionId="0">
    <xmlCellPr id="1" xr6:uid="{1CB69A0D-6F53-4257-AAE2-228527CDEF22}" uniqueName="Nr_of_points">
      <xmlPr mapId="7" xpath="/MAKE/PP/PPHeadform/PREDICTION/Red/@Nr_of_points" xmlDataType="decimal"/>
    </xmlCellPr>
  </singleXmlCell>
  <singleXmlCell id="651" xr6:uid="{91D86FF3-95E6-40E5-ACC1-7FEBDAE68209}" r="T31" connectionId="0">
    <xmlCellPr id="1" xr6:uid="{6FF55623-4C12-4AE5-9D38-C2DDC034CACD}" uniqueName="Points">
      <xmlPr mapId="7" xpath="/MAKE/PP/PPHeadform/PREDICTION/Red/@Points" xmlDataType="decimal"/>
    </xmlCellPr>
  </singleXmlCell>
  <singleXmlCell id="652" xr6:uid="{D9843762-9AA9-4EA7-8AF6-578E1C3FE6B4}" r="W31" connectionId="0">
    <xmlCellPr id="1" xr6:uid="{47CA1E51-ABE2-4E95-B6DA-9005018F3539}" uniqueName="Percentage">
      <xmlPr mapId="7" xpath="/MAKE/PP/PPHeadform/PREDICTION/Red/@Percentage" xmlDataType="decimal"/>
    </xmlCellPr>
  </singleXmlCell>
  <singleXmlCell id="653" xr6:uid="{EA4ABD00-FFDB-40F3-9FDB-D958B300DE55}" r="Q32" connectionId="0">
    <xmlCellPr id="1" xr6:uid="{DE8A4A39-57BC-42C3-B452-F7E947140242}" uniqueName="Nr_of_points">
      <xmlPr mapId="7" xpath="/MAKE/PP/PPHeadform/PREDICTION/Default_Red/@Nr_of_points" xmlDataType="decimal"/>
    </xmlCellPr>
  </singleXmlCell>
  <singleXmlCell id="654" xr6:uid="{45978E7B-3D96-455C-AA00-C01628D720B9}" r="T32" connectionId="0">
    <xmlCellPr id="1" xr6:uid="{A5FF34F1-BE39-4CA2-8F03-79A534EE4576}" uniqueName="Points">
      <xmlPr mapId="7" xpath="/MAKE/PP/PPHeadform/PREDICTION/Default_Red/@Points" xmlDataType="decimal"/>
    </xmlCellPr>
  </singleXmlCell>
  <singleXmlCell id="655" xr6:uid="{330F92FB-05FC-46B8-BB94-6AD6F9E89EB0}" r="W32" connectionId="0">
    <xmlCellPr id="1" xr6:uid="{5DB3144F-E5F4-4A14-AFBF-AE8B296352E4}" uniqueName="Percentage">
      <xmlPr mapId="7" xpath="/MAKE/PP/PPHeadform/PREDICTION/Default_Red/@Percentage" xmlDataType="decimal"/>
    </xmlCellPr>
  </singleXmlCell>
  <singleXmlCell id="656" xr6:uid="{7BAAB499-4EC5-49DF-9F47-2D3C85A14B69}" r="Q33" connectionId="0">
    <xmlCellPr id="1" xr6:uid="{C126F1DA-7B0C-49E8-ACE9-F82C801D9F40}" uniqueName="Nr_of_points">
      <xmlPr mapId="7" xpath="/MAKE/PP/PPHeadform/PREDICTION/Blue/@Nr_of_points" xmlDataType="decimal"/>
    </xmlCellPr>
  </singleXmlCell>
  <singleXmlCell id="657" xr6:uid="{E5F906B5-E023-442D-8613-E65D755385FC}" r="T33" connectionId="0">
    <xmlCellPr id="1" xr6:uid="{6C8B5112-A925-49C0-A85E-9E9585C02252}" uniqueName="Points">
      <xmlPr mapId="7" xpath="/MAKE/PP/PPHeadform/PREDICTION/Blue/@Points" xmlDataType="decimal"/>
    </xmlCellPr>
  </singleXmlCell>
  <singleXmlCell id="658" xr6:uid="{F97E1DED-48D5-49D9-BFA0-CDE26E9CE5F7}" r="W33" connectionId="0">
    <xmlCellPr id="1" xr6:uid="{180CC4D8-A504-4085-8EA7-D5D9A44361B0}" uniqueName="Percentage">
      <xmlPr mapId="7" xpath="/MAKE/PP/PPHeadform/PREDICTION/Blue/@Percentage" xmlDataType="decimal"/>
    </xmlCellPr>
  </singleXmlCell>
  <singleXmlCell id="659" xr6:uid="{F48EEFCF-5890-4816-A453-DD92689CFFB4}" r="Q34" connectionId="0">
    <xmlCellPr id="1" xr6:uid="{6D9AB8D4-77E5-4DD9-B72C-339804E46757}" uniqueName="Nr_of_points">
      <xmlPr mapId="7" xpath="/MAKE/PP/PPHeadform/PREDICTION/Predicted_headform_score/@Nr_of_points" xmlDataType="decimal"/>
    </xmlCellPr>
  </singleXmlCell>
  <singleXmlCell id="660" xr6:uid="{F429EDB7-E370-4B0D-A4ED-DB810745B3B4}" r="T34" connectionId="0">
    <xmlCellPr id="1" xr6:uid="{D141FB1F-3EAB-4316-8AC9-F4E2944C4C97}" uniqueName="Points">
      <xmlPr mapId="7" xpath="/MAKE/PP/PPHeadform/PREDICTION/Predicted_headform_score/@Points" xmlDataType="decimal"/>
    </xmlCellPr>
  </singleXmlCell>
  <singleXmlCell id="661" xr6:uid="{641101C2-FFB0-41A9-A4A7-0F90C5A618F6}" r="W34" connectionId="0">
    <xmlCellPr id="1" xr6:uid="{4DC6A66B-717F-48F0-9BDE-7901BBBAB0D4}" uniqueName="Percentage">
      <xmlPr mapId="7" xpath="/MAKE/PP/PPHeadform/PREDICTION/Predicted_headform_score/@Percentage" xmlDataType="decimal"/>
    </xmlCellPr>
  </singleXmlCell>
  <singleXmlCell id="662" xr6:uid="{C350F28A-F791-4EA9-9244-CE7B9A15AC0F}" r="B38" connectionId="0">
    <xmlCellPr id="1" xr6:uid="{4CE0FEC6-2112-4156-BAC9-45762C462FD7}" uniqueName="TestPoint">
      <xmlPr mapId="7" xpath="/MAKE/PP/PPHeadform/VERIFICATION/TestPoint1/@TestPoint" xmlDataType="string"/>
    </xmlCellPr>
  </singleXmlCell>
  <singleXmlCell id="663" xr6:uid="{EF1AB33B-A8AE-4553-AA19-A77E507F5860}" r="D38" connectionId="0">
    <xmlCellPr id="1" xr6:uid="{4C0B5DDE-549B-4E60-A68D-D8F1E70497DE}" uniqueName="Prediction">
      <xmlPr mapId="7" xpath="/MAKE/PP/PPHeadform/VERIFICATION/TestPoint1/@Prediction" xmlDataType="string"/>
    </xmlCellPr>
  </singleXmlCell>
  <singleXmlCell id="664" xr6:uid="{A7F57FCB-364E-4709-A36A-C1D0AAD9A4B7}" r="G38" connectionId="0">
    <xmlCellPr id="1" xr6:uid="{A7F97120-08D0-4570-937F-33C5DDB218FD}" uniqueName="Value">
      <xmlPr mapId="7" xpath="/MAKE/PP/PPHeadform/VERIFICATION/TestPoint1/@Value" xmlDataType="decimal"/>
    </xmlCellPr>
  </singleXmlCell>
  <singleXmlCell id="665" xr6:uid="{FD5D5CEA-5BE9-4AC6-988C-E6C61E5409A3}" r="J38" connectionId="0">
    <xmlCellPr id="1" xr6:uid="{396FD7B2-7F53-4200-A2C0-5B15F89ED2EA}" uniqueName="Points">
      <xmlPr mapId="7" xpath="/MAKE/PP/PPHeadform/VERIFICATION/TestPoint1/@Points" xmlDataType="decimal"/>
    </xmlCellPr>
  </singleXmlCell>
  <singleXmlCell id="666" xr6:uid="{90AA815F-B391-42E4-97BF-DEBF90D190D4}" r="B39" connectionId="0">
    <xmlCellPr id="1" xr6:uid="{DD10EB14-2F7D-4AAC-BB55-E374181FCD65}" uniqueName="TestPoint">
      <xmlPr mapId="7" xpath="/MAKE/PP/PPHeadform/VERIFICATION/TestPoint2/@TestPoint" xmlDataType="string"/>
    </xmlCellPr>
  </singleXmlCell>
  <singleXmlCell id="667" xr6:uid="{FDC2A5F7-92E6-41E5-B9B4-46E8E5D3E916}" r="D39" connectionId="0">
    <xmlCellPr id="1" xr6:uid="{25DC5C9A-7743-45EB-8CDE-36C38F3393B4}" uniqueName="Prediction">
      <xmlPr mapId="7" xpath="/MAKE/PP/PPHeadform/VERIFICATION/TestPoint2/@Prediction" xmlDataType="string"/>
    </xmlCellPr>
  </singleXmlCell>
  <singleXmlCell id="668" xr6:uid="{AD072C06-282D-410E-8624-EA9EAD503544}" r="G39" connectionId="0">
    <xmlCellPr id="1" xr6:uid="{B6F14700-5004-457A-BB71-EDBEE994B38E}" uniqueName="Value">
      <xmlPr mapId="7" xpath="/MAKE/PP/PPHeadform/VERIFICATION/TestPoint2/@Value" xmlDataType="decimal"/>
    </xmlCellPr>
  </singleXmlCell>
  <singleXmlCell id="669" xr6:uid="{CE987681-BFC4-43E6-8D50-ACCFA9061858}" r="J39" connectionId="0">
    <xmlCellPr id="1" xr6:uid="{57F5C9CF-5BC9-4204-980A-41BCD3B92C3A}" uniqueName="Points">
      <xmlPr mapId="7" xpath="/MAKE/PP/PPHeadform/VERIFICATION/TestPoint2/@Points" xmlDataType="decimal"/>
    </xmlCellPr>
  </singleXmlCell>
  <singleXmlCell id="670" xr6:uid="{6A56FBC6-F9D3-4B23-A373-48F9542F6D35}" r="B40" connectionId="0">
    <xmlCellPr id="1" xr6:uid="{B683D9E4-18CD-4592-9F19-6196BDC0E1A8}" uniqueName="TestPoint">
      <xmlPr mapId="7" xpath="/MAKE/PP/PPHeadform/VERIFICATION/TestPoint3/@TestPoint" xmlDataType="string"/>
    </xmlCellPr>
  </singleXmlCell>
  <singleXmlCell id="671" xr6:uid="{5A6BD871-9780-4468-A669-42F85403F60B}" r="D40" connectionId="0">
    <xmlCellPr id="1" xr6:uid="{DF842008-868B-44D8-ADE4-B12F47355FDE}" uniqueName="Prediction">
      <xmlPr mapId="7" xpath="/MAKE/PP/PPHeadform/VERIFICATION/TestPoint3/@Prediction" xmlDataType="string"/>
    </xmlCellPr>
  </singleXmlCell>
  <singleXmlCell id="672" xr6:uid="{945ED2EB-B106-49E9-82BE-2186586441EE}" r="G40" connectionId="0">
    <xmlCellPr id="1" xr6:uid="{BCDADF67-D702-4CFF-811B-3E7E9DAE630B}" uniqueName="Value">
      <xmlPr mapId="7" xpath="/MAKE/PP/PPHeadform/VERIFICATION/TestPoint3/@Value" xmlDataType="decimal"/>
    </xmlCellPr>
  </singleXmlCell>
  <singleXmlCell id="673" xr6:uid="{7B8D236B-26F9-443E-80FB-C820C6D62FF7}" r="J40" connectionId="0">
    <xmlCellPr id="1" xr6:uid="{6973167A-29EF-44B5-8D57-C27D31F1A8E0}" uniqueName="Points">
      <xmlPr mapId="7" xpath="/MAKE/PP/PPHeadform/VERIFICATION/TestPoint3/@Points" xmlDataType="decimal"/>
    </xmlCellPr>
  </singleXmlCell>
  <singleXmlCell id="674" xr6:uid="{88D541B9-79E1-4901-8FF2-81C4C006BC19}" r="B41" connectionId="0">
    <xmlCellPr id="1" xr6:uid="{4BD5B70A-9B99-438D-9D8D-8CC65D887790}" uniqueName="TestPoint">
      <xmlPr mapId="7" xpath="/MAKE/PP/PPHeadform/VERIFICATION/TestPoint4/@TestPoint" xmlDataType="string"/>
    </xmlCellPr>
  </singleXmlCell>
  <singleXmlCell id="675" xr6:uid="{446C0363-4B2A-424C-AE49-B8D7DA211FD7}" r="D41" connectionId="0">
    <xmlCellPr id="1" xr6:uid="{E426CB49-233B-44CA-9B08-4A6D18753283}" uniqueName="Prediction">
      <xmlPr mapId="7" xpath="/MAKE/PP/PPHeadform/VERIFICATION/TestPoint4/@Prediction" xmlDataType="string"/>
    </xmlCellPr>
  </singleXmlCell>
  <singleXmlCell id="676" xr6:uid="{092A77AD-9344-4CB1-B77E-3B337494112E}" r="G41" connectionId="0">
    <xmlCellPr id="1" xr6:uid="{018F180D-2753-490A-937B-CBB05A4C014F}" uniqueName="Value">
      <xmlPr mapId="7" xpath="/MAKE/PP/PPHeadform/VERIFICATION/TestPoint4/@Value" xmlDataType="decimal"/>
    </xmlCellPr>
  </singleXmlCell>
  <singleXmlCell id="677" xr6:uid="{A616256D-0ABF-453A-8C9A-347B95E93FED}" r="J41" connectionId="0">
    <xmlCellPr id="1" xr6:uid="{3F0AC03A-ABD9-4FF4-903E-6951CA0E5699}" uniqueName="Points">
      <xmlPr mapId="7" xpath="/MAKE/PP/PPHeadform/VERIFICATION/TestPoint4/@Points" xmlDataType="decimal"/>
    </xmlCellPr>
  </singleXmlCell>
  <singleXmlCell id="678" xr6:uid="{12C3C450-A4F1-4154-9250-0BF1F94B6A4C}" r="B42" connectionId="0">
    <xmlCellPr id="1" xr6:uid="{511345BE-97B7-42D6-9CFF-5DC88D9BF1BA}" uniqueName="TestPoint">
      <xmlPr mapId="7" xpath="/MAKE/PP/PPHeadform/VERIFICATION/TestPoint5/@TestPoint" xmlDataType="string"/>
    </xmlCellPr>
  </singleXmlCell>
  <singleXmlCell id="679" xr6:uid="{C58B226D-E14D-4AC8-9F73-3DC886E5B951}" r="D42" connectionId="0">
    <xmlCellPr id="1" xr6:uid="{8257C290-93A2-4B10-8F8F-1F3EBDDA8DCA}" uniqueName="Prediction">
      <xmlPr mapId="7" xpath="/MAKE/PP/PPHeadform/VERIFICATION/TestPoint5/@Prediction" xmlDataType="string"/>
    </xmlCellPr>
  </singleXmlCell>
  <singleXmlCell id="680" xr6:uid="{B676CD93-1EB3-4FF8-A7BC-2B7879A2F4D9}" r="G42" connectionId="0">
    <xmlCellPr id="1" xr6:uid="{9DDD6899-ABDF-4E7E-B4AE-7DAC53162220}" uniqueName="Value">
      <xmlPr mapId="7" xpath="/MAKE/PP/PPHeadform/VERIFICATION/TestPoint5/@Value" xmlDataType="decimal"/>
    </xmlCellPr>
  </singleXmlCell>
  <singleXmlCell id="681" xr6:uid="{312475F2-ECD0-487C-880E-B3DEB7B7F84B}" r="J42" connectionId="0">
    <xmlCellPr id="1" xr6:uid="{B9574640-9895-446C-8401-A7ACDA776AEB}" uniqueName="Points">
      <xmlPr mapId="7" xpath="/MAKE/PP/PPHeadform/VERIFICATION/TestPoint5/@Points" xmlDataType="decimal"/>
    </xmlCellPr>
  </singleXmlCell>
  <singleXmlCell id="682" xr6:uid="{034C5283-EC08-487A-B5FE-C414CFFD0A2A}" r="B43" connectionId="0">
    <xmlCellPr id="1" xr6:uid="{0C6CBD0B-0B2F-4F5F-BE18-AE547D3F3E6F}" uniqueName="TestPoint">
      <xmlPr mapId="7" xpath="/MAKE/PP/PPHeadform/VERIFICATION/TestPoint6/@TestPoint" xmlDataType="string"/>
    </xmlCellPr>
  </singleXmlCell>
  <singleXmlCell id="683" xr6:uid="{ED216DA0-B47F-459D-97CA-EE41F229B280}" r="D43" connectionId="0">
    <xmlCellPr id="1" xr6:uid="{3FF536BC-9F8F-4F5A-8748-C51B30D301D2}" uniqueName="Prediction">
      <xmlPr mapId="7" xpath="/MAKE/PP/PPHeadform/VERIFICATION/TestPoint6/@Prediction" xmlDataType="string"/>
    </xmlCellPr>
  </singleXmlCell>
  <singleXmlCell id="684" xr6:uid="{BDBD5A1A-ABC2-4212-B4F4-D670687AE600}" r="G43" connectionId="0">
    <xmlCellPr id="1" xr6:uid="{5BCC9CCC-25EC-4A72-82BE-670B1DEAC0FA}" uniqueName="Value">
      <xmlPr mapId="7" xpath="/MAKE/PP/PPHeadform/VERIFICATION/TestPoint6/@Value" xmlDataType="decimal"/>
    </xmlCellPr>
  </singleXmlCell>
  <singleXmlCell id="685" xr6:uid="{40B08DA9-75AB-435C-B3F3-3F93D34F271F}" r="J43" connectionId="0">
    <xmlCellPr id="1" xr6:uid="{2B4960A1-4BB7-44EC-9AD6-F5AB30266A48}" uniqueName="Points">
      <xmlPr mapId="7" xpath="/MAKE/PP/PPHeadform/VERIFICATION/TestPoint6/@Points" xmlDataType="decimal"/>
    </xmlCellPr>
  </singleXmlCell>
  <singleXmlCell id="686" xr6:uid="{F6279938-ED74-492B-9A1F-78C1E51C4D7B}" r="B44" connectionId="0">
    <xmlCellPr id="1" xr6:uid="{C8EEF685-53DA-4757-94F3-1B93A2CA86C2}" uniqueName="TestPoint">
      <xmlPr mapId="7" xpath="/MAKE/PP/PPHeadform/VERIFICATION/TestPoint7/@TestPoint" xmlDataType="string"/>
    </xmlCellPr>
  </singleXmlCell>
  <singleXmlCell id="687" xr6:uid="{8BB1B24A-5729-4B61-B0E4-D765B99C013E}" r="D44" connectionId="0">
    <xmlCellPr id="1" xr6:uid="{F414F0F1-842A-42EF-8EBA-7FA465203F19}" uniqueName="Prediction">
      <xmlPr mapId="7" xpath="/MAKE/PP/PPHeadform/VERIFICATION/TestPoint7/@Prediction" xmlDataType="string"/>
    </xmlCellPr>
  </singleXmlCell>
  <singleXmlCell id="688" xr6:uid="{9BB55106-1915-462B-B1EE-0AC59EBBD2A8}" r="G44" connectionId="0">
    <xmlCellPr id="1" xr6:uid="{99BA427A-9EEB-465C-9C68-A2931B1F877B}" uniqueName="Value">
      <xmlPr mapId="7" xpath="/MAKE/PP/PPHeadform/VERIFICATION/TestPoint7/@Value" xmlDataType="decimal"/>
    </xmlCellPr>
  </singleXmlCell>
  <singleXmlCell id="689" xr6:uid="{609190D0-9B2D-431A-A34A-0FF35505E85C}" r="J44" connectionId="0">
    <xmlCellPr id="1" xr6:uid="{84D925A7-915F-41BD-B498-16B948A15181}" uniqueName="Points">
      <xmlPr mapId="7" xpath="/MAKE/PP/PPHeadform/VERIFICATION/TestPoint7/@Points" xmlDataType="decimal"/>
    </xmlCellPr>
  </singleXmlCell>
  <singleXmlCell id="690" xr6:uid="{1B21D6E6-5EB0-4176-8C09-F44C819FF00D}" r="B45" connectionId="0">
    <xmlCellPr id="1" xr6:uid="{177DC8EF-5B3D-49A8-9C84-8676267815B1}" uniqueName="TestPoint">
      <xmlPr mapId="7" xpath="/MAKE/PP/PPHeadform/VERIFICATION/TestPoint8/@TestPoint" xmlDataType="string"/>
    </xmlCellPr>
  </singleXmlCell>
  <singleXmlCell id="691" xr6:uid="{44101E83-37F1-405D-A1FC-4045DB3DE91E}" r="D45" connectionId="0">
    <xmlCellPr id="1" xr6:uid="{20C8A7B8-DCD4-4832-BC4C-1893B1A561E5}" uniqueName="Prediction">
      <xmlPr mapId="7" xpath="/MAKE/PP/PPHeadform/VERIFICATION/TestPoint8/@Prediction" xmlDataType="string"/>
    </xmlCellPr>
  </singleXmlCell>
  <singleXmlCell id="692" xr6:uid="{7AE1F038-584D-4E01-89EE-926DC416684C}" r="G45" connectionId="0">
    <xmlCellPr id="1" xr6:uid="{5BD1DC0F-AE16-4DB1-9F62-6AEC9A8EBD8F}" uniqueName="Value">
      <xmlPr mapId="7" xpath="/MAKE/PP/PPHeadform/VERIFICATION/TestPoint8/@Value" xmlDataType="decimal"/>
    </xmlCellPr>
  </singleXmlCell>
  <singleXmlCell id="693" xr6:uid="{76D140DC-0EE2-4CB0-86B5-A757AB696293}" r="J45" connectionId="0">
    <xmlCellPr id="1" xr6:uid="{1AD6C72D-FB5B-4723-ABFC-85547664BA20}" uniqueName="Points">
      <xmlPr mapId="7" xpath="/MAKE/PP/PPHeadform/VERIFICATION/TestPoint8/@Points" xmlDataType="decimal"/>
    </xmlCellPr>
  </singleXmlCell>
  <singleXmlCell id="694" xr6:uid="{4416F1C1-8846-46D0-88F8-E94D75EB4AEF}" r="B46" connectionId="0">
    <xmlCellPr id="1" xr6:uid="{4DD520F1-209D-4454-AB36-C09600415843}" uniqueName="TestPoint">
      <xmlPr mapId="7" xpath="/MAKE/PP/PPHeadform/VERIFICATION/TestPoint9/@TestPoint" xmlDataType="string"/>
    </xmlCellPr>
  </singleXmlCell>
  <singleXmlCell id="695" xr6:uid="{5742FB15-D82F-4190-8A1A-68FF443803B8}" r="D46" connectionId="0">
    <xmlCellPr id="1" xr6:uid="{AAED0D3F-001A-4A94-9F62-AC05E31DC0F9}" uniqueName="Prediction">
      <xmlPr mapId="7" xpath="/MAKE/PP/PPHeadform/VERIFICATION/TestPoint9/@Prediction" xmlDataType="string"/>
    </xmlCellPr>
  </singleXmlCell>
  <singleXmlCell id="696" xr6:uid="{A38E1180-7945-4E52-977A-B849731159E0}" r="G46" connectionId="0">
    <xmlCellPr id="1" xr6:uid="{7C1CEC02-866D-4C3F-8574-F3A0CAC9399A}" uniqueName="Value">
      <xmlPr mapId="7" xpath="/MAKE/PP/PPHeadform/VERIFICATION/TestPoint9/@Value" xmlDataType="decimal"/>
    </xmlCellPr>
  </singleXmlCell>
  <singleXmlCell id="697" xr6:uid="{D854114C-76BB-4A32-A2BD-4772B4E68076}" r="J46" connectionId="0">
    <xmlCellPr id="1" xr6:uid="{F7AAEBD9-CAE8-4B98-92E7-D75C80974E05}" uniqueName="Points">
      <xmlPr mapId="7" xpath="/MAKE/PP/PPHeadform/VERIFICATION/TestPoint9/@Points" xmlDataType="decimal"/>
    </xmlCellPr>
  </singleXmlCell>
  <singleXmlCell id="698" xr6:uid="{BEE47009-EE95-4439-9A0B-59C9C8FAE2B2}" r="B47" connectionId="0">
    <xmlCellPr id="1" xr6:uid="{C12D8AB9-7252-4EEF-9551-C2C12397BADF}" uniqueName="TestPoint">
      <xmlPr mapId="7" xpath="/MAKE/PP/PPHeadform/VERIFICATION/TestPoint10/@TestPoint" xmlDataType="string"/>
    </xmlCellPr>
  </singleXmlCell>
  <singleXmlCell id="699" xr6:uid="{D85791A8-3C06-4F1D-9250-C22C9F9D6A51}" r="D47" connectionId="0">
    <xmlCellPr id="1" xr6:uid="{391F28FC-9384-4930-95CD-588F32840AD5}" uniqueName="Prediction">
      <xmlPr mapId="7" xpath="/MAKE/PP/PPHeadform/VERIFICATION/TestPoint10/@Prediction" xmlDataType="string"/>
    </xmlCellPr>
  </singleXmlCell>
  <singleXmlCell id="700" xr6:uid="{58E33EA6-D53A-42A0-9CC6-89E9B2720F4D}" r="G47" connectionId="0">
    <xmlCellPr id="1" xr6:uid="{CD934B54-9A6A-4B15-A706-DE317312304F}" uniqueName="Value">
      <xmlPr mapId="7" xpath="/MAKE/PP/PPHeadform/VERIFICATION/TestPoint10/@Value" xmlDataType="decimal"/>
    </xmlCellPr>
  </singleXmlCell>
  <singleXmlCell id="701" xr6:uid="{DDB8859D-83C2-4F70-952D-32C88ADD46F0}" r="J47" connectionId="0">
    <xmlCellPr id="1" xr6:uid="{51719276-0BE5-4EF6-9487-5C1F9846250B}" uniqueName="Points">
      <xmlPr mapId="7" xpath="/MAKE/PP/PPHeadform/VERIFICATION/TestPoint10/@Points" xmlDataType="decimal"/>
    </xmlCellPr>
  </singleXmlCell>
  <singleXmlCell id="706" xr6:uid="{EAFFE308-8635-4A6D-B6CA-4D192F6E968C}" r="B48" connectionId="0">
    <xmlCellPr id="1" xr6:uid="{21154DE9-2CA2-4337-820C-FA9D44FF2AAD}" uniqueName="TestPoint">
      <xmlPr mapId="7" xpath="/MAKE/PP/PPHeadform/VERIFICATION/TestPointTotal1/@TestPoint" xmlDataType="string"/>
    </xmlCellPr>
  </singleXmlCell>
  <singleXmlCell id="707" xr6:uid="{D169E560-50A2-4B8D-9103-2A3FFF691D30}" r="D48" connectionId="0">
    <xmlCellPr id="1" xr6:uid="{463F584C-1235-4BF1-B64F-476C740E6DF3}" uniqueName="Prediction">
      <xmlPr mapId="7" xpath="/MAKE/PP/PPHeadform/VERIFICATION/TestPointTotal1/@Prediction" xmlDataType="string"/>
    </xmlCellPr>
  </singleXmlCell>
  <singleXmlCell id="708" xr6:uid="{3F9C3104-8D9E-46B9-8BF0-0250E5B4D20D}" r="G48" connectionId="0">
    <xmlCellPr id="1" xr6:uid="{5E50CD0F-0414-4857-A3C1-7EAF8C8F82CB}" uniqueName="Value">
      <xmlPr mapId="7" xpath="/MAKE/PP/PPHeadform/VERIFICATION/TestPointTotal1/@Value" xmlDataType="decimal"/>
    </xmlCellPr>
  </singleXmlCell>
  <singleXmlCell id="709" xr6:uid="{164BA06D-F24A-4468-9807-04764674B079}" r="J48" connectionId="0">
    <xmlCellPr id="1" xr6:uid="{790F7FC0-82E8-48C0-93A7-18B1A1B9E9C3}" uniqueName="Points">
      <xmlPr mapId="7" xpath="/MAKE/PP/PPHeadform/VERIFICATION/TestPointTotal1/@Points" xmlDataType="decimal"/>
    </xmlCellPr>
  </singleXmlCell>
  <singleXmlCell id="710" xr6:uid="{ABB62645-19CC-4C3F-AF9D-5696E3051053}" r="N38" connectionId="0">
    <xmlCellPr id="1" xr6:uid="{063DE1EF-24BB-4B5F-B509-834ED8158DE9}" uniqueName="TestPoint">
      <xmlPr mapId="7" xpath="/MAKE/PP/PPHeadform/VERIFICATION/TestPoint11/@TestPoint" xmlDataType="string"/>
    </xmlCellPr>
  </singleXmlCell>
  <singleXmlCell id="711" xr6:uid="{0AF1FB57-244F-4C94-A91A-5DD95B7301DB}" r="Q38" connectionId="0">
    <xmlCellPr id="1" xr6:uid="{561D04F2-38CB-4F38-9701-82DA39611149}" uniqueName="Prediction">
      <xmlPr mapId="7" xpath="/MAKE/PP/PPHeadform/VERIFICATION/TestPoint11/@Prediction" xmlDataType="string"/>
    </xmlCellPr>
  </singleXmlCell>
  <singleXmlCell id="712" xr6:uid="{FEBA8545-3379-4D0D-9165-A5F7E11E4DF8}" r="T38" connectionId="0">
    <xmlCellPr id="1" xr6:uid="{746BB710-D975-4965-B849-F83C5CA69486}" uniqueName="Value">
      <xmlPr mapId="7" xpath="/MAKE/PP/PPHeadform/VERIFICATION/TestPoint11/@Value" xmlDataType="decimal"/>
    </xmlCellPr>
  </singleXmlCell>
  <singleXmlCell id="713" xr6:uid="{C8DF8A30-238E-4FFE-826A-5F59BAB82ACA}" r="W38" connectionId="0">
    <xmlCellPr id="1" xr6:uid="{92236697-AEE7-41A3-A101-2CBC69959D59}" uniqueName="Points">
      <xmlPr mapId="7" xpath="/MAKE/PP/PPHeadform/VERIFICATION/TestPoint11/@Points" xmlDataType="decimal"/>
    </xmlCellPr>
  </singleXmlCell>
  <singleXmlCell id="714" xr6:uid="{2A88C185-CA3B-4B17-A456-809A0E368DD1}" r="N39" connectionId="0">
    <xmlCellPr id="1" xr6:uid="{FE09D9D0-7DE4-453C-AEE9-8E645940505D}" uniqueName="TestPoint">
      <xmlPr mapId="7" xpath="/MAKE/PP/PPHeadform/VERIFICATION/TestPoint12/@TestPoint" xmlDataType="string"/>
    </xmlCellPr>
  </singleXmlCell>
  <singleXmlCell id="715" xr6:uid="{796F62F8-8874-4528-8CCB-CF1C5F2E2C7F}" r="Q39" connectionId="0">
    <xmlCellPr id="1" xr6:uid="{840DC172-29DB-4FC8-8D73-85C2E90CC785}" uniqueName="Prediction">
      <xmlPr mapId="7" xpath="/MAKE/PP/PPHeadform/VERIFICATION/TestPoint12/@Prediction" xmlDataType="string"/>
    </xmlCellPr>
  </singleXmlCell>
  <singleXmlCell id="716" xr6:uid="{2315AD59-5284-4243-BD89-A20CE0DC34B1}" r="T39" connectionId="0">
    <xmlCellPr id="1" xr6:uid="{8672F3F3-4FBF-4625-B13D-BFCC96893A1B}" uniqueName="Value">
      <xmlPr mapId="7" xpath="/MAKE/PP/PPHeadform/VERIFICATION/TestPoint12/@Value" xmlDataType="decimal"/>
    </xmlCellPr>
  </singleXmlCell>
  <singleXmlCell id="717" xr6:uid="{091EACE4-F47F-47E5-8277-AAC6693E8754}" r="W39" connectionId="0">
    <xmlCellPr id="1" xr6:uid="{6B33E2EF-AE79-4FDE-AB57-0314DC4ACBD3}" uniqueName="Points">
      <xmlPr mapId="7" xpath="/MAKE/PP/PPHeadform/VERIFICATION/TestPoint12/@Points" xmlDataType="decimal"/>
    </xmlCellPr>
  </singleXmlCell>
  <singleXmlCell id="718" xr6:uid="{208A53CE-D20E-44E2-B323-5D906D4054ED}" r="N40" connectionId="0">
    <xmlCellPr id="1" xr6:uid="{7BDE35A1-6E13-43E3-B962-2B0A39841793}" uniqueName="TestPoint">
      <xmlPr mapId="7" xpath="/MAKE/PP/PPHeadform/VERIFICATION/TestPoint13/@TestPoint" xmlDataType="string"/>
    </xmlCellPr>
  </singleXmlCell>
  <singleXmlCell id="719" xr6:uid="{7D5688BB-1BC7-47C3-A377-C2C7CD29B4EB}" r="Q40" connectionId="0">
    <xmlCellPr id="1" xr6:uid="{A798375E-D90F-4787-83DA-C9D8019C0F88}" uniqueName="Prediction">
      <xmlPr mapId="7" xpath="/MAKE/PP/PPHeadform/VERIFICATION/TestPoint13/@Prediction" xmlDataType="string"/>
    </xmlCellPr>
  </singleXmlCell>
  <singleXmlCell id="720" xr6:uid="{5C3D239F-695A-474E-8DA6-48ED3E7FF6CD}" r="T40" connectionId="0">
    <xmlCellPr id="1" xr6:uid="{4A9853AC-5615-4451-BCBF-9C17564E8174}" uniqueName="Value">
      <xmlPr mapId="7" xpath="/MAKE/PP/PPHeadform/VERIFICATION/TestPoint13/@Value" xmlDataType="decimal"/>
    </xmlCellPr>
  </singleXmlCell>
  <singleXmlCell id="721" xr6:uid="{8C036752-CE48-4748-9EEE-799E49AB984F}" r="W40" connectionId="0">
    <xmlCellPr id="1" xr6:uid="{6623BC91-A6E8-4B87-B8A7-FF80BA151D79}" uniqueName="Points">
      <xmlPr mapId="7" xpath="/MAKE/PP/PPHeadform/VERIFICATION/TestPoint13/@Points" xmlDataType="decimal"/>
    </xmlCellPr>
  </singleXmlCell>
  <singleXmlCell id="722" xr6:uid="{9993123F-AB01-47E2-B3F1-6461707121EB}" r="N41" connectionId="0">
    <xmlCellPr id="1" xr6:uid="{6D9C1467-BF36-4A8E-9F09-5D381EBAA981}" uniqueName="TestPoint">
      <xmlPr mapId="7" xpath="/MAKE/PP/PPHeadform/VERIFICATION/TestPoint14/@TestPoint" xmlDataType="string"/>
    </xmlCellPr>
  </singleXmlCell>
  <singleXmlCell id="723" xr6:uid="{E631929D-AE69-4DFF-B759-0C77E6BC26BF}" r="Q41" connectionId="0">
    <xmlCellPr id="1" xr6:uid="{24FF6D88-4BC8-40BD-BC73-8880E9BC1009}" uniqueName="Prediction">
      <xmlPr mapId="7" xpath="/MAKE/PP/PPHeadform/VERIFICATION/TestPoint14/@Prediction" xmlDataType="string"/>
    </xmlCellPr>
  </singleXmlCell>
  <singleXmlCell id="724" xr6:uid="{6E827884-29E2-4744-99E0-39D91C32E0D1}" r="T41" connectionId="0">
    <xmlCellPr id="1" xr6:uid="{78D084B6-FA7A-463D-87BA-9F6F2B192D26}" uniqueName="Value">
      <xmlPr mapId="7" xpath="/MAKE/PP/PPHeadform/VERIFICATION/TestPoint14/@Value" xmlDataType="decimal"/>
    </xmlCellPr>
  </singleXmlCell>
  <singleXmlCell id="725" xr6:uid="{4BE4B289-D988-48E7-80D7-D8C30E889AB6}" r="W41" connectionId="0">
    <xmlCellPr id="1" xr6:uid="{012B2B8C-0C7B-40BC-9E2B-A05E9F2FDDD1}" uniqueName="Points">
      <xmlPr mapId="7" xpath="/MAKE/PP/PPHeadform/VERIFICATION/TestPoint14/@Points" xmlDataType="decimal"/>
    </xmlCellPr>
  </singleXmlCell>
  <singleXmlCell id="726" xr6:uid="{CC92446E-0C21-455F-81B4-905BD65BA7EB}" r="N42" connectionId="0">
    <xmlCellPr id="1" xr6:uid="{6D9DC27F-6534-4438-91ED-11B55C578BA5}" uniqueName="TestPoint">
      <xmlPr mapId="7" xpath="/MAKE/PP/PPHeadform/VERIFICATION/TestPoint15/@TestPoint" xmlDataType="string"/>
    </xmlCellPr>
  </singleXmlCell>
  <singleXmlCell id="727" xr6:uid="{45F7B7E1-7132-46E5-BAD3-100789FE7FCF}" r="Q42" connectionId="0">
    <xmlCellPr id="1" xr6:uid="{2EF763F8-9733-427F-97CC-1CD9EC8F79F6}" uniqueName="Prediction">
      <xmlPr mapId="7" xpath="/MAKE/PP/PPHeadform/VERIFICATION/TestPoint15/@Prediction" xmlDataType="string"/>
    </xmlCellPr>
  </singleXmlCell>
  <singleXmlCell id="728" xr6:uid="{48B03984-6849-4EF6-92AB-6013B0D6C31F}" r="T42" connectionId="0">
    <xmlCellPr id="1" xr6:uid="{DD744592-3961-4E92-A84D-D742E92C7A06}" uniqueName="Value">
      <xmlPr mapId="7" xpath="/MAKE/PP/PPHeadform/VERIFICATION/TestPoint15/@Value" xmlDataType="decimal"/>
    </xmlCellPr>
  </singleXmlCell>
  <singleXmlCell id="729" xr6:uid="{F4510D20-CB63-454C-B5AC-6C86C29E82EB}" r="W42" connectionId="0">
    <xmlCellPr id="1" xr6:uid="{955B8BDF-C7FB-4B2C-8598-0D2A93F5D933}" uniqueName="Points">
      <xmlPr mapId="7" xpath="/MAKE/PP/PPHeadform/VERIFICATION/TestPoint15/@Points" xmlDataType="decimal"/>
    </xmlCellPr>
  </singleXmlCell>
  <singleXmlCell id="730" xr6:uid="{F918D031-B271-4512-89C8-C043066A0F19}" r="N43" connectionId="0">
    <xmlCellPr id="1" xr6:uid="{B01FFA2C-153A-4C9B-9291-F0C6DA30EFB0}" uniqueName="TestPoint">
      <xmlPr mapId="7" xpath="/MAKE/PP/PPHeadform/VERIFICATION/TestPoint16/@TestPoint" xmlDataType="string"/>
    </xmlCellPr>
  </singleXmlCell>
  <singleXmlCell id="731" xr6:uid="{838011A6-9B01-44D3-A6B2-40854A512378}" r="Q43" connectionId="0">
    <xmlCellPr id="1" xr6:uid="{1EF2ECCD-C29D-4B43-BD49-55B7968E6AAF}" uniqueName="Prediction">
      <xmlPr mapId="7" xpath="/MAKE/PP/PPHeadform/VERIFICATION/TestPoint16/@Prediction" xmlDataType="string"/>
    </xmlCellPr>
  </singleXmlCell>
  <singleXmlCell id="732" xr6:uid="{C2EEA2D0-214F-4197-8329-2764D61D7541}" r="T43" connectionId="0">
    <xmlCellPr id="1" xr6:uid="{7D176793-DACF-4270-86D1-ADB838A906D7}" uniqueName="Value">
      <xmlPr mapId="7" xpath="/MAKE/PP/PPHeadform/VERIFICATION/TestPoint16/@Value" xmlDataType="decimal"/>
    </xmlCellPr>
  </singleXmlCell>
  <singleXmlCell id="733" xr6:uid="{0CA3F934-184A-4275-AA72-547B7B6C6B0A}" r="W43" connectionId="0">
    <xmlCellPr id="1" xr6:uid="{22F01B1E-91CE-45AF-B697-19C9BC6E98C3}" uniqueName="Points">
      <xmlPr mapId="7" xpath="/MAKE/PP/PPHeadform/VERIFICATION/TestPoint16/@Points" xmlDataType="decimal"/>
    </xmlCellPr>
  </singleXmlCell>
  <singleXmlCell id="734" xr6:uid="{8279E3C9-3755-454F-AB61-DEB97A6B48F5}" r="N44" connectionId="0">
    <xmlCellPr id="1" xr6:uid="{9E9C7BA0-A3A0-47F2-B89F-FB08BA6629E5}" uniqueName="TestPoint">
      <xmlPr mapId="7" xpath="/MAKE/PP/PPHeadform/VERIFICATION/TestPoint17/@TestPoint" xmlDataType="string"/>
    </xmlCellPr>
  </singleXmlCell>
  <singleXmlCell id="735" xr6:uid="{CECA2CAD-9729-48B3-9EED-339FB5402BB9}" r="Q44" connectionId="0">
    <xmlCellPr id="1" xr6:uid="{5177210A-C818-4A01-8412-7692FFFBB162}" uniqueName="Prediction">
      <xmlPr mapId="7" xpath="/MAKE/PP/PPHeadform/VERIFICATION/TestPoint17/@Prediction" xmlDataType="string"/>
    </xmlCellPr>
  </singleXmlCell>
  <singleXmlCell id="736" xr6:uid="{8740CB2E-5846-4270-8474-B2ACD963F8E2}" r="T44" connectionId="0">
    <xmlCellPr id="1" xr6:uid="{F5155770-AC51-485E-917C-AC1A905CD9CC}" uniqueName="Value">
      <xmlPr mapId="7" xpath="/MAKE/PP/PPHeadform/VERIFICATION/TestPoint17/@Value" xmlDataType="decimal"/>
    </xmlCellPr>
  </singleXmlCell>
  <singleXmlCell id="737" xr6:uid="{9DC8B270-20A6-4CA2-9917-199446C78556}" r="W44" connectionId="0">
    <xmlCellPr id="1" xr6:uid="{E8D658A3-671D-4DD5-AB0C-0EBCDDA6AAE5}" uniqueName="Points">
      <xmlPr mapId="7" xpath="/MAKE/PP/PPHeadform/VERIFICATION/TestPoint17/@Points" xmlDataType="decimal"/>
    </xmlCellPr>
  </singleXmlCell>
  <singleXmlCell id="738" xr6:uid="{A32F3247-190F-45DC-B104-25A45DE4CBDC}" r="N45" connectionId="0">
    <xmlCellPr id="1" xr6:uid="{F0C9F8B8-3B79-4A80-97C1-65114CF8B2EB}" uniqueName="TestPoint">
      <xmlPr mapId="7" xpath="/MAKE/PP/PPHeadform/VERIFICATION/TestPoint18/@TestPoint" xmlDataType="string"/>
    </xmlCellPr>
  </singleXmlCell>
  <singleXmlCell id="739" xr6:uid="{29D1A7F2-B54B-4A86-9349-51320F807A74}" r="Q45" connectionId="0">
    <xmlCellPr id="1" xr6:uid="{C4D51FF4-42C7-474C-AC84-CD8C0DED43A2}" uniqueName="Prediction">
      <xmlPr mapId="7" xpath="/MAKE/PP/PPHeadform/VERIFICATION/TestPoint18/@Prediction" xmlDataType="string"/>
    </xmlCellPr>
  </singleXmlCell>
  <singleXmlCell id="740" xr6:uid="{0A3110DC-AD2E-4D6D-AC8D-98BDEBF94A03}" r="T45" connectionId="0">
    <xmlCellPr id="1" xr6:uid="{A226ACE6-DAFC-4E53-8C63-6551E1D814F2}" uniqueName="Value">
      <xmlPr mapId="7" xpath="/MAKE/PP/PPHeadform/VERIFICATION/TestPoint18/@Value" xmlDataType="decimal"/>
    </xmlCellPr>
  </singleXmlCell>
  <singleXmlCell id="741" xr6:uid="{C75E9829-DFD0-462A-A7B3-30F2B7ED8A63}" r="W45" connectionId="0">
    <xmlCellPr id="1" xr6:uid="{AFE00624-E11C-4DB1-B11C-F6F88AC81AED}" uniqueName="Points">
      <xmlPr mapId="7" xpath="/MAKE/PP/PPHeadform/VERIFICATION/TestPoint18/@Points" xmlDataType="decimal"/>
    </xmlCellPr>
  </singleXmlCell>
  <singleXmlCell id="742" xr6:uid="{FC6BA1FE-1F23-4D8B-91AF-0D728C16235A}" r="N46" connectionId="0">
    <xmlCellPr id="1" xr6:uid="{C5AEA3DC-E6E2-4745-AAB0-49A2A4584332}" uniqueName="TestPoint">
      <xmlPr mapId="7" xpath="/MAKE/PP/PPHeadform/VERIFICATION/TestPoint19/@TestPoint" xmlDataType="string"/>
    </xmlCellPr>
  </singleXmlCell>
  <singleXmlCell id="743" xr6:uid="{E2766731-C011-4B05-ADDB-ACB1AF7C14F1}" r="Q46" connectionId="0">
    <xmlCellPr id="1" xr6:uid="{317CF43A-CD99-40CF-A4D1-6C5DF7476971}" uniqueName="Prediction">
      <xmlPr mapId="7" xpath="/MAKE/PP/PPHeadform/VERIFICATION/TestPoint19/@Prediction" xmlDataType="string"/>
    </xmlCellPr>
  </singleXmlCell>
  <singleXmlCell id="744" xr6:uid="{A0038508-ABFD-4708-AF47-9B1C24C8989B}" r="T46" connectionId="0">
    <xmlCellPr id="1" xr6:uid="{104F6B02-D399-49F9-B7F4-ADEA72634058}" uniqueName="Value">
      <xmlPr mapId="7" xpath="/MAKE/PP/PPHeadform/VERIFICATION/TestPoint19/@Value" xmlDataType="decimal"/>
    </xmlCellPr>
  </singleXmlCell>
  <singleXmlCell id="745" xr6:uid="{BCD45986-6450-4EDA-866C-2B009EAFF17C}" r="W46" connectionId="0">
    <xmlCellPr id="1" xr6:uid="{FA0C0FA6-9D26-440A-B327-26399F725870}" uniqueName="Points">
      <xmlPr mapId="7" xpath="/MAKE/PP/PPHeadform/VERIFICATION/TestPoint19/@Points" xmlDataType="decimal"/>
    </xmlCellPr>
  </singleXmlCell>
  <singleXmlCell id="746" xr6:uid="{D1E0CCBE-438E-4A72-9047-A5F97EA0DB76}" r="N47" connectionId="0">
    <xmlCellPr id="1" xr6:uid="{D7B39155-8868-4C7C-A3C7-1554301A6D01}" uniqueName="TestPoint">
      <xmlPr mapId="7" xpath="/MAKE/PP/PPHeadform/VERIFICATION/TestPoint20/@TestPoint" xmlDataType="string"/>
    </xmlCellPr>
  </singleXmlCell>
  <singleXmlCell id="747" xr6:uid="{FC3667C9-7FB4-44AA-8946-89DD4FAF5CA3}" r="Q47" connectionId="0">
    <xmlCellPr id="1" xr6:uid="{DFD297C1-6A27-4FF7-8E1E-B290B806AFD1}" uniqueName="Prediction">
      <xmlPr mapId="7" xpath="/MAKE/PP/PPHeadform/VERIFICATION/TestPoint20/@Prediction" xmlDataType="string"/>
    </xmlCellPr>
  </singleXmlCell>
  <singleXmlCell id="748" xr6:uid="{3E529B37-84A8-4A1B-B352-4557290D9300}" r="T47" connectionId="0">
    <xmlCellPr id="1" xr6:uid="{26C1838A-3AE8-4441-AE44-58E9F6D59B93}" uniqueName="Value">
      <xmlPr mapId="7" xpath="/MAKE/PP/PPHeadform/VERIFICATION/TestPoint20/@Value" xmlDataType="decimal"/>
    </xmlCellPr>
  </singleXmlCell>
  <singleXmlCell id="749" xr6:uid="{9BAAEE58-F760-48DE-AF36-8724BD9F8F61}" r="W47" connectionId="0">
    <xmlCellPr id="1" xr6:uid="{4607D889-C47D-487E-BE68-3D5712D032CD}" uniqueName="Points">
      <xmlPr mapId="7" xpath="/MAKE/PP/PPHeadform/VERIFICATION/TestPoint20/@Points" xmlDataType="decimal"/>
    </xmlCellPr>
  </singleXmlCell>
  <singleXmlCell id="750" xr6:uid="{C0B2B38F-57CD-4AC3-9058-121AC349BA4A}" r="N48" connectionId="0">
    <xmlCellPr id="1" xr6:uid="{E5487032-609E-44D4-99BC-42B5F08CCFFA}" uniqueName="TestPoint">
      <xmlPr mapId="7" xpath="/MAKE/PP/PPHeadform/VERIFICATION/TestPointTotal2/@TestPoint" xmlDataType="string"/>
    </xmlCellPr>
  </singleXmlCell>
  <singleXmlCell id="751" xr6:uid="{FACC6CEF-5DC5-4104-BF83-60B295A27135}" r="Q48" connectionId="0">
    <xmlCellPr id="1" xr6:uid="{E7386447-65F0-4048-81AD-8D56173A29AF}" uniqueName="Prediction">
      <xmlPr mapId="7" xpath="/MAKE/PP/PPHeadform/VERIFICATION/TestPointTotal2/@Prediction" xmlDataType="string"/>
    </xmlCellPr>
  </singleXmlCell>
  <singleXmlCell id="752" xr6:uid="{5569DC20-327F-4D58-9DE9-5F4C017AD39F}" r="T48" connectionId="0">
    <xmlCellPr id="1" xr6:uid="{9344AC83-D7CE-419A-AEB6-F138CC14F668}" uniqueName="Value">
      <xmlPr mapId="7" xpath="/MAKE/PP/PPHeadform/VERIFICATION/TestPointTotal2/@Value" xmlDataType="decimal"/>
    </xmlCellPr>
  </singleXmlCell>
  <singleXmlCell id="753" xr6:uid="{9F8DB53D-028D-4E7D-B20B-805658EDC004}" r="W48" connectionId="0">
    <xmlCellPr id="1" xr6:uid="{FF751731-1E6B-4F88-9E85-EF5D49F2AF54}" uniqueName="Points">
      <xmlPr mapId="7" xpath="/MAKE/PP/PPHeadform/VERIFICATION/TestPointTotal2/@Points" xmlDataType="decimal"/>
    </xmlCellPr>
  </singleXmlCell>
  <singleXmlCell id="754" xr6:uid="{236E6DF3-18DB-474F-9FC9-CF74DEBE0A27}" r="T50" connectionId="0">
    <xmlCellPr id="1" xr6:uid="{3BA112BA-BD54-47AC-A572-B61DE95016BC}" uniqueName="Correction_factor">
      <xmlPr mapId="7" xpath="/MAKE/PP/PPHeadform/Correction_factor" xmlDataType="decimal"/>
    </xmlCellPr>
  </singleXmlCell>
  <singleXmlCell id="755" xr6:uid="{52961019-C289-4D45-B99C-1E776D758EC7}" r="D54" connectionId="0">
    <xmlCellPr id="1" xr6:uid="{AFBA8C4E-130B-4037-A509-A8FDF79375EC}" uniqueName="Grid_Point">
      <xmlPr mapId="7" xpath="/MAKE/PP/PPHeadform/BLUE_POINTS/Zone_1/Grid_Point1/@Grid_Point" xmlDataType="string"/>
    </xmlCellPr>
  </singleXmlCell>
  <singleXmlCell id="756" xr6:uid="{9528033F-B746-4AAC-A0BA-D749A5EC9720}" r="G54" connectionId="0">
    <xmlCellPr id="1" xr6:uid="{A311B2D4-E1AA-4AB4-89F8-2C8A42C18BD9}" uniqueName="Value">
      <xmlPr mapId="7" xpath="/MAKE/PP/PPHeadform/BLUE_POINTS/Zone_1/Grid_Point1/@Value" xmlDataType="decimal"/>
    </xmlCellPr>
  </singleXmlCell>
  <singleXmlCell id="757" xr6:uid="{C4B6C0E4-EDA8-4F0E-9893-1C36335DF3AE}" r="J54" connectionId="0">
    <xmlCellPr id="1" xr6:uid="{3CDB4392-C4D2-4ABF-AE11-F7AC8D88DFD9}" uniqueName="Points">
      <xmlPr mapId="7" xpath="/MAKE/PP/PPHeadform/BLUE_POINTS/Zone_1/Grid_Point1/@Points" xmlDataType="decimal"/>
    </xmlCellPr>
  </singleXmlCell>
  <singleXmlCell id="758" xr6:uid="{C979E809-4C3E-4FFA-8950-03FE9BAF8E88}" r="D55" connectionId="0">
    <xmlCellPr id="1" xr6:uid="{EBC7923B-E092-43A2-A6E0-780FE47264A2}" uniqueName="Grid_Point">
      <xmlPr mapId="7" xpath="/MAKE/PP/PPHeadform/BLUE_POINTS/Zone_1/Grid_Point2/@Grid_Point" xmlDataType="string"/>
    </xmlCellPr>
  </singleXmlCell>
  <singleXmlCell id="759" xr6:uid="{38DC0CAD-6286-40B9-801A-FE6A92F67144}" r="G55" connectionId="0">
    <xmlCellPr id="1" xr6:uid="{A34B9456-EBD8-490C-8BBC-4258924DFB55}" uniqueName="Value">
      <xmlPr mapId="7" xpath="/MAKE/PP/PPHeadform/BLUE_POINTS/Zone_1/Grid_Point2/@Value" xmlDataType="decimal"/>
    </xmlCellPr>
  </singleXmlCell>
  <singleXmlCell id="760" xr6:uid="{93284B12-EE07-4F4C-A5ED-3570BEEBDBCA}" r="J55" connectionId="0">
    <xmlCellPr id="1" xr6:uid="{B0649E06-7B1D-43F9-BB5E-C3EEEB8E947B}" uniqueName="Points">
      <xmlPr mapId="7" xpath="/MAKE/PP/PPHeadform/BLUE_POINTS/Zone_1/Grid_Point2/@Points" xmlDataType="decimal"/>
    </xmlCellPr>
  </singleXmlCell>
  <singleXmlCell id="761" xr6:uid="{A0C5801D-D52E-42B5-8958-63802F22F714}" r="D56" connectionId="0">
    <xmlCellPr id="1" xr6:uid="{527028C1-7108-4CA1-AD32-8AA3280C765F}" uniqueName="Grid_Point">
      <xmlPr mapId="7" xpath="/MAKE/PP/PPHeadform/BLUE_POINTS/Zone_2/Grid_Point1/@Grid_Point" xmlDataType="string"/>
    </xmlCellPr>
  </singleXmlCell>
  <singleXmlCell id="762" xr6:uid="{4AB81262-9D6C-4454-92AB-374886A5D7EE}" r="G56" connectionId="0">
    <xmlCellPr id="1" xr6:uid="{B07061CF-DE7D-485B-8890-39C572E3D861}" uniqueName="Value">
      <xmlPr mapId="7" xpath="/MAKE/PP/PPHeadform/BLUE_POINTS/Zone_2/Grid_Point1/@Value" xmlDataType="decimal"/>
    </xmlCellPr>
  </singleXmlCell>
  <singleXmlCell id="763" xr6:uid="{1D640AB6-FAF2-47E7-984A-F9F45D661B7A}" r="J56" connectionId="0">
    <xmlCellPr id="1" xr6:uid="{DCA612B5-7CEC-48CE-8A64-BB4DE4BF394F}" uniqueName="Points">
      <xmlPr mapId="7" xpath="/MAKE/PP/PPHeadform/BLUE_POINTS/Zone_2/Grid_Point1/@Points" xmlDataType="decimal"/>
    </xmlCellPr>
  </singleXmlCell>
  <singleXmlCell id="764" xr6:uid="{206900FD-C6D0-417A-9F04-FF279BEAF5D4}" r="D57" connectionId="0">
    <xmlCellPr id="1" xr6:uid="{00471D8E-51A3-4939-B34E-94B0DD787482}" uniqueName="Grid_Point">
      <xmlPr mapId="7" xpath="/MAKE/PP/PPHeadform/BLUE_POINTS/Zone_2/Grid_Point2/@Grid_Point" xmlDataType="string"/>
    </xmlCellPr>
  </singleXmlCell>
  <singleXmlCell id="765" xr6:uid="{2418D056-569B-4787-99A0-AE7860CC4874}" r="G57" connectionId="0">
    <xmlCellPr id="1" xr6:uid="{D3F5D1E4-AFA2-4DE5-BA55-8B0502C1C3DF}" uniqueName="Value">
      <xmlPr mapId="7" xpath="/MAKE/PP/PPHeadform/BLUE_POINTS/Zone_2/Grid_Point2/@Value" xmlDataType="decimal"/>
    </xmlCellPr>
  </singleXmlCell>
  <singleXmlCell id="766" xr6:uid="{8D9DBED0-D3CF-4DF1-87C9-21183F9EBD2B}" r="J57" connectionId="0">
    <xmlCellPr id="1" xr6:uid="{47B410A8-69F8-4E11-9FB1-BD57BB6E874C}" uniqueName="Points">
      <xmlPr mapId="7" xpath="/MAKE/PP/PPHeadform/BLUE_POINTS/Zone_2/Grid_Point2/@Points" xmlDataType="decimal"/>
    </xmlCellPr>
  </singleXmlCell>
  <singleXmlCell id="767" xr6:uid="{4BCF906F-7E26-4DC7-ABB4-B58C5B5B6058}" r="D58" connectionId="0">
    <xmlCellPr id="1" xr6:uid="{DA91ACF5-E802-4E9F-B719-18DD16E12E97}" uniqueName="Grid_Point">
      <xmlPr mapId="7" xpath="/MAKE/PP/PPHeadform/BLUE_POINTS/Zone_3/Grid_Point1/@Grid_Point" xmlDataType="string"/>
    </xmlCellPr>
  </singleXmlCell>
  <singleXmlCell id="768" xr6:uid="{9EEB452B-9299-415B-A910-A8738F383D11}" r="G58" connectionId="0">
    <xmlCellPr id="1" xr6:uid="{6EC6802B-8F3E-485E-B79C-DE1588F9B8BC}" uniqueName="Value">
      <xmlPr mapId="7" xpath="/MAKE/PP/PPHeadform/BLUE_POINTS/Zone_3/Grid_Point1/@Value" xmlDataType="decimal"/>
    </xmlCellPr>
  </singleXmlCell>
  <singleXmlCell id="769" xr6:uid="{314A0853-862D-4B2D-BFF8-EEA9A00C9C27}" r="J58" connectionId="0">
    <xmlCellPr id="1" xr6:uid="{3B41A529-2989-4BDE-8407-13B3A5B26234}" uniqueName="Points">
      <xmlPr mapId="7" xpath="/MAKE/PP/PPHeadform/BLUE_POINTS/Zone_3/Grid_Point1/@Points" xmlDataType="decimal"/>
    </xmlCellPr>
  </singleXmlCell>
  <singleXmlCell id="770" xr6:uid="{D5A22E0D-ABFC-4711-AF7D-04747F4C8105}" r="D59" connectionId="0">
    <xmlCellPr id="1" xr6:uid="{77A13851-15FC-4EEF-8F6E-F677FC1AD4E7}" uniqueName="Grid_Point">
      <xmlPr mapId="7" xpath="/MAKE/PP/PPHeadform/BLUE_POINTS/Zone_3/Grid_Point2/@Grid_Point" xmlDataType="string"/>
    </xmlCellPr>
  </singleXmlCell>
  <singleXmlCell id="771" xr6:uid="{E2C42BEB-F0E8-4C09-8DF4-43452FE8AD0A}" r="G59" connectionId="0">
    <xmlCellPr id="1" xr6:uid="{F6848B69-22F0-4DBB-96FD-11D3D563F373}" uniqueName="Value">
      <xmlPr mapId="7" xpath="/MAKE/PP/PPHeadform/BLUE_POINTS/Zone_3/Grid_Point2/@Value" xmlDataType="decimal"/>
    </xmlCellPr>
  </singleXmlCell>
  <singleXmlCell id="772" xr6:uid="{423C3A30-6AA4-436B-979B-6770C05D7392}" r="J59" connectionId="0">
    <xmlCellPr id="1" xr6:uid="{00296E4B-4F0D-4583-B3CA-FD8ADDEFA0D8}" uniqueName="Points">
      <xmlPr mapId="7" xpath="/MAKE/PP/PPHeadform/BLUE_POINTS/Zone_3/Grid_Point2/@Points" xmlDataType="decimal"/>
    </xmlCellPr>
  </singleXmlCell>
  <singleXmlCell id="773" xr6:uid="{D1FE039B-0710-4003-AC93-4B1A939A66CD}" r="D60" connectionId="0">
    <xmlCellPr id="1" xr6:uid="{7ECC5934-3C37-4CDF-AD87-01390F66CCFD}" uniqueName="Grid_Point">
      <xmlPr mapId="7" xpath="/MAKE/PP/PPHeadform/BLUE_POINTS/Zone_4/Grid_Point1/@Grid_Point" xmlDataType="string"/>
    </xmlCellPr>
  </singleXmlCell>
  <singleXmlCell id="774" xr6:uid="{99A56445-5694-4D36-A9AF-6956F2F4D020}" r="G60" connectionId="0">
    <xmlCellPr id="1" xr6:uid="{062C9F14-FE97-49DC-843A-06A1B9FA3E35}" uniqueName="Value">
      <xmlPr mapId="7" xpath="/MAKE/PP/PPHeadform/BLUE_POINTS/Zone_4/Grid_Point1/@Value" xmlDataType="decimal"/>
    </xmlCellPr>
  </singleXmlCell>
  <singleXmlCell id="775" xr6:uid="{991BFE8B-AC49-4A76-B4E8-F230C0088A6E}" r="J60" connectionId="0">
    <xmlCellPr id="1" xr6:uid="{52094ADA-22EA-4F9F-9E4F-564D8E9D4AE9}" uniqueName="Points">
      <xmlPr mapId="7" xpath="/MAKE/PP/PPHeadform/BLUE_POINTS/Zone_4/Grid_Point1/@Points" xmlDataType="decimal"/>
    </xmlCellPr>
  </singleXmlCell>
  <singleXmlCell id="776" xr6:uid="{5685465F-22A9-4BEF-8D88-D3B7B3CEF19D}" r="D61" connectionId="0">
    <xmlCellPr id="1" xr6:uid="{FBFE00A8-3661-4C8B-BFE8-5BA878BD5903}" uniqueName="Grid_Point">
      <xmlPr mapId="7" xpath="/MAKE/PP/PPHeadform/BLUE_POINTS/Zone_4/Grid_Point2/@Grid_Point" xmlDataType="string"/>
    </xmlCellPr>
  </singleXmlCell>
  <singleXmlCell id="777" xr6:uid="{E101FE2E-FF68-49B6-A698-1A221B7D0EE4}" r="G61" connectionId="0">
    <xmlCellPr id="1" xr6:uid="{B985CA55-F09B-4E3F-80FA-EA598908FBB7}" uniqueName="Value">
      <xmlPr mapId="7" xpath="/MAKE/PP/PPHeadform/BLUE_POINTS/Zone_4/Grid_Point2/@Value" xmlDataType="decimal"/>
    </xmlCellPr>
  </singleXmlCell>
  <singleXmlCell id="778" xr6:uid="{4EDDD48F-B294-4F0D-837C-08C17DCCE9C8}" r="J61" connectionId="0">
    <xmlCellPr id="1" xr6:uid="{E4F3C0AF-373D-4991-B731-E9E36CB18DAD}" uniqueName="Points">
      <xmlPr mapId="7" xpath="/MAKE/PP/PPHeadform/BLUE_POINTS/Zone_4/Grid_Point2/@Points" xmlDataType="decimal"/>
    </xmlCellPr>
  </singleXmlCell>
  <singleXmlCell id="779" xr6:uid="{B30D4C56-358C-4B09-AA28-7E34024AD529}" r="Q54" connectionId="0">
    <xmlCellPr id="1" xr6:uid="{32BBE124-961E-4E89-B7BB-D5F198633A06}" uniqueName="Grid_Point">
      <xmlPr mapId="7" xpath="/MAKE/PP/PPHeadform/BLUE_POINTS/Zone_5/Grid_Point1/@Grid_Point" xmlDataType="string"/>
    </xmlCellPr>
  </singleXmlCell>
  <singleXmlCell id="780" xr6:uid="{EA93B951-1575-4CF8-AB34-6AFCFC5F1242}" r="T54" connectionId="0">
    <xmlCellPr id="1" xr6:uid="{65616D91-1164-45CA-82DC-41B7268773B3}" uniqueName="Value">
      <xmlPr mapId="7" xpath="/MAKE/PP/PPHeadform/BLUE_POINTS/Zone_5/Grid_Point1/@Value" xmlDataType="decimal"/>
    </xmlCellPr>
  </singleXmlCell>
  <singleXmlCell id="781" xr6:uid="{9A89B1B1-65E3-4230-9450-4164A15C8CE7}" r="W54" connectionId="0">
    <xmlCellPr id="1" xr6:uid="{5AD9209E-2D64-44F5-8635-F515454A5BB1}" uniqueName="Points">
      <xmlPr mapId="7" xpath="/MAKE/PP/PPHeadform/BLUE_POINTS/Zone_5/Grid_Point1/@Points" xmlDataType="decimal"/>
    </xmlCellPr>
  </singleXmlCell>
  <singleXmlCell id="782" xr6:uid="{073FFA7F-248C-4F3A-B266-A4521C9B330E}" r="Q55" connectionId="0">
    <xmlCellPr id="1" xr6:uid="{4ED1F35F-9DA6-412E-B97E-64BFBAE98FC6}" uniqueName="Grid_Point">
      <xmlPr mapId="7" xpath="/MAKE/PP/PPHeadform/BLUE_POINTS/Zone_5/Grid_Point2/@Grid_Point" xmlDataType="string"/>
    </xmlCellPr>
  </singleXmlCell>
  <singleXmlCell id="783" xr6:uid="{81EB1FB7-9783-4710-827E-4D9023E76DCF}" r="T55" connectionId="0">
    <xmlCellPr id="1" xr6:uid="{9758FF75-2632-47BD-9EE8-FC93DCF438DF}" uniqueName="Value">
      <xmlPr mapId="7" xpath="/MAKE/PP/PPHeadform/BLUE_POINTS/Zone_5/Grid_Point2/@Value" xmlDataType="decimal"/>
    </xmlCellPr>
  </singleXmlCell>
  <singleXmlCell id="784" xr6:uid="{4E1B94D6-991C-4776-BD17-4EBFB92AD28A}" r="W55" connectionId="0">
    <xmlCellPr id="1" xr6:uid="{16025291-1A68-41BE-9462-AE51226CCC09}" uniqueName="Points">
      <xmlPr mapId="7" xpath="/MAKE/PP/PPHeadform/BLUE_POINTS/Zone_5/Grid_Point2/@Points" xmlDataType="decimal"/>
    </xmlCellPr>
  </singleXmlCell>
  <singleXmlCell id="785" xr6:uid="{E89EC841-3957-40AF-92CA-29FBDEFB83A2}" r="Q56" connectionId="0">
    <xmlCellPr id="1" xr6:uid="{132EF087-6660-4D3D-A8BD-E11F2737E1C0}" uniqueName="Grid_Point">
      <xmlPr mapId="7" xpath="/MAKE/PP/PPHeadform/BLUE_POINTS/Zone_6/Grid_Point1/@Grid_Point" xmlDataType="string"/>
    </xmlCellPr>
  </singleXmlCell>
  <singleXmlCell id="786" xr6:uid="{517D7812-4C4C-433B-943F-B5AA718AF416}" r="T56" connectionId="0">
    <xmlCellPr id="1" xr6:uid="{10B10A03-05A9-4922-B5E5-C42C19982FE1}" uniqueName="Value">
      <xmlPr mapId="7" xpath="/MAKE/PP/PPHeadform/BLUE_POINTS/Zone_6/Grid_Point1/@Value" xmlDataType="decimal"/>
    </xmlCellPr>
  </singleXmlCell>
  <singleXmlCell id="787" xr6:uid="{4B80C8C3-1B57-4C7C-A3A1-9E579675BEF7}" r="W56" connectionId="0">
    <xmlCellPr id="1" xr6:uid="{64C0832C-41F8-4C30-A4CE-588D2095E57C}" uniqueName="Points">
      <xmlPr mapId="7" xpath="/MAKE/PP/PPHeadform/BLUE_POINTS/Zone_6/Grid_Point1/@Points" xmlDataType="decimal"/>
    </xmlCellPr>
  </singleXmlCell>
  <singleXmlCell id="788" xr6:uid="{1C10B90B-C0E0-4C1D-8284-7E31774581E1}" r="Q57" connectionId="0">
    <xmlCellPr id="1" xr6:uid="{8A96D793-46A8-4DC7-BEC1-43BFABD76BE5}" uniqueName="Grid_Point">
      <xmlPr mapId="7" xpath="/MAKE/PP/PPHeadform/BLUE_POINTS/Zone_6/Grid_Point2/@Grid_Point" xmlDataType="string"/>
    </xmlCellPr>
  </singleXmlCell>
  <singleXmlCell id="789" xr6:uid="{53305F3C-2F41-487E-AEA9-D9E1AE9C348A}" r="T57" connectionId="0">
    <xmlCellPr id="1" xr6:uid="{E60373F9-DA18-4041-8DAF-59623B14C65A}" uniqueName="Value">
      <xmlPr mapId="7" xpath="/MAKE/PP/PPHeadform/BLUE_POINTS/Zone_6/Grid_Point2/@Value" xmlDataType="decimal"/>
    </xmlCellPr>
  </singleXmlCell>
  <singleXmlCell id="790" xr6:uid="{7F771EE0-F04C-4682-AF3A-CF0A43EE3493}" r="W57" connectionId="0">
    <xmlCellPr id="1" xr6:uid="{05C85925-72C6-4A7B-BE63-B95AE7A40101}" uniqueName="Points">
      <xmlPr mapId="7" xpath="/MAKE/PP/PPHeadform/BLUE_POINTS/Zone_6/Grid_Point2/@Points" xmlDataType="decimal"/>
    </xmlCellPr>
  </singleXmlCell>
  <singleXmlCell id="791" xr6:uid="{05DDA661-CDC9-4A31-8F0C-335E4EDEEF9D}" r="Q58" connectionId="0">
    <xmlCellPr id="1" xr6:uid="{49D7AC92-FC5F-47DC-A5B3-4A58D1302C5D}" uniqueName="Grid_Point">
      <xmlPr mapId="7" xpath="/MAKE/PP/PPHeadform/BLUE_POINTS/Zone_7/Grid_Point1/@Grid_Point" xmlDataType="string"/>
    </xmlCellPr>
  </singleXmlCell>
  <singleXmlCell id="792" xr6:uid="{0CC98799-48F9-4706-A5E4-45D6FF199D72}" r="T58" connectionId="0">
    <xmlCellPr id="1" xr6:uid="{B24A6E11-DF06-4124-ABC8-506695AC7FD7}" uniqueName="Value">
      <xmlPr mapId="7" xpath="/MAKE/PP/PPHeadform/BLUE_POINTS/Zone_7/Grid_Point1/@Value" xmlDataType="decimal"/>
    </xmlCellPr>
  </singleXmlCell>
  <singleXmlCell id="793" xr6:uid="{8FD7A8F8-1601-4A0A-9F88-0E32293723F5}" r="W58" connectionId="0">
    <xmlCellPr id="1" xr6:uid="{4799023F-8557-4785-8A32-C262D0FE0470}" uniqueName="Points">
      <xmlPr mapId="7" xpath="/MAKE/PP/PPHeadform/BLUE_POINTS/Zone_7/Grid_Point1/@Points" xmlDataType="decimal"/>
    </xmlCellPr>
  </singleXmlCell>
  <singleXmlCell id="794" xr6:uid="{86CF9B6A-9D7C-458A-B810-0DACE7B567F3}" r="Q59" connectionId="0">
    <xmlCellPr id="1" xr6:uid="{018E7C6E-D720-4235-B9FF-EB37DC3A314D}" uniqueName="Grid_Point">
      <xmlPr mapId="7" xpath="/MAKE/PP/PPHeadform/BLUE_POINTS/Zone_7/Grid_Point2/@Grid_Point" xmlDataType="string"/>
    </xmlCellPr>
  </singleXmlCell>
  <singleXmlCell id="795" xr6:uid="{D539C693-6B42-4F25-B578-F6C4C4E62DF4}" r="T59" connectionId="0">
    <xmlCellPr id="1" xr6:uid="{49450B3E-B9A6-45FA-B516-71003FDB1005}" uniqueName="Value">
      <xmlPr mapId="7" xpath="/MAKE/PP/PPHeadform/BLUE_POINTS/Zone_7/Grid_Point2/@Value" xmlDataType="decimal"/>
    </xmlCellPr>
  </singleXmlCell>
  <singleXmlCell id="796" xr6:uid="{CAC88C8B-753E-4416-83F2-93FD4370420E}" r="W59" connectionId="0">
    <xmlCellPr id="1" xr6:uid="{C810822B-448B-47D1-BE0B-12D04E37DB3B}" uniqueName="Points">
      <xmlPr mapId="7" xpath="/MAKE/PP/PPHeadform/BLUE_POINTS/Zone_7/Grid_Point2/@Points" xmlDataType="decimal"/>
    </xmlCellPr>
  </singleXmlCell>
  <singleXmlCell id="797" xr6:uid="{62EEE253-296C-4E03-AC93-72E680B510CF}" r="Q60" connectionId="0">
    <xmlCellPr id="1" xr6:uid="{8B443E39-E379-4256-AE62-358F736BAA23}" uniqueName="Grid_Point">
      <xmlPr mapId="7" xpath="/MAKE/PP/PPHeadform/BLUE_POINTS/Zone_8/Grid_Point1/@Grid_Point" xmlDataType="string"/>
    </xmlCellPr>
  </singleXmlCell>
  <singleXmlCell id="798" xr6:uid="{5A22A33F-04C3-4E83-9C56-7E83F5C48CA8}" r="T60" connectionId="0">
    <xmlCellPr id="1" xr6:uid="{3E59057E-2501-4804-9C02-93DD7EC5EF6D}" uniqueName="Value">
      <xmlPr mapId="7" xpath="/MAKE/PP/PPHeadform/BLUE_POINTS/Zone_8/Grid_Point1/@Value" xmlDataType="decimal"/>
    </xmlCellPr>
  </singleXmlCell>
  <singleXmlCell id="799" xr6:uid="{DC7BE679-F8A5-4DF5-8A3E-3886E18326EC}" r="W60" connectionId="0">
    <xmlCellPr id="1" xr6:uid="{617A278A-AD0E-4B35-8A80-92451ECB1602}" uniqueName="Points">
      <xmlPr mapId="7" xpath="/MAKE/PP/PPHeadform/BLUE_POINTS/Zone_8/Grid_Point1/@Points" xmlDataType="decimal"/>
    </xmlCellPr>
  </singleXmlCell>
  <singleXmlCell id="800" xr6:uid="{613F4153-2A8F-4C9B-8F58-F287159FF493}" r="Q61" connectionId="0">
    <xmlCellPr id="1" xr6:uid="{6209B613-1774-47EC-8C53-3A627CDA2B43}" uniqueName="Grid_Point">
      <xmlPr mapId="7" xpath="/MAKE/PP/PPHeadform/BLUE_POINTS/Zone_8/Grid_Point2/@Grid_Point" xmlDataType="string"/>
    </xmlCellPr>
  </singleXmlCell>
  <singleXmlCell id="801" xr6:uid="{95624A80-2F30-4FEF-949F-A68B36FD0D49}" r="T61" connectionId="0">
    <xmlCellPr id="1" xr6:uid="{B0F10271-2535-4752-A6E2-DFEADC9752BF}" uniqueName="Value">
      <xmlPr mapId="7" xpath="/MAKE/PP/PPHeadform/BLUE_POINTS/Zone_8/Grid_Point2/@Value" xmlDataType="decimal"/>
    </xmlCellPr>
  </singleXmlCell>
  <singleXmlCell id="802" xr6:uid="{905E416F-B802-4CA9-BB6E-78653B7B2212}" r="W61" connectionId="0">
    <xmlCellPr id="1" xr6:uid="{2B50324C-7BBA-4333-90DD-4FF4A57A949E}" uniqueName="Points">
      <xmlPr mapId="7" xpath="/MAKE/PP/PPHeadform/BLUE_POINTS/Zone_8/Grid_Point2/@Points" xmlDataType="decimal"/>
    </xmlCellPr>
  </singleXmlCell>
  <singleXmlCell id="803" xr6:uid="{57F3CC3C-597A-4549-B320-97EA4C20B1FE}" r="T67" connectionId="0">
    <xmlCellPr id="1" xr6:uid="{03E7155D-F835-4138-B8B7-B10F4509F3A8}" uniqueName="Blue_points_score">
      <xmlPr mapId="7" xpath="/MAKE/PP/PPHeadform/SUMMARY/Blue_points_score" xmlDataType="decimal"/>
    </xmlCellPr>
  </singleXmlCell>
  <singleXmlCell id="804" xr6:uid="{61F458BC-E551-456F-A4DA-4DB0871C9AAF}" r="T68" connectionId="0">
    <xmlCellPr id="1" xr6:uid="{69A88E93-B8EC-4C29-9584-4D467B88B897}" uniqueName="Correction_factor">
      <xmlPr mapId="7" xpath="/MAKE/PP/PPHeadform/SUMMARY/Correction_factor" xmlDataType="decimal"/>
    </xmlCellPr>
  </singleXmlCell>
  <singleXmlCell id="805" xr6:uid="{8B13BDF1-9026-4C69-A94B-345E883D2D93}" r="T66" connectionId="0">
    <xmlCellPr id="1" xr6:uid="{4934474C-96A0-4C74-B2C6-EC9DF2E55174}" uniqueName="Predicted_score_excluding_blue_points">
      <xmlPr mapId="7" xpath="/MAKE/PP/PPHeadform/SUMMARY/Predicted_score_excluding_blue_points" xmlDataType="decimal"/>
    </xmlCellPr>
  </singleXmlCell>
  <singleXmlCell id="806" xr6:uid="{202BA793-6114-46E3-BD93-32842AD0DAAE}" r="T69" connectionId="0">
    <xmlCellPr id="1" xr6:uid="{A413A11A-659F-4777-BC48-C36507DA3E12}" uniqueName="Total_score">
      <xmlPr mapId="7" xpath="/MAKE/PP/PPHeadform/SUMMARY/@Total_score" xmlDataType="decimal"/>
    </xmlCellPr>
  </singleXmlCell>
  <singleXmlCell id="5090" xr6:uid="{11EB946A-0462-482D-8259-05EF4D843731}" r="T63" connectionId="0">
    <xmlCellPr id="1" xr6:uid="{A6B86360-332A-42C6-9963-F76D536117FD}" uniqueName="Total_Blue_Points">
      <xmlPr mapId="7" xpath="/MAKE/PP/PPHeadform/BLUE_POINTS/@Total_Blue_Points" xmlDataType="decimal"/>
    </xmlCellPr>
  </singleXmlCell>
  <singleXmlCell id="5241" xr6:uid="{04E56E6A-903D-4F32-AD62-29DD174FD442}" r="T74" connectionId="0">
    <xmlCellPr id="1" xr6:uid="{B1EE0443-2804-4E92-8E3F-5BA30BF2BF0B}" uniqueName="Capping">
      <xmlPr mapId="7" xpath="/MAKE/PP/PPHeadform/@Capping" xmlDataType="string"/>
    </xmlCellPr>
  </singleXmlCell>
</singleXmlCells>
</file>

<file path=xl/tables/tableSingleCells14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1389" xr6:uid="{EE0908EA-8C92-418E-B19B-900C10A8464E}" r="G35" connectionId="0">
    <xmlCellPr id="1" xr6:uid="{6FA59671-24A4-4A05-8E53-4977EDED2443}" uniqueName="TOTAL_PEDESTRIAN_UPPER_LEGFORM">
      <xmlPr mapId="7" xpath="/MAKE/PP/PPUpperLegform/@TOTAL_PEDESTRIAN_UPPER_LEGFORM" xmlDataType="decimal"/>
    </xmlCellPr>
  </singleXmlCell>
  <singleXmlCell id="1418" xr6:uid="{0065D8E6-5943-4342-AC59-C02CF5EFFF74}" r="D8" connectionId="0">
    <xmlCellPr id="1" xr6:uid="{A140E1C6-C37C-462C-AE04-69DB5AF9C616}" uniqueName="Description">
      <xmlPr mapId="7" xpath="/MAKE/PP/PPUpperLegform/Upper_Legform/Plus_10/@Description" xmlDataType="string"/>
    </xmlCellPr>
  </singleXmlCell>
  <singleXmlCell id="1419" xr6:uid="{A5CEAAF9-21BA-4BF5-B13B-38D4B74F72DF}" r="E8" connectionId="0">
    <xmlCellPr id="1" xr6:uid="{6F5226A0-E96E-4697-BD6B-6BE10BAC90DA}" uniqueName="Energy">
      <xmlPr mapId="7" xpath="/MAKE/PP/PPUpperLegform/Upper_Legform/Plus_10/@Energy" xmlDataType="decimal"/>
    </xmlCellPr>
  </singleXmlCell>
  <singleXmlCell id="1420" xr6:uid="{CB16B401-DE4A-404C-838B-BD066C9B0B18}" r="G8" connectionId="0">
    <xmlCellPr id="1" xr6:uid="{7526E7CA-97F2-405C-B51F-B12DB13D3AD7}" uniqueName="Moment_Upper_Value">
      <xmlPr mapId="7" xpath="/MAKE/PP/PPUpperLegform/Upper_Legform/Plus_10/@Moment_Upper_Value" xmlDataType="decimal"/>
    </xmlCellPr>
  </singleXmlCell>
  <singleXmlCell id="1421" xr6:uid="{8992FCF2-C26B-4305-A43D-4979B1750A3A}" r="K8" connectionId="0">
    <xmlCellPr id="1" xr6:uid="{9AA40BC5-B40E-464D-9C73-2995F88CA97A}" uniqueName="Moment_Centre_Value">
      <xmlPr mapId="7" xpath="/MAKE/PP/PPUpperLegform/Upper_Legform/Plus_10/@Moment_Centre_Value" xmlDataType="decimal"/>
    </xmlCellPr>
  </singleXmlCell>
  <singleXmlCell id="1422" xr6:uid="{09838264-ED72-4698-A33C-A8A162915F5F}" r="O8" connectionId="0">
    <xmlCellPr id="1" xr6:uid="{E5067C01-AFBF-4BC3-B4E5-B305BE8385A8}" uniqueName="Moment_Lower_Value">
      <xmlPr mapId="7" xpath="/MAKE/PP/PPUpperLegform/Upper_Legform/Plus_10/@Moment_Lower_Value" xmlDataType="decimal"/>
    </xmlCellPr>
  </singleXmlCell>
  <singleXmlCell id="1423" xr6:uid="{8155435F-4807-4A3B-AA33-F253A0C0D2A6}" r="S8" connectionId="0">
    <xmlCellPr id="1" xr6:uid="{571CE2E9-92C1-46BC-A72B-F2F8C7B88CC5}" uniqueName="Force_Upper_Value">
      <xmlPr mapId="7" xpath="/MAKE/PP/PPUpperLegform/Upper_Legform/Plus_10/@Force_Upper_Value" xmlDataType="decimal"/>
    </xmlCellPr>
  </singleXmlCell>
  <singleXmlCell id="1424" xr6:uid="{7BFF15C7-4348-492C-87FB-3A5E5A1EEC3B}" r="U8" connectionId="0">
    <xmlCellPr id="1" xr6:uid="{539AA731-C714-4810-B472-F7A60A41F3E9}" uniqueName="Force_Lower_Value">
      <xmlPr mapId="7" xpath="/MAKE/PP/PPUpperLegform/Upper_Legform/Plus_10/@Force_Lower_Value" xmlDataType="decimal"/>
    </xmlCellPr>
  </singleXmlCell>
  <singleXmlCell id="1425" xr6:uid="{90627F3F-30C3-46C2-BDE1-91B1E4A727E6}" r="W8" connectionId="0">
    <xmlCellPr id="1" xr6:uid="{A1D1A278-01F9-4AE2-9C57-5BA7152AB138}" uniqueName="Force_Sum_Value">
      <xmlPr mapId="7" xpath="/MAKE/PP/PPUpperLegform/Upper_Legform/Plus_10/@Force_Sum_Value" xmlDataType="decimal"/>
    </xmlCellPr>
  </singleXmlCell>
  <singleXmlCell id="1426" xr6:uid="{4ABFEDCF-B3CB-4C3E-AD7B-F41C52248324}" r="Y8" connectionId="0">
    <xmlCellPr id="1" xr6:uid="{F70E40A2-4237-4839-AAD8-7C7CCC4F04A7}" uniqueName="Force_Sum_Points">
      <xmlPr mapId="7" xpath="/MAKE/PP/PPUpperLegform/Upper_Legform/Plus_10/@Force_Sum_Points" xmlDataType="decimal"/>
    </xmlCellPr>
  </singleXmlCell>
  <singleXmlCell id="1427" xr6:uid="{1115B3A9-2A85-4422-94E5-B545E4F56620}" r="AA8" connectionId="0">
    <xmlCellPr id="1" xr6:uid="{D06B165F-C7B6-40B2-9A69-20958E36407D}" uniqueName="Total_Points">
      <xmlPr mapId="7" xpath="/MAKE/PP/PPUpperLegform/Upper_Legform/Plus_10/@Total_Points" xmlDataType="decimal"/>
    </xmlCellPr>
  </singleXmlCell>
  <singleXmlCell id="1428" xr6:uid="{1C559316-5AEF-421C-998B-6B9859A447A7}" r="D9" connectionId="0">
    <xmlCellPr id="1" xr6:uid="{8906DDC7-9622-4300-948B-A4F9196E4769}" uniqueName="Description">
      <xmlPr mapId="7" xpath="/MAKE/PP/PPUpperLegform/Upper_Legform/Plus_9/@Description" xmlDataType="string"/>
    </xmlCellPr>
  </singleXmlCell>
  <singleXmlCell id="1429" xr6:uid="{542C6682-0BBF-47BA-BEB0-B0CE5B3CBB88}" r="E9" connectionId="0">
    <xmlCellPr id="1" xr6:uid="{87D64523-3C87-4DC0-9298-627B903433C2}" uniqueName="Energy">
      <xmlPr mapId="7" xpath="/MAKE/PP/PPUpperLegform/Upper_Legform/Plus_9/@Energy" xmlDataType="decimal"/>
    </xmlCellPr>
  </singleXmlCell>
  <singleXmlCell id="1430" xr6:uid="{21082517-2741-4D54-B659-CE9C374F0E78}" r="G9" connectionId="0">
    <xmlCellPr id="1" xr6:uid="{A3999555-0BE3-480A-B2AC-0AE34009030E}" uniqueName="Moment_Upper_Value">
      <xmlPr mapId="7" xpath="/MAKE/PP/PPUpperLegform/Upper_Legform/Plus_9/@Moment_Upper_Value" xmlDataType="decimal"/>
    </xmlCellPr>
  </singleXmlCell>
  <singleXmlCell id="1431" xr6:uid="{0259C7AF-FAC9-4EAF-86BB-4C7BD199ADEF}" r="K9" connectionId="0">
    <xmlCellPr id="1" xr6:uid="{6CC7E83D-D634-4C3E-B7B8-B37957F2717A}" uniqueName="Moment_Centre_Value">
      <xmlPr mapId="7" xpath="/MAKE/PP/PPUpperLegform/Upper_Legform/Plus_9/@Moment_Centre_Value" xmlDataType="decimal"/>
    </xmlCellPr>
  </singleXmlCell>
  <singleXmlCell id="1432" xr6:uid="{4CA79B59-DC7E-4A7A-957C-AF5888CC3D74}" r="O9" connectionId="0">
    <xmlCellPr id="1" xr6:uid="{B55A4BC2-FC49-4103-88D1-BF1156FCCD35}" uniqueName="Moment_Lower_Value">
      <xmlPr mapId="7" xpath="/MAKE/PP/PPUpperLegform/Upper_Legform/Plus_9/@Moment_Lower_Value" xmlDataType="decimal"/>
    </xmlCellPr>
  </singleXmlCell>
  <singleXmlCell id="1433" xr6:uid="{1B2B610D-0055-4396-8BC1-658726FB856D}" r="S9" connectionId="0">
    <xmlCellPr id="1" xr6:uid="{03828A8F-679E-4280-BEA7-07D94EF415AD}" uniqueName="Force_Upper_Value">
      <xmlPr mapId="7" xpath="/MAKE/PP/PPUpperLegform/Upper_Legform/Plus_9/@Force_Upper_Value" xmlDataType="decimal"/>
    </xmlCellPr>
  </singleXmlCell>
  <singleXmlCell id="1434" xr6:uid="{AC59299B-F74A-4BA7-ADE1-48C646528C29}" r="U9" connectionId="0">
    <xmlCellPr id="1" xr6:uid="{A1FAD7BE-8BE2-4267-9DCD-016632E05B47}" uniqueName="Force_Lower_Value">
      <xmlPr mapId="7" xpath="/MAKE/PP/PPUpperLegform/Upper_Legform/Plus_9/@Force_Lower_Value" xmlDataType="decimal"/>
    </xmlCellPr>
  </singleXmlCell>
  <singleXmlCell id="1435" xr6:uid="{A06A4B7A-F7C5-4611-A3FB-8F1F10B0A6D3}" r="W9" connectionId="0">
    <xmlCellPr id="1" xr6:uid="{2FAA76F6-9109-4BA3-B00B-3A0B91B8B36B}" uniqueName="Force_Sum_Value">
      <xmlPr mapId="7" xpath="/MAKE/PP/PPUpperLegform/Upper_Legform/Plus_9/@Force_Sum_Value" xmlDataType="decimal"/>
    </xmlCellPr>
  </singleXmlCell>
  <singleXmlCell id="1436" xr6:uid="{8A443876-2E82-4D13-9A36-54CB60983D32}" r="Y9" connectionId="0">
    <xmlCellPr id="1" xr6:uid="{9CEE17A2-4D38-4CA5-89ED-28C3B788796F}" uniqueName="Force_Sum_Points">
      <xmlPr mapId="7" xpath="/MAKE/PP/PPUpperLegform/Upper_Legform/Plus_9/@Force_Sum_Points" xmlDataType="decimal"/>
    </xmlCellPr>
  </singleXmlCell>
  <singleXmlCell id="1437" xr6:uid="{3A723274-EA91-4369-8661-D870065228B7}" r="AA9" connectionId="0">
    <xmlCellPr id="1" xr6:uid="{19C46121-2381-4330-A87C-9F8779C677DC}" uniqueName="Total_Points">
      <xmlPr mapId="7" xpath="/MAKE/PP/PPUpperLegform/Upper_Legform/Plus_9/@Total_Points" xmlDataType="decimal"/>
    </xmlCellPr>
  </singleXmlCell>
  <singleXmlCell id="1438" xr6:uid="{67F2713B-E7AF-4DBF-BAF8-120CBC43B971}" r="D10" connectionId="0">
    <xmlCellPr id="1" xr6:uid="{683FF021-AA76-48DD-AC7A-B72D1D0B3A6D}" uniqueName="Description">
      <xmlPr mapId="7" xpath="/MAKE/PP/PPUpperLegform/Upper_Legform/Plus_8/@Description" xmlDataType="string"/>
    </xmlCellPr>
  </singleXmlCell>
  <singleXmlCell id="1439" xr6:uid="{0F9B0DCD-E4E1-481C-BE11-C4D6269B513D}" r="E10" connectionId="0">
    <xmlCellPr id="1" xr6:uid="{B28298EF-0250-4D1D-A187-A2C7D4CEFB5E}" uniqueName="Energy">
      <xmlPr mapId="7" xpath="/MAKE/PP/PPUpperLegform/Upper_Legform/Plus_8/@Energy" xmlDataType="decimal"/>
    </xmlCellPr>
  </singleXmlCell>
  <singleXmlCell id="1440" xr6:uid="{FA54A1DB-0440-49ED-BAA2-E459F245E499}" r="G10" connectionId="0">
    <xmlCellPr id="1" xr6:uid="{8F1AF82E-2291-4D45-8095-BF7BD0989877}" uniqueName="Moment_Upper_Value">
      <xmlPr mapId="7" xpath="/MAKE/PP/PPUpperLegform/Upper_Legform/Plus_8/@Moment_Upper_Value" xmlDataType="decimal"/>
    </xmlCellPr>
  </singleXmlCell>
  <singleXmlCell id="1441" xr6:uid="{B3747D29-EEB8-42CF-AF2C-6366995F40CD}" r="K10" connectionId="0">
    <xmlCellPr id="1" xr6:uid="{79A73E95-00AF-4EF0-9184-F36D97438850}" uniqueName="Moment_Centre_Value">
      <xmlPr mapId="7" xpath="/MAKE/PP/PPUpperLegform/Upper_Legform/Plus_8/@Moment_Centre_Value" xmlDataType="decimal"/>
    </xmlCellPr>
  </singleXmlCell>
  <singleXmlCell id="1442" xr6:uid="{26EFC6C1-FB87-4EA3-A416-BFFBADFCF5A7}" r="O10" connectionId="0">
    <xmlCellPr id="1" xr6:uid="{D7636921-1AD0-4428-B7AF-84B1462D7F8B}" uniqueName="Moment_Lower_Value">
      <xmlPr mapId="7" xpath="/MAKE/PP/PPUpperLegform/Upper_Legform/Plus_8/@Moment_Lower_Value" xmlDataType="decimal"/>
    </xmlCellPr>
  </singleXmlCell>
  <singleXmlCell id="1443" xr6:uid="{14B6CE04-FBF2-4CDA-B1CC-FF72941D6D44}" r="S10" connectionId="0">
    <xmlCellPr id="1" xr6:uid="{2A2310F0-7C5C-4CB1-B172-74810133799F}" uniqueName="Force_Upper_Value">
      <xmlPr mapId="7" xpath="/MAKE/PP/PPUpperLegform/Upper_Legform/Plus_8/@Force_Upper_Value" xmlDataType="decimal"/>
    </xmlCellPr>
  </singleXmlCell>
  <singleXmlCell id="1444" xr6:uid="{8C49A2EB-5103-42E5-B00B-2BC0D3A0A586}" r="U10" connectionId="0">
    <xmlCellPr id="1" xr6:uid="{B78BB98C-FD48-4777-B7F3-F542E6B9374A}" uniqueName="Force_Lower_Value">
      <xmlPr mapId="7" xpath="/MAKE/PP/PPUpperLegform/Upper_Legform/Plus_8/@Force_Lower_Value" xmlDataType="decimal"/>
    </xmlCellPr>
  </singleXmlCell>
  <singleXmlCell id="1445" xr6:uid="{9C50C011-444D-4C57-8041-A049742A9594}" r="W10" connectionId="0">
    <xmlCellPr id="1" xr6:uid="{4517A07B-90C9-486E-B8A2-DEC59DC22136}" uniqueName="Force_Sum_Value">
      <xmlPr mapId="7" xpath="/MAKE/PP/PPUpperLegform/Upper_Legform/Plus_8/@Force_Sum_Value" xmlDataType="decimal"/>
    </xmlCellPr>
  </singleXmlCell>
  <singleXmlCell id="1446" xr6:uid="{CB9F69D7-C9A3-41D8-9FDA-1069A47FFE6A}" r="Y10" connectionId="0">
    <xmlCellPr id="1" xr6:uid="{860B532B-6087-4D4E-BE40-E24A3AFFB385}" uniqueName="Force_Sum_Points">
      <xmlPr mapId="7" xpath="/MAKE/PP/PPUpperLegform/Upper_Legform/Plus_8/@Force_Sum_Points" xmlDataType="decimal"/>
    </xmlCellPr>
  </singleXmlCell>
  <singleXmlCell id="1447" xr6:uid="{813B0505-45EF-4B3C-BEAD-848D870EDEED}" r="AA10" connectionId="0">
    <xmlCellPr id="1" xr6:uid="{0398CFBD-1DC5-4FBA-924C-0719BAA009EB}" uniqueName="Total_Points">
      <xmlPr mapId="7" xpath="/MAKE/PP/PPUpperLegform/Upper_Legform/Plus_8/@Total_Points" xmlDataType="decimal"/>
    </xmlCellPr>
  </singleXmlCell>
  <singleXmlCell id="1448" xr6:uid="{F00D400C-1A2C-4708-8894-9BC286D05B29}" r="D11" connectionId="0">
    <xmlCellPr id="1" xr6:uid="{6768F6B7-27F7-402C-9F23-2D92C01F172B}" uniqueName="Description">
      <xmlPr mapId="7" xpath="/MAKE/PP/PPUpperLegform/Upper_Legform/Plus_7/@Description" xmlDataType="string"/>
    </xmlCellPr>
  </singleXmlCell>
  <singleXmlCell id="1449" xr6:uid="{11720145-4D72-4083-94FF-B077FBC23F79}" r="E11" connectionId="0">
    <xmlCellPr id="1" xr6:uid="{0E3D3716-8C7A-4B36-9636-E7F155D7B7B0}" uniqueName="Energy">
      <xmlPr mapId="7" xpath="/MAKE/PP/PPUpperLegform/Upper_Legform/Plus_7/@Energy" xmlDataType="decimal"/>
    </xmlCellPr>
  </singleXmlCell>
  <singleXmlCell id="1450" xr6:uid="{F0B0A0D5-FB49-47B2-860A-B335C013D900}" r="G11" connectionId="0">
    <xmlCellPr id="1" xr6:uid="{2BDC4739-2C7A-4331-A5C5-B8DCA8E69ABE}" uniqueName="Moment_Upper_Value">
      <xmlPr mapId="7" xpath="/MAKE/PP/PPUpperLegform/Upper_Legform/Plus_7/@Moment_Upper_Value" xmlDataType="decimal"/>
    </xmlCellPr>
  </singleXmlCell>
  <singleXmlCell id="1451" xr6:uid="{0D10A73C-DAAF-4C39-A6B5-F31F6AA58BD9}" r="K11" connectionId="0">
    <xmlCellPr id="1" xr6:uid="{C7380BEC-4F43-4E2B-AAE4-2F4FE95F7A97}" uniqueName="Moment_Centre_Value">
      <xmlPr mapId="7" xpath="/MAKE/PP/PPUpperLegform/Upper_Legform/Plus_7/@Moment_Centre_Value" xmlDataType="decimal"/>
    </xmlCellPr>
  </singleXmlCell>
  <singleXmlCell id="1452" xr6:uid="{B3E9397D-F074-47C7-9874-51ACE574F091}" r="O11" connectionId="0">
    <xmlCellPr id="1" xr6:uid="{E94735F8-8D6F-41BE-BA5C-1EB74B8C8317}" uniqueName="Moment_Lower_Value">
      <xmlPr mapId="7" xpath="/MAKE/PP/PPUpperLegform/Upper_Legform/Plus_7/@Moment_Lower_Value" xmlDataType="decimal"/>
    </xmlCellPr>
  </singleXmlCell>
  <singleXmlCell id="1453" xr6:uid="{C0BDCDE0-B843-476B-9750-06B57DD46C93}" r="S11" connectionId="0">
    <xmlCellPr id="1" xr6:uid="{30213EBB-3C97-48A3-BBD7-07C90863AF5D}" uniqueName="Force_Upper_Value">
      <xmlPr mapId="7" xpath="/MAKE/PP/PPUpperLegform/Upper_Legform/Plus_7/@Force_Upper_Value" xmlDataType="decimal"/>
    </xmlCellPr>
  </singleXmlCell>
  <singleXmlCell id="1454" xr6:uid="{B7574610-12E2-4D77-A0CB-456445AD7E3D}" r="U11" connectionId="0">
    <xmlCellPr id="1" xr6:uid="{DACE5EF4-5A0A-4364-A362-05FDB59DB67A}" uniqueName="Force_Lower_Value">
      <xmlPr mapId="7" xpath="/MAKE/PP/PPUpperLegform/Upper_Legform/Plus_7/@Force_Lower_Value" xmlDataType="decimal"/>
    </xmlCellPr>
  </singleXmlCell>
  <singleXmlCell id="1455" xr6:uid="{7DC4C3BA-10F2-4548-A4C1-01EBD618605F}" r="W11" connectionId="0">
    <xmlCellPr id="1" xr6:uid="{491D6456-64D0-4C73-A595-65E0ED4C332F}" uniqueName="Force_Sum_Value">
      <xmlPr mapId="7" xpath="/MAKE/PP/PPUpperLegform/Upper_Legform/Plus_7/@Force_Sum_Value" xmlDataType="decimal"/>
    </xmlCellPr>
  </singleXmlCell>
  <singleXmlCell id="1456" xr6:uid="{7CB2A294-5F1C-42D4-AD65-C863543CCCA2}" r="Y11" connectionId="0">
    <xmlCellPr id="1" xr6:uid="{78E55467-B0C6-428F-B7B0-A8C40986E301}" uniqueName="Force_Sum_Points">
      <xmlPr mapId="7" xpath="/MAKE/PP/PPUpperLegform/Upper_Legform/Plus_7/@Force_Sum_Points" xmlDataType="decimal"/>
    </xmlCellPr>
  </singleXmlCell>
  <singleXmlCell id="1457" xr6:uid="{4FF73C09-6BA5-48D7-A617-499E012A26CF}" r="AA11" connectionId="0">
    <xmlCellPr id="1" xr6:uid="{0B3DC7B4-C283-4E2D-A856-9F964999AC43}" uniqueName="Total_Points">
      <xmlPr mapId="7" xpath="/MAKE/PP/PPUpperLegform/Upper_Legform/Plus_7/@Total_Points" xmlDataType="decimal"/>
    </xmlCellPr>
  </singleXmlCell>
  <singleXmlCell id="1458" xr6:uid="{F4FD3591-FCCA-4A65-B57D-ED985D072DAA}" r="D12" connectionId="0">
    <xmlCellPr id="1" xr6:uid="{F143DE47-0662-4E7E-BCCE-5C119CA02654}" uniqueName="Description">
      <xmlPr mapId="7" xpath="/MAKE/PP/PPUpperLegform/Upper_Legform/Plus_6/@Description" xmlDataType="string"/>
    </xmlCellPr>
  </singleXmlCell>
  <singleXmlCell id="1459" xr6:uid="{B03023D7-5DBD-4B42-9AA5-FA92D07DD95C}" r="E12" connectionId="0">
    <xmlCellPr id="1" xr6:uid="{F3944281-331F-4A46-9E97-9A8038BD429B}" uniqueName="Energy">
      <xmlPr mapId="7" xpath="/MAKE/PP/PPUpperLegform/Upper_Legform/Plus_6/@Energy" xmlDataType="decimal"/>
    </xmlCellPr>
  </singleXmlCell>
  <singleXmlCell id="1460" xr6:uid="{BBE2A23C-759A-4BE6-9338-8FCF6214A8B6}" r="G12" connectionId="0">
    <xmlCellPr id="1" xr6:uid="{BA7E09D9-2BC9-4650-B20F-E2EC6BA98305}" uniqueName="Moment_Upper_Value">
      <xmlPr mapId="7" xpath="/MAKE/PP/PPUpperLegform/Upper_Legform/Plus_6/@Moment_Upper_Value" xmlDataType="decimal"/>
    </xmlCellPr>
  </singleXmlCell>
  <singleXmlCell id="1461" xr6:uid="{88FC1E37-1C1E-4F28-B680-B8B7FC583FAC}" r="K12" connectionId="0">
    <xmlCellPr id="1" xr6:uid="{530291AB-D124-4804-9171-6029A2108C08}" uniqueName="Moment_Centre_Value">
      <xmlPr mapId="7" xpath="/MAKE/PP/PPUpperLegform/Upper_Legform/Plus_6/@Moment_Centre_Value" xmlDataType="decimal"/>
    </xmlCellPr>
  </singleXmlCell>
  <singleXmlCell id="1462" xr6:uid="{F98466D0-C016-45D6-8AC4-AC230077EB72}" r="O12" connectionId="0">
    <xmlCellPr id="1" xr6:uid="{DC2CAC43-2C2E-47E6-A688-A016C60BF474}" uniqueName="Moment_Lower_Value">
      <xmlPr mapId="7" xpath="/MAKE/PP/PPUpperLegform/Upper_Legform/Plus_6/@Moment_Lower_Value" xmlDataType="decimal"/>
    </xmlCellPr>
  </singleXmlCell>
  <singleXmlCell id="1463" xr6:uid="{8EB320EC-A7C2-4284-A951-13E5AEE6EDDC}" r="S12" connectionId="0">
    <xmlCellPr id="1" xr6:uid="{E18035D3-647D-4B4D-88AF-272C2A4EEE42}" uniqueName="Force_Upper_Value">
      <xmlPr mapId="7" xpath="/MAKE/PP/PPUpperLegform/Upper_Legform/Plus_6/@Force_Upper_Value" xmlDataType="decimal"/>
    </xmlCellPr>
  </singleXmlCell>
  <singleXmlCell id="1464" xr6:uid="{4864FED1-9F29-4BEB-AF87-CF765C310FE1}" r="U12" connectionId="0">
    <xmlCellPr id="1" xr6:uid="{2EC19259-6386-4D05-AF64-107544F903ED}" uniqueName="Force_Lower_Value">
      <xmlPr mapId="7" xpath="/MAKE/PP/PPUpperLegform/Upper_Legform/Plus_6/@Force_Lower_Value" xmlDataType="decimal"/>
    </xmlCellPr>
  </singleXmlCell>
  <singleXmlCell id="1465" xr6:uid="{33F3F145-546E-4D08-9BA1-CD68B8F8B6AE}" r="W12" connectionId="0">
    <xmlCellPr id="1" xr6:uid="{146C4694-652B-4276-B76F-734F063315DF}" uniqueName="Force_Sum_Value">
      <xmlPr mapId="7" xpath="/MAKE/PP/PPUpperLegform/Upper_Legform/Plus_6/@Force_Sum_Value" xmlDataType="decimal"/>
    </xmlCellPr>
  </singleXmlCell>
  <singleXmlCell id="1466" xr6:uid="{204572A1-4A77-41E1-899D-E6A7B4BF6F6E}" r="Y12" connectionId="0">
    <xmlCellPr id="1" xr6:uid="{323E8624-53B7-4913-B956-4A08A4904297}" uniqueName="Force_Sum_Points">
      <xmlPr mapId="7" xpath="/MAKE/PP/PPUpperLegform/Upper_Legform/Plus_6/@Force_Sum_Points" xmlDataType="decimal"/>
    </xmlCellPr>
  </singleXmlCell>
  <singleXmlCell id="1467" xr6:uid="{2F23260A-0310-4BA2-B4F7-0066FC6C9BD8}" r="AA12" connectionId="0">
    <xmlCellPr id="1" xr6:uid="{9EAE275A-23FA-457D-8727-5307188DCD5D}" uniqueName="Total_Points">
      <xmlPr mapId="7" xpath="/MAKE/PP/PPUpperLegform/Upper_Legform/Plus_6/@Total_Points" xmlDataType="decimal"/>
    </xmlCellPr>
  </singleXmlCell>
  <singleXmlCell id="1468" xr6:uid="{6689DA00-1AE5-4BD9-BD87-F4255271DD95}" r="D13" connectionId="0">
    <xmlCellPr id="1" xr6:uid="{7E5C8685-03E2-4B5C-B972-09D8D607DB52}" uniqueName="Description">
      <xmlPr mapId="7" xpath="/MAKE/PP/PPUpperLegform/Upper_Legform/Plus_5/@Description" xmlDataType="string"/>
    </xmlCellPr>
  </singleXmlCell>
  <singleXmlCell id="1469" xr6:uid="{4D0DC22C-6428-46EF-9D07-5AADE140AD5C}" r="E13" connectionId="0">
    <xmlCellPr id="1" xr6:uid="{D782D032-6851-4955-9F0F-970FD2BCFF8B}" uniqueName="Energy">
      <xmlPr mapId="7" xpath="/MAKE/PP/PPUpperLegform/Upper_Legform/Plus_5/@Energy" xmlDataType="decimal"/>
    </xmlCellPr>
  </singleXmlCell>
  <singleXmlCell id="1470" xr6:uid="{CD2BD9FE-5E7D-4B07-8776-5BFB10660727}" r="G13" connectionId="0">
    <xmlCellPr id="1" xr6:uid="{74A10EA4-F468-45C4-AB21-078C82E0E1EC}" uniqueName="Moment_Upper_Value">
      <xmlPr mapId="7" xpath="/MAKE/PP/PPUpperLegform/Upper_Legform/Plus_5/@Moment_Upper_Value" xmlDataType="decimal"/>
    </xmlCellPr>
  </singleXmlCell>
  <singleXmlCell id="1471" xr6:uid="{3B32C23A-1675-4B3D-B826-578E14611CB6}" r="K13" connectionId="0">
    <xmlCellPr id="1" xr6:uid="{04F61B38-4024-473C-8349-A0B8B3544DB6}" uniqueName="Moment_Centre_Value">
      <xmlPr mapId="7" xpath="/MAKE/PP/PPUpperLegform/Upper_Legform/Plus_5/@Moment_Centre_Value" xmlDataType="decimal"/>
    </xmlCellPr>
  </singleXmlCell>
  <singleXmlCell id="1472" xr6:uid="{588A45F1-D361-44F8-AB05-97C41A0B82D2}" r="O13" connectionId="0">
    <xmlCellPr id="1" xr6:uid="{FEF7CAC8-B140-45BD-8EFF-0C67FC50BC33}" uniqueName="Moment_Lower_Value">
      <xmlPr mapId="7" xpath="/MAKE/PP/PPUpperLegform/Upper_Legform/Plus_5/@Moment_Lower_Value" xmlDataType="decimal"/>
    </xmlCellPr>
  </singleXmlCell>
  <singleXmlCell id="1473" xr6:uid="{FF864C2E-27BD-4376-BE23-833B9E52501E}" r="S13" connectionId="0">
    <xmlCellPr id="1" xr6:uid="{048A17D1-9B5F-47A1-83FD-DDD7ABDD6DD6}" uniqueName="Force_Upper_Value">
      <xmlPr mapId="7" xpath="/MAKE/PP/PPUpperLegform/Upper_Legform/Plus_5/@Force_Upper_Value" xmlDataType="decimal"/>
    </xmlCellPr>
  </singleXmlCell>
  <singleXmlCell id="1474" xr6:uid="{8B892E63-2C1F-4DE9-8D01-45E4F4C5AA75}" r="U13" connectionId="0">
    <xmlCellPr id="1" xr6:uid="{EB27FE45-974F-4069-B83A-DB117065044A}" uniqueName="Force_Lower_Value">
      <xmlPr mapId="7" xpath="/MAKE/PP/PPUpperLegform/Upper_Legform/Plus_5/@Force_Lower_Value" xmlDataType="decimal"/>
    </xmlCellPr>
  </singleXmlCell>
  <singleXmlCell id="1475" xr6:uid="{5639BF62-6B21-4BE2-9277-A9891B51B229}" r="W13" connectionId="0">
    <xmlCellPr id="1" xr6:uid="{003EAEF7-B51F-4A40-9084-22788EC2D1D4}" uniqueName="Force_Sum_Value">
      <xmlPr mapId="7" xpath="/MAKE/PP/PPUpperLegform/Upper_Legform/Plus_5/@Force_Sum_Value" xmlDataType="decimal"/>
    </xmlCellPr>
  </singleXmlCell>
  <singleXmlCell id="1476" xr6:uid="{7C6C6F6A-5929-4D15-AF55-DF4B041B5E56}" r="Y13" connectionId="0">
    <xmlCellPr id="1" xr6:uid="{738ECBC1-0001-496A-8D50-F689B79EA4B1}" uniqueName="Force_Sum_Points">
      <xmlPr mapId="7" xpath="/MAKE/PP/PPUpperLegform/Upper_Legform/Plus_5/@Force_Sum_Points" xmlDataType="decimal"/>
    </xmlCellPr>
  </singleXmlCell>
  <singleXmlCell id="1477" xr6:uid="{D16FB1D8-44D8-486E-83EB-B3797E92B354}" r="AA13" connectionId="0">
    <xmlCellPr id="1" xr6:uid="{B0211779-45C9-4B87-A4BC-C1E205B3B5F9}" uniqueName="Total_Points">
      <xmlPr mapId="7" xpath="/MAKE/PP/PPUpperLegform/Upper_Legform/Plus_5/@Total_Points" xmlDataType="decimal"/>
    </xmlCellPr>
  </singleXmlCell>
  <singleXmlCell id="1478" xr6:uid="{A1ADE737-D2EE-454D-9F1F-442FE8B24DED}" r="D14" connectionId="0">
    <xmlCellPr id="1" xr6:uid="{6AC1E840-EDDC-4A34-A7DA-70504B4AB173}" uniqueName="Description">
      <xmlPr mapId="7" xpath="/MAKE/PP/PPUpperLegform/Upper_Legform/Plus_4/@Description" xmlDataType="string"/>
    </xmlCellPr>
  </singleXmlCell>
  <singleXmlCell id="1479" xr6:uid="{DAABEFD4-243E-4719-B681-502C1296DB75}" r="E14" connectionId="0">
    <xmlCellPr id="1" xr6:uid="{48481098-A6AE-4983-A067-FC04275FE702}" uniqueName="Energy">
      <xmlPr mapId="7" xpath="/MAKE/PP/PPUpperLegform/Upper_Legform/Plus_4/@Energy" xmlDataType="decimal"/>
    </xmlCellPr>
  </singleXmlCell>
  <singleXmlCell id="1480" xr6:uid="{32ED0681-F7C7-42BF-B2DF-74A9B77D4FB7}" r="G14" connectionId="0">
    <xmlCellPr id="1" xr6:uid="{DCFC8ABB-BBA1-417A-AC70-AC26BCB3CCE9}" uniqueName="Moment_Upper_Value">
      <xmlPr mapId="7" xpath="/MAKE/PP/PPUpperLegform/Upper_Legform/Plus_4/@Moment_Upper_Value" xmlDataType="decimal"/>
    </xmlCellPr>
  </singleXmlCell>
  <singleXmlCell id="1481" xr6:uid="{D25A9D30-9343-42DC-B083-54C9AFA5A86B}" r="K14" connectionId="0">
    <xmlCellPr id="1" xr6:uid="{06D83481-5DEF-455B-9936-D2744FC8ECE2}" uniqueName="Moment_Centre_Value">
      <xmlPr mapId="7" xpath="/MAKE/PP/PPUpperLegform/Upper_Legform/Plus_4/@Moment_Centre_Value" xmlDataType="decimal"/>
    </xmlCellPr>
  </singleXmlCell>
  <singleXmlCell id="1482" xr6:uid="{1405165C-434A-42DC-9DCB-2C2115B0432F}" r="O14" connectionId="0">
    <xmlCellPr id="1" xr6:uid="{74295842-1850-461D-9101-F270BCD09133}" uniqueName="Moment_Lower_Value">
      <xmlPr mapId="7" xpath="/MAKE/PP/PPUpperLegform/Upper_Legform/Plus_4/@Moment_Lower_Value" xmlDataType="decimal"/>
    </xmlCellPr>
  </singleXmlCell>
  <singleXmlCell id="1483" xr6:uid="{55E1E4B0-EC19-481D-85C1-B1EFE903EC3D}" r="S14" connectionId="0">
    <xmlCellPr id="1" xr6:uid="{744F7599-A5D4-441A-94CD-FF5F9BFBD8AD}" uniqueName="Force_Upper_Value">
      <xmlPr mapId="7" xpath="/MAKE/PP/PPUpperLegform/Upper_Legform/Plus_4/@Force_Upper_Value" xmlDataType="decimal"/>
    </xmlCellPr>
  </singleXmlCell>
  <singleXmlCell id="1484" xr6:uid="{43716BF1-7A6D-4564-9755-05AAD8684A59}" r="U14" connectionId="0">
    <xmlCellPr id="1" xr6:uid="{D3ECABB6-96B2-4C34-8CC1-8DE8D33CA0AB}" uniqueName="Force_Lower_Value">
      <xmlPr mapId="7" xpath="/MAKE/PP/PPUpperLegform/Upper_Legform/Plus_4/@Force_Lower_Value" xmlDataType="decimal"/>
    </xmlCellPr>
  </singleXmlCell>
  <singleXmlCell id="1485" xr6:uid="{DC565331-5467-497C-A4FF-2BF9A44C6DCA}" r="W14" connectionId="0">
    <xmlCellPr id="1" xr6:uid="{120FFF98-21ED-44BE-95AF-AA55B344F5B5}" uniqueName="Force_Sum_Value">
      <xmlPr mapId="7" xpath="/MAKE/PP/PPUpperLegform/Upper_Legform/Plus_4/@Force_Sum_Value" xmlDataType="decimal"/>
    </xmlCellPr>
  </singleXmlCell>
  <singleXmlCell id="1486" xr6:uid="{3350C0F7-B563-480D-9822-1D16EB8B92A8}" r="Y14" connectionId="0">
    <xmlCellPr id="1" xr6:uid="{2548C616-2C70-4C4E-AEE2-B1F41BB8BB97}" uniqueName="Force_Sum_Points">
      <xmlPr mapId="7" xpath="/MAKE/PP/PPUpperLegform/Upper_Legform/Plus_4/@Force_Sum_Points" xmlDataType="decimal"/>
    </xmlCellPr>
  </singleXmlCell>
  <singleXmlCell id="1487" xr6:uid="{85E03E60-40F7-4B5F-BD08-99B3B1B3C1D8}" r="AA14" connectionId="0">
    <xmlCellPr id="1" xr6:uid="{3F518974-F099-453A-94AD-C73F3DB63863}" uniqueName="Total_Points">
      <xmlPr mapId="7" xpath="/MAKE/PP/PPUpperLegform/Upper_Legform/Plus_4/@Total_Points" xmlDataType="decimal"/>
    </xmlCellPr>
  </singleXmlCell>
  <singleXmlCell id="1488" xr6:uid="{7459B999-EEF4-4686-852B-549E3F3E62E9}" r="D15" connectionId="0">
    <xmlCellPr id="1" xr6:uid="{767A45AC-620A-42F9-9086-5772389C5218}" uniqueName="Description">
      <xmlPr mapId="7" xpath="/MAKE/PP/PPUpperLegform/Upper_Legform/Plus_3/@Description" xmlDataType="string"/>
    </xmlCellPr>
  </singleXmlCell>
  <singleXmlCell id="1489" xr6:uid="{0A24ADDE-6823-442B-B3A1-9107262F374F}" r="E15" connectionId="0">
    <xmlCellPr id="1" xr6:uid="{17D66E5A-D988-4797-911B-BA0E21897359}" uniqueName="Energy">
      <xmlPr mapId="7" xpath="/MAKE/PP/PPUpperLegform/Upper_Legform/Plus_3/@Energy" xmlDataType="decimal"/>
    </xmlCellPr>
  </singleXmlCell>
  <singleXmlCell id="1490" xr6:uid="{2A6D134D-EE34-48EE-9181-BECCCB68CE6F}" r="G15" connectionId="0">
    <xmlCellPr id="1" xr6:uid="{AE84ECB8-B150-4E81-AD3C-8F453B09BC1A}" uniqueName="Moment_Upper_Value">
      <xmlPr mapId="7" xpath="/MAKE/PP/PPUpperLegform/Upper_Legform/Plus_3/@Moment_Upper_Value" xmlDataType="decimal"/>
    </xmlCellPr>
  </singleXmlCell>
  <singleXmlCell id="1491" xr6:uid="{F351E33C-D202-4D7D-BB3F-49EC13AED304}" r="K15" connectionId="0">
    <xmlCellPr id="1" xr6:uid="{D12F7090-DF52-4E57-B396-1EFFCD528CF8}" uniqueName="Moment_Centre_Value">
      <xmlPr mapId="7" xpath="/MAKE/PP/PPUpperLegform/Upper_Legform/Plus_3/@Moment_Centre_Value" xmlDataType="decimal"/>
    </xmlCellPr>
  </singleXmlCell>
  <singleXmlCell id="1492" xr6:uid="{6086EDB1-1D15-4478-8250-1736EB95292D}" r="O15" connectionId="0">
    <xmlCellPr id="1" xr6:uid="{1B0E8574-7184-4B4B-9D97-AFDD22B47906}" uniqueName="Moment_Lower_Value">
      <xmlPr mapId="7" xpath="/MAKE/PP/PPUpperLegform/Upper_Legform/Plus_3/@Moment_Lower_Value" xmlDataType="decimal"/>
    </xmlCellPr>
  </singleXmlCell>
  <singleXmlCell id="1493" xr6:uid="{26FE829D-4DB6-41A8-9312-ABDE96F7581B}" r="S15" connectionId="0">
    <xmlCellPr id="1" xr6:uid="{2472A0B1-E42F-4521-B765-8AB069CC1A1A}" uniqueName="Force_Upper_Value">
      <xmlPr mapId="7" xpath="/MAKE/PP/PPUpperLegform/Upper_Legform/Plus_3/@Force_Upper_Value" xmlDataType="decimal"/>
    </xmlCellPr>
  </singleXmlCell>
  <singleXmlCell id="1494" xr6:uid="{53C86E35-7026-4ADE-874C-1E615D0971B0}" r="U15" connectionId="0">
    <xmlCellPr id="1" xr6:uid="{CE3D5C67-CEDB-4D1F-8CBC-7E4564B8D888}" uniqueName="Force_Lower_Value">
      <xmlPr mapId="7" xpath="/MAKE/PP/PPUpperLegform/Upper_Legform/Plus_3/@Force_Lower_Value" xmlDataType="decimal"/>
    </xmlCellPr>
  </singleXmlCell>
  <singleXmlCell id="1495" xr6:uid="{CC5ACE4D-E995-4E70-B06D-6FDEDB1DAF2B}" r="W15" connectionId="0">
    <xmlCellPr id="1" xr6:uid="{A42C6093-5313-4D77-B42A-AF68DEA0CE4E}" uniqueName="Force_Sum_Value">
      <xmlPr mapId="7" xpath="/MAKE/PP/PPUpperLegform/Upper_Legform/Plus_3/@Force_Sum_Value" xmlDataType="decimal"/>
    </xmlCellPr>
  </singleXmlCell>
  <singleXmlCell id="1496" xr6:uid="{70A18C12-EE67-400D-A911-4D840000FAFA}" r="Y15" connectionId="0">
    <xmlCellPr id="1" xr6:uid="{16AFB55A-C9FE-41ED-BD30-7692D3FAF245}" uniqueName="Force_Sum_Points">
      <xmlPr mapId="7" xpath="/MAKE/PP/PPUpperLegform/Upper_Legform/Plus_3/@Force_Sum_Points" xmlDataType="decimal"/>
    </xmlCellPr>
  </singleXmlCell>
  <singleXmlCell id="1497" xr6:uid="{FD38FEEF-855A-492E-BFC6-E1015FEC7974}" r="AA15" connectionId="0">
    <xmlCellPr id="1" xr6:uid="{45B7B4AA-9ACB-4E9B-A896-D563D4036B41}" uniqueName="Total_Points">
      <xmlPr mapId="7" xpath="/MAKE/PP/PPUpperLegform/Upper_Legform/Plus_3/@Total_Points" xmlDataType="decimal"/>
    </xmlCellPr>
  </singleXmlCell>
  <singleXmlCell id="1295" xr6:uid="{B916219A-74B9-4C03-8E39-0864F7B9ABFA}" r="D16" connectionId="0">
    <xmlCellPr id="1" xr6:uid="{F3DA1DF7-8076-4C6E-A6A2-FF42C69A1C53}" uniqueName="Description">
      <xmlPr mapId="7" xpath="/MAKE/PP/PPUpperLegform/Upper_Legform/Plus_2/@Description" xmlDataType="string"/>
    </xmlCellPr>
  </singleXmlCell>
  <singleXmlCell id="1296" xr6:uid="{B3608DE1-0353-4FC7-85B8-4ADBF2E2D18C}" r="E16" connectionId="0">
    <xmlCellPr id="1" xr6:uid="{49ABE4A2-BDBE-4AD4-83C0-FBED4E5BD043}" uniqueName="Energy">
      <xmlPr mapId="7" xpath="/MAKE/PP/PPUpperLegform/Upper_Legform/Plus_2/@Energy" xmlDataType="decimal"/>
    </xmlCellPr>
  </singleXmlCell>
  <singleXmlCell id="1297" xr6:uid="{B9BD0A6D-77A2-4C50-808C-514692D86158}" r="G16" connectionId="0">
    <xmlCellPr id="1" xr6:uid="{64EC2612-E2CA-4140-8691-04608084A9E3}" uniqueName="Moment_Upper_Value">
      <xmlPr mapId="7" xpath="/MAKE/PP/PPUpperLegform/Upper_Legform/Plus_2/@Moment_Upper_Value" xmlDataType="decimal"/>
    </xmlCellPr>
  </singleXmlCell>
  <singleXmlCell id="1298" xr6:uid="{3AF8267D-8926-46E4-B036-DE34C9ED17C8}" r="K16" connectionId="0">
    <xmlCellPr id="1" xr6:uid="{C43EA432-EF62-4760-85AD-9BABEE589DF3}" uniqueName="Moment_Centre_Value">
      <xmlPr mapId="7" xpath="/MAKE/PP/PPUpperLegform/Upper_Legform/Plus_2/@Moment_Centre_Value" xmlDataType="decimal"/>
    </xmlCellPr>
  </singleXmlCell>
  <singleXmlCell id="1299" xr6:uid="{8BB8F6C7-41EC-4FDC-88CD-39CBBF31D4D7}" r="O16" connectionId="0">
    <xmlCellPr id="1" xr6:uid="{B1D1D341-092A-4A69-8169-1304FAA9F837}" uniqueName="Moment_Lower_Value">
      <xmlPr mapId="7" xpath="/MAKE/PP/PPUpperLegform/Upper_Legform/Plus_2/@Moment_Lower_Value" xmlDataType="decimal"/>
    </xmlCellPr>
  </singleXmlCell>
  <singleXmlCell id="1300" xr6:uid="{5B01066F-29F9-43AE-8B53-9D4A45E66CBD}" r="S16" connectionId="0">
    <xmlCellPr id="1" xr6:uid="{2C0DEB08-D857-49BE-90D6-A1D2834EA27D}" uniqueName="Force_Upper_Value">
      <xmlPr mapId="7" xpath="/MAKE/PP/PPUpperLegform/Upper_Legform/Plus_2/@Force_Upper_Value" xmlDataType="decimal"/>
    </xmlCellPr>
  </singleXmlCell>
  <singleXmlCell id="1301" xr6:uid="{4AEF5079-AACD-4959-B024-053F21765B02}" r="U16" connectionId="0">
    <xmlCellPr id="1" xr6:uid="{847A28CC-F0C1-4544-9655-40A678F1E425}" uniqueName="Force_Lower_Value">
      <xmlPr mapId="7" xpath="/MAKE/PP/PPUpperLegform/Upper_Legform/Plus_2/@Force_Lower_Value" xmlDataType="decimal"/>
    </xmlCellPr>
  </singleXmlCell>
  <singleXmlCell id="1329" xr6:uid="{DC5CC44E-8328-4BAA-A7B6-BB11776D47CD}" r="W16" connectionId="0">
    <xmlCellPr id="1" xr6:uid="{8115BB89-4089-4A72-AF1E-9E1F547A1D9E}" uniqueName="Force_Sum_Value">
      <xmlPr mapId="7" xpath="/MAKE/PP/PPUpperLegform/Upper_Legform/Plus_2/@Force_Sum_Value" xmlDataType="decimal"/>
    </xmlCellPr>
  </singleXmlCell>
  <singleXmlCell id="1330" xr6:uid="{59360134-74A5-4DF2-99C9-C9F1EDD327BB}" r="Y16" connectionId="0">
    <xmlCellPr id="1" xr6:uid="{947C4C9C-52EC-4607-AC69-30B5F40DA0B2}" uniqueName="Force_Sum_Points">
      <xmlPr mapId="7" xpath="/MAKE/PP/PPUpperLegform/Upper_Legform/Plus_2/@Force_Sum_Points" xmlDataType="decimal"/>
    </xmlCellPr>
  </singleXmlCell>
  <singleXmlCell id="1331" xr6:uid="{871368DF-74C3-4034-84DB-21DC941E95F5}" r="AA16" connectionId="0">
    <xmlCellPr id="1" xr6:uid="{FA796DAE-F287-4EAB-A023-18C1A8038CD4}" uniqueName="Total_Points">
      <xmlPr mapId="7" xpath="/MAKE/PP/PPUpperLegform/Upper_Legform/Plus_2/@Total_Points" xmlDataType="decimal"/>
    </xmlCellPr>
  </singleXmlCell>
  <singleXmlCell id="1333" xr6:uid="{AA8A1EC5-65D6-4E69-97EC-82C48211737B}" r="D17" connectionId="0">
    <xmlCellPr id="1" xr6:uid="{DAA9D772-E3A0-49DB-830A-D16F36860D7F}" uniqueName="Description">
      <xmlPr mapId="7" xpath="/MAKE/PP/PPUpperLegform/Upper_Legform/Plus_1/@Description" xmlDataType="string"/>
    </xmlCellPr>
  </singleXmlCell>
  <singleXmlCell id="1334" xr6:uid="{53F3C8C9-CF57-46FA-BCF6-03F5AEADB6DF}" r="E17" connectionId="0">
    <xmlCellPr id="1" xr6:uid="{FD0977A3-F99E-4BA3-AD12-9B37CAAFDED5}" uniqueName="Energy">
      <xmlPr mapId="7" xpath="/MAKE/PP/PPUpperLegform/Upper_Legform/Plus_1/@Energy" xmlDataType="decimal"/>
    </xmlCellPr>
  </singleXmlCell>
  <singleXmlCell id="1335" xr6:uid="{D0AFD616-118C-4880-9E8C-F5C7D59711CB}" r="G17" connectionId="0">
    <xmlCellPr id="1" xr6:uid="{FC389BE3-CAF6-43B7-83F2-1D2F637D6BB8}" uniqueName="Moment_Upper_Value">
      <xmlPr mapId="7" xpath="/MAKE/PP/PPUpperLegform/Upper_Legform/Plus_1/@Moment_Upper_Value" xmlDataType="decimal"/>
    </xmlCellPr>
  </singleXmlCell>
  <singleXmlCell id="1390" xr6:uid="{8B466E3A-D8B1-42F6-98C5-170BFDF71A96}" r="K17" connectionId="0">
    <xmlCellPr id="1" xr6:uid="{9D5B3B69-24A1-4741-8576-91F3B6D6C445}" uniqueName="Moment_Centre_Value">
      <xmlPr mapId="7" xpath="/MAKE/PP/PPUpperLegform/Upper_Legform/Plus_1/@Moment_Centre_Value" xmlDataType="decimal"/>
    </xmlCellPr>
  </singleXmlCell>
  <singleXmlCell id="1391" xr6:uid="{B5CECA35-B6B8-4E64-B7A0-B21D2BBDC23D}" r="O17" connectionId="0">
    <xmlCellPr id="1" xr6:uid="{E4ED99B0-0EEA-4652-B4D0-AA15D02062AB}" uniqueName="Moment_Lower_Value">
      <xmlPr mapId="7" xpath="/MAKE/PP/PPUpperLegform/Upper_Legform/Plus_1/@Moment_Lower_Value" xmlDataType="decimal"/>
    </xmlCellPr>
  </singleXmlCell>
  <singleXmlCell id="1392" xr6:uid="{8AAD66E2-36EB-49EA-A801-BFC0B25CA6BA}" r="S17" connectionId="0">
    <xmlCellPr id="1" xr6:uid="{183BF2BE-465E-40B6-A486-45A811969818}" uniqueName="Force_Upper_Value">
      <xmlPr mapId="7" xpath="/MAKE/PP/PPUpperLegform/Upper_Legform/Plus_1/@Force_Upper_Value" xmlDataType="decimal"/>
    </xmlCellPr>
  </singleXmlCell>
  <singleXmlCell id="1393" xr6:uid="{3BBAAD19-E8D5-4EBE-BB54-9357C2A91116}" r="U17" connectionId="0">
    <xmlCellPr id="1" xr6:uid="{BB1FF8A2-EB9C-47C9-B1AB-68A4DDD97FE6}" uniqueName="Force_Lower_Value">
      <xmlPr mapId="7" xpath="/MAKE/PP/PPUpperLegform/Upper_Legform/Plus_1/@Force_Lower_Value" xmlDataType="decimal"/>
    </xmlCellPr>
  </singleXmlCell>
  <singleXmlCell id="1394" xr6:uid="{92202BC0-80B4-446D-A4B1-1D4AC03F8CC6}" r="W17" connectionId="0">
    <xmlCellPr id="1" xr6:uid="{DC66DDDC-2824-43F3-869E-C8FDEAC8958E}" uniqueName="Force_Sum_Value">
      <xmlPr mapId="7" xpath="/MAKE/PP/PPUpperLegform/Upper_Legform/Plus_1/@Force_Sum_Value" xmlDataType="decimal"/>
    </xmlCellPr>
  </singleXmlCell>
  <singleXmlCell id="1395" xr6:uid="{C5A176E2-D057-4207-A991-3E669BBE2A27}" r="Y17" connectionId="0">
    <xmlCellPr id="1" xr6:uid="{D988A0A1-D8F4-44DA-90E9-CDFE8AABD361}" uniqueName="Force_Sum_Points">
      <xmlPr mapId="7" xpath="/MAKE/PP/PPUpperLegform/Upper_Legform/Plus_1/@Force_Sum_Points" xmlDataType="decimal"/>
    </xmlCellPr>
  </singleXmlCell>
  <singleXmlCell id="1396" xr6:uid="{0F740B26-0CE0-466B-ABE2-2CE099F029D4}" r="AA17" connectionId="0">
    <xmlCellPr id="1" xr6:uid="{D9B2F105-A7DC-4D5A-B75C-8CDAE46072E6}" uniqueName="Total_Points">
      <xmlPr mapId="7" xpath="/MAKE/PP/PPUpperLegform/Upper_Legform/Plus_1/@Total_Points" xmlDataType="decimal"/>
    </xmlCellPr>
  </singleXmlCell>
  <singleXmlCell id="1398" xr6:uid="{97DEEAD6-619C-4EAF-B05D-06BF42C6F995}" r="D18" connectionId="0">
    <xmlCellPr id="1" xr6:uid="{10FF1F7C-A186-4B7C-AC33-7D4C9FCC267B}" uniqueName="Description">
      <xmlPr mapId="7" xpath="/MAKE/PP/PPUpperLegform/Upper_Legform/Zero/@Description" xmlDataType="string"/>
    </xmlCellPr>
  </singleXmlCell>
  <singleXmlCell id="1399" xr6:uid="{309CBDA9-884D-4454-A5F6-1F89916ED3A7}" r="E18" connectionId="0">
    <xmlCellPr id="1" xr6:uid="{49948D9E-6110-4113-B1F3-5417A258C496}" uniqueName="Energy">
      <xmlPr mapId="7" xpath="/MAKE/PP/PPUpperLegform/Upper_Legform/Zero/@Energy" xmlDataType="decimal"/>
    </xmlCellPr>
  </singleXmlCell>
  <singleXmlCell id="1400" xr6:uid="{EC23EC54-0226-418E-B47C-BF3F7502E9ED}" r="G18" connectionId="0">
    <xmlCellPr id="1" xr6:uid="{352C7BA2-99A7-4BDA-80EE-00FE5C38D608}" uniqueName="Moment_Upper_Value">
      <xmlPr mapId="7" xpath="/MAKE/PP/PPUpperLegform/Upper_Legform/Zero/@Moment_Upper_Value" xmlDataType="decimal"/>
    </xmlCellPr>
  </singleXmlCell>
  <singleXmlCell id="1401" xr6:uid="{065D92B4-857E-42C9-B2EA-CCFE2DB88D06}" r="K18" connectionId="0">
    <xmlCellPr id="1" xr6:uid="{1AF9F7A1-06DB-4124-B1FE-7B042499B114}" uniqueName="Moment_Centre_Value">
      <xmlPr mapId="7" xpath="/MAKE/PP/PPUpperLegform/Upper_Legform/Zero/@Moment_Centre_Value" xmlDataType="decimal"/>
    </xmlCellPr>
  </singleXmlCell>
  <singleXmlCell id="1402" xr6:uid="{E212F46F-637C-44A4-8017-79D4FACAF47F}" r="O18" connectionId="0">
    <xmlCellPr id="1" xr6:uid="{CD498535-B7A5-47E5-9442-6805D16AEA2D}" uniqueName="Moment_Lower_Value">
      <xmlPr mapId="7" xpath="/MAKE/PP/PPUpperLegform/Upper_Legform/Zero/@Moment_Lower_Value" xmlDataType="decimal"/>
    </xmlCellPr>
  </singleXmlCell>
  <singleXmlCell id="1403" xr6:uid="{7E8E1633-CB27-4F7E-8764-4C22E2AED5AB}" r="S18" connectionId="0">
    <xmlCellPr id="1" xr6:uid="{F0E95ACD-42A4-4658-A4B9-6FB4D0B0F101}" uniqueName="Force_Upper_Value">
      <xmlPr mapId="7" xpath="/MAKE/PP/PPUpperLegform/Upper_Legform/Zero/@Force_Upper_Value" xmlDataType="decimal"/>
    </xmlCellPr>
  </singleXmlCell>
  <singleXmlCell id="1404" xr6:uid="{B69BBA8D-2560-4266-81E0-4B249F0D2B63}" r="U18" connectionId="0">
    <xmlCellPr id="1" xr6:uid="{D21B90DF-7DEB-4C95-9B0B-CE01C810CA4E}" uniqueName="Force_Lower_Value">
      <xmlPr mapId="7" xpath="/MAKE/PP/PPUpperLegform/Upper_Legform/Zero/@Force_Lower_Value" xmlDataType="decimal"/>
    </xmlCellPr>
  </singleXmlCell>
  <singleXmlCell id="1405" xr6:uid="{018F3132-2710-494E-B96E-9BAC6B1A0238}" r="W18" connectionId="0">
    <xmlCellPr id="1" xr6:uid="{C4B289DD-F1B1-4D8A-8587-0E3E175E2826}" uniqueName="Force_Sum_Value">
      <xmlPr mapId="7" xpath="/MAKE/PP/PPUpperLegform/Upper_Legform/Zero/@Force_Sum_Value" xmlDataType="decimal"/>
    </xmlCellPr>
  </singleXmlCell>
  <singleXmlCell id="1406" xr6:uid="{977C64D5-E601-43B9-A95B-D72DF7DD2F36}" r="Y18" connectionId="0">
    <xmlCellPr id="1" xr6:uid="{A713D5D0-4B8F-4880-B95F-DBDE6C4DE605}" uniqueName="Force_Sum_Points">
      <xmlPr mapId="7" xpath="/MAKE/PP/PPUpperLegform/Upper_Legform/Zero/@Force_Sum_Points" xmlDataType="decimal"/>
    </xmlCellPr>
  </singleXmlCell>
  <singleXmlCell id="1407" xr6:uid="{B413186E-87E0-4FD4-B0FA-A3B6135B6B6D}" r="AA18" connectionId="0">
    <xmlCellPr id="1" xr6:uid="{4D6AD645-CD74-44CF-A561-92C7215D6AF2}" uniqueName="Total_Points">
      <xmlPr mapId="7" xpath="/MAKE/PP/PPUpperLegform/Upper_Legform/Zero/@Total_Points" xmlDataType="decimal"/>
    </xmlCellPr>
  </singleXmlCell>
  <singleXmlCell id="1409" xr6:uid="{2046ED53-F3DE-4F70-BAC3-758AD93AF7B8}" r="D19" connectionId="0">
    <xmlCellPr id="1" xr6:uid="{6ED288E2-2C71-4709-A6E6-BED90989A7C3}" uniqueName="Description">
      <xmlPr mapId="7" xpath="/MAKE/PP/PPUpperLegform/Upper_Legform/Minus_1/@Description" xmlDataType="string"/>
    </xmlCellPr>
  </singleXmlCell>
  <singleXmlCell id="1410" xr6:uid="{09684069-6693-4340-9045-D13216D6D2CC}" r="E19" connectionId="0">
    <xmlCellPr id="1" xr6:uid="{E639C427-2576-4CAE-9B06-96F9B73CCB66}" uniqueName="Energy">
      <xmlPr mapId="7" xpath="/MAKE/PP/PPUpperLegform/Upper_Legform/Minus_1/@Energy" xmlDataType="decimal"/>
    </xmlCellPr>
  </singleXmlCell>
  <singleXmlCell id="1411" xr6:uid="{05C9DD7D-CE8B-4B5E-A830-22D65E73A641}" r="G19" connectionId="0">
    <xmlCellPr id="1" xr6:uid="{5D3F8E65-60A0-4FBB-8EA5-03ED13DBFA97}" uniqueName="Moment_Upper_Value">
      <xmlPr mapId="7" xpath="/MAKE/PP/PPUpperLegform/Upper_Legform/Minus_1/@Moment_Upper_Value" xmlDataType="decimal"/>
    </xmlCellPr>
  </singleXmlCell>
  <singleXmlCell id="1412" xr6:uid="{E976E414-A682-4837-AC26-AC2A75224D2D}" r="K19" connectionId="0">
    <xmlCellPr id="1" xr6:uid="{74D84332-DA61-4782-902E-FEA147F27290}" uniqueName="Moment_Centre_Value">
      <xmlPr mapId="7" xpath="/MAKE/PP/PPUpperLegform/Upper_Legform/Minus_1/@Moment_Centre_Value" xmlDataType="decimal"/>
    </xmlCellPr>
  </singleXmlCell>
  <singleXmlCell id="1413" xr6:uid="{0DB8F04C-5A87-4A5D-8D36-4C2235C452BF}" r="O19" connectionId="0">
    <xmlCellPr id="1" xr6:uid="{3834040D-1BFE-4583-8B3D-FE4246D4A3EB}" uniqueName="Moment_Lower_Value">
      <xmlPr mapId="7" xpath="/MAKE/PP/PPUpperLegform/Upper_Legform/Minus_1/@Moment_Lower_Value" xmlDataType="decimal"/>
    </xmlCellPr>
  </singleXmlCell>
  <singleXmlCell id="1414" xr6:uid="{3E0124D5-6F7E-4681-A6CF-8CF709CA8680}" r="S19" connectionId="0">
    <xmlCellPr id="1" xr6:uid="{3543C917-D747-4ABF-8991-A2030B64B27F}" uniqueName="Force_Upper_Value">
      <xmlPr mapId="7" xpath="/MAKE/PP/PPUpperLegform/Upper_Legform/Minus_1/@Force_Upper_Value" xmlDataType="decimal"/>
    </xmlCellPr>
  </singleXmlCell>
  <singleXmlCell id="1415" xr6:uid="{BCE15480-3A54-4B19-8018-FB3B26BCD9AF}" r="U19" connectionId="0">
    <xmlCellPr id="1" xr6:uid="{FD800E09-2FEE-4FA3-A461-69CA0D8981AA}" uniqueName="Force_Lower_Value">
      <xmlPr mapId="7" xpath="/MAKE/PP/PPUpperLegform/Upper_Legform/Minus_1/@Force_Lower_Value" xmlDataType="decimal"/>
    </xmlCellPr>
  </singleXmlCell>
  <singleXmlCell id="1416" xr6:uid="{410233A6-1725-4BCE-9904-21809E207F1A}" r="W19" connectionId="0">
    <xmlCellPr id="1" xr6:uid="{8FB3BCF2-426B-4DE9-B0A8-29C3CB6F7AF0}" uniqueName="Force_Sum_Value">
      <xmlPr mapId="7" xpath="/MAKE/PP/PPUpperLegform/Upper_Legform/Minus_1/@Force_Sum_Value" xmlDataType="decimal"/>
    </xmlCellPr>
  </singleXmlCell>
  <singleXmlCell id="1417" xr6:uid="{57580A77-DBFC-4B2E-A73B-A715770FAA76}" r="Y19" connectionId="0">
    <xmlCellPr id="1" xr6:uid="{7063BC28-3AFC-459A-AE47-3FC03D6A352F}" uniqueName="Force_Sum_Points">
      <xmlPr mapId="7" xpath="/MAKE/PP/PPUpperLegform/Upper_Legform/Minus_1/@Force_Sum_Points" xmlDataType="decimal"/>
    </xmlCellPr>
  </singleXmlCell>
  <singleXmlCell id="1498" xr6:uid="{18E9CBF7-C24A-4F3B-AB75-A2F4E0D37491}" r="AA19" connectionId="0">
    <xmlCellPr id="1" xr6:uid="{BA57EA6E-1B9A-4799-B71D-DE22CFAB69CA}" uniqueName="Total_Points">
      <xmlPr mapId="7" xpath="/MAKE/PP/PPUpperLegform/Upper_Legform/Minus_1/@Total_Points" xmlDataType="decimal"/>
    </xmlCellPr>
  </singleXmlCell>
  <singleXmlCell id="1500" xr6:uid="{DD191201-4B4A-497C-9193-C6549B8AE398}" r="D20" connectionId="0">
    <xmlCellPr id="1" xr6:uid="{78202924-0EE0-4D74-BA76-868B92DACF5C}" uniqueName="Description">
      <xmlPr mapId="7" xpath="/MAKE/PP/PPUpperLegform/Upper_Legform/Minus_2/@Description" xmlDataType="string"/>
    </xmlCellPr>
  </singleXmlCell>
  <singleXmlCell id="1501" xr6:uid="{077D26DB-E0D6-46CB-8B34-AA42C42E400E}" r="E20" connectionId="0">
    <xmlCellPr id="1" xr6:uid="{E7330C5E-D2BF-4D6A-83D5-BDCAF19807C9}" uniqueName="Energy">
      <xmlPr mapId="7" xpath="/MAKE/PP/PPUpperLegform/Upper_Legform/Minus_2/@Energy" xmlDataType="decimal"/>
    </xmlCellPr>
  </singleXmlCell>
  <singleXmlCell id="1502" xr6:uid="{CB4EFF31-880F-4560-8D87-D791AD468DA1}" r="G20" connectionId="0">
    <xmlCellPr id="1" xr6:uid="{40B279DD-5A99-4971-B2FE-CB1B8D541639}" uniqueName="Moment_Upper_Value">
      <xmlPr mapId="7" xpath="/MAKE/PP/PPUpperLegform/Upper_Legform/Minus_2/@Moment_Upper_Value" xmlDataType="decimal"/>
    </xmlCellPr>
  </singleXmlCell>
  <singleXmlCell id="1503" xr6:uid="{0E2BE0C5-5EB3-46AD-8777-A0BEFE602B9D}" r="K20" connectionId="0">
    <xmlCellPr id="1" xr6:uid="{164B8DE6-E02D-4C60-9A90-DF1A567A9A32}" uniqueName="Moment_Centre_Value">
      <xmlPr mapId="7" xpath="/MAKE/PP/PPUpperLegform/Upper_Legform/Minus_2/@Moment_Centre_Value" xmlDataType="decimal"/>
    </xmlCellPr>
  </singleXmlCell>
  <singleXmlCell id="1504" xr6:uid="{8D7A6B02-D468-4AC0-91BE-8BBDCD5450D2}" r="O20" connectionId="0">
    <xmlCellPr id="1" xr6:uid="{05CA6D40-A4DE-4F46-A726-A5586AC976B5}" uniqueName="Moment_Lower_Value">
      <xmlPr mapId="7" xpath="/MAKE/PP/PPUpperLegform/Upper_Legform/Minus_2/@Moment_Lower_Value" xmlDataType="decimal"/>
    </xmlCellPr>
  </singleXmlCell>
  <singleXmlCell id="1505" xr6:uid="{3EF52D15-D811-45ED-8EC4-F01468C89821}" r="S20" connectionId="0">
    <xmlCellPr id="1" xr6:uid="{6F86AA93-38F8-46A6-B6A1-F8347874055B}" uniqueName="Force_Upper_Value">
      <xmlPr mapId="7" xpath="/MAKE/PP/PPUpperLegform/Upper_Legform/Minus_2/@Force_Upper_Value" xmlDataType="decimal"/>
    </xmlCellPr>
  </singleXmlCell>
  <singleXmlCell id="1506" xr6:uid="{9830DCA1-C9CD-41F0-AFE9-47305802A708}" r="U20" connectionId="0">
    <xmlCellPr id="1" xr6:uid="{A1C08A52-06B3-443D-ABC1-B8A7CA8FAD66}" uniqueName="Force_Lower_Value">
      <xmlPr mapId="7" xpath="/MAKE/PP/PPUpperLegform/Upper_Legform/Minus_2/@Force_Lower_Value" xmlDataType="decimal"/>
    </xmlCellPr>
  </singleXmlCell>
  <singleXmlCell id="1507" xr6:uid="{8439EDED-D3DB-4E00-A58A-AC83B9B46C39}" r="W20" connectionId="0">
    <xmlCellPr id="1" xr6:uid="{BE9A27A6-93E8-4084-8EE7-A056968434B1}" uniqueName="Force_Sum_Value">
      <xmlPr mapId="7" xpath="/MAKE/PP/PPUpperLegform/Upper_Legform/Minus_2/@Force_Sum_Value" xmlDataType="decimal"/>
    </xmlCellPr>
  </singleXmlCell>
  <singleXmlCell id="1508" xr6:uid="{1ED6C820-213E-4FCC-A122-A178E70E2513}" r="Y20" connectionId="0">
    <xmlCellPr id="1" xr6:uid="{7195D457-2412-4768-B7FA-A18B1B714949}" uniqueName="Force_Sum_Points">
      <xmlPr mapId="7" xpath="/MAKE/PP/PPUpperLegform/Upper_Legform/Minus_2/@Force_Sum_Points" xmlDataType="decimal"/>
    </xmlCellPr>
  </singleXmlCell>
  <singleXmlCell id="1509" xr6:uid="{720AF46B-CEA5-4EED-B687-DBB9BABF8405}" r="AA20" connectionId="0">
    <xmlCellPr id="1" xr6:uid="{7D8A87DB-9769-4F9B-8517-5D9D3C47C4DD}" uniqueName="Total_Points">
      <xmlPr mapId="7" xpath="/MAKE/PP/PPUpperLegform/Upper_Legform/Minus_2/@Total_Points" xmlDataType="decimal"/>
    </xmlCellPr>
  </singleXmlCell>
  <singleXmlCell id="1511" xr6:uid="{4E76693D-9781-497E-A17A-4D217647A313}" r="D21" connectionId="0">
    <xmlCellPr id="1" xr6:uid="{C4666448-5878-4114-B5FC-8441F5E98C4B}" uniqueName="Description">
      <xmlPr mapId="7" xpath="/MAKE/PP/PPUpperLegform/Upper_Legform/Minus_3/@Description" xmlDataType="string"/>
    </xmlCellPr>
  </singleXmlCell>
  <singleXmlCell id="1512" xr6:uid="{53F1A0C2-EB5C-4141-83CD-377111995BD2}" r="E21" connectionId="0">
    <xmlCellPr id="1" xr6:uid="{5F0EA3F9-A82D-4537-AD0B-6A994781BDA9}" uniqueName="Energy">
      <xmlPr mapId="7" xpath="/MAKE/PP/PPUpperLegform/Upper_Legform/Minus_3/@Energy" xmlDataType="decimal"/>
    </xmlCellPr>
  </singleXmlCell>
  <singleXmlCell id="1513" xr6:uid="{BC6B25B7-3928-49F4-91A3-8613B46C06A4}" r="G21" connectionId="0">
    <xmlCellPr id="1" xr6:uid="{8DD5F7B4-AD5F-4102-B039-1CE1C08D74A3}" uniqueName="Moment_Upper_Value">
      <xmlPr mapId="7" xpath="/MAKE/PP/PPUpperLegform/Upper_Legform/Minus_3/@Moment_Upper_Value" xmlDataType="decimal"/>
    </xmlCellPr>
  </singleXmlCell>
  <singleXmlCell id="1514" xr6:uid="{D3E44AC9-C632-4711-A5A5-AB13E3B57442}" r="K21" connectionId="0">
    <xmlCellPr id="1" xr6:uid="{64C7C395-50CD-4160-84A8-D45E047595F2}" uniqueName="Moment_Centre_Value">
      <xmlPr mapId="7" xpath="/MAKE/PP/PPUpperLegform/Upper_Legform/Minus_3/@Moment_Centre_Value" xmlDataType="decimal"/>
    </xmlCellPr>
  </singleXmlCell>
  <singleXmlCell id="1515" xr6:uid="{C28F2A06-8B88-4298-B853-CCE676CA8D67}" r="O21" connectionId="0">
    <xmlCellPr id="1" xr6:uid="{D38E3701-D182-4EB4-A3A2-B9FA3B8BC67E}" uniqueName="Moment_Lower_Value">
      <xmlPr mapId="7" xpath="/MAKE/PP/PPUpperLegform/Upper_Legform/Minus_3/@Moment_Lower_Value" xmlDataType="decimal"/>
    </xmlCellPr>
  </singleXmlCell>
  <singleXmlCell id="1516" xr6:uid="{345CEE02-8EF9-4579-90A3-8E35AC846ABF}" r="S21" connectionId="0">
    <xmlCellPr id="1" xr6:uid="{D25C64FE-08A4-43BE-B021-0BD5B737D8B3}" uniqueName="Force_Upper_Value">
      <xmlPr mapId="7" xpath="/MAKE/PP/PPUpperLegform/Upper_Legform/Minus_3/@Force_Upper_Value" xmlDataType="decimal"/>
    </xmlCellPr>
  </singleXmlCell>
  <singleXmlCell id="1517" xr6:uid="{B85570C7-B095-47F9-9E43-5C24AB8F3FC4}" r="U21" connectionId="0">
    <xmlCellPr id="1" xr6:uid="{EC052CFB-0140-443A-9B16-23296346EFE9}" uniqueName="Force_Lower_Value">
      <xmlPr mapId="7" xpath="/MAKE/PP/PPUpperLegform/Upper_Legform/Minus_3/@Force_Lower_Value" xmlDataType="decimal"/>
    </xmlCellPr>
  </singleXmlCell>
  <singleXmlCell id="1518" xr6:uid="{12056DE6-3377-4512-B02F-4A5B9D8EF4EE}" r="W21" connectionId="0">
    <xmlCellPr id="1" xr6:uid="{09EBDC6F-B8C7-4475-93A9-DDB7D6100EEB}" uniqueName="Force_Sum_Value">
      <xmlPr mapId="7" xpath="/MAKE/PP/PPUpperLegform/Upper_Legform/Minus_3/@Force_Sum_Value" xmlDataType="decimal"/>
    </xmlCellPr>
  </singleXmlCell>
  <singleXmlCell id="1519" xr6:uid="{2AD69E88-74D7-4157-A3E9-61ECDCD3899E}" r="Y21" connectionId="0">
    <xmlCellPr id="1" xr6:uid="{4C088930-2088-4920-859D-417B4AF44D47}" uniqueName="Force_Sum_Points">
      <xmlPr mapId="7" xpath="/MAKE/PP/PPUpperLegform/Upper_Legform/Minus_3/@Force_Sum_Points" xmlDataType="decimal"/>
    </xmlCellPr>
  </singleXmlCell>
  <singleXmlCell id="1520" xr6:uid="{72A3BA14-A5F3-4020-9290-86D866B83FCF}" r="AA21" connectionId="0">
    <xmlCellPr id="1" xr6:uid="{3A892109-BE6C-46DB-8152-341B57BEBDAF}" uniqueName="Total_Points">
      <xmlPr mapId="7" xpath="/MAKE/PP/PPUpperLegform/Upper_Legform/Minus_3/@Total_Points" xmlDataType="decimal"/>
    </xmlCellPr>
  </singleXmlCell>
  <singleXmlCell id="1522" xr6:uid="{E8EBE972-63C8-4251-9F8A-23A69890E250}" r="D22" connectionId="0">
    <xmlCellPr id="1" xr6:uid="{D8DAC94B-6EBC-4014-B85B-3E4F86BAC342}" uniqueName="Description">
      <xmlPr mapId="7" xpath="/MAKE/PP/PPUpperLegform/Upper_Legform/Minus_4/@Description" xmlDataType="string"/>
    </xmlCellPr>
  </singleXmlCell>
  <singleXmlCell id="1523" xr6:uid="{C623DD35-B531-42B7-A182-87F76A86C070}" r="E22" connectionId="0">
    <xmlCellPr id="1" xr6:uid="{29693AA6-817E-4DD5-B847-322813DEF74D}" uniqueName="Energy">
      <xmlPr mapId="7" xpath="/MAKE/PP/PPUpperLegform/Upper_Legform/Minus_4/@Energy" xmlDataType="decimal"/>
    </xmlCellPr>
  </singleXmlCell>
  <singleXmlCell id="1524" xr6:uid="{7708291D-CA31-482D-B331-1CBCC848F86C}" r="G22" connectionId="0">
    <xmlCellPr id="1" xr6:uid="{1D66B26F-B941-45AD-BE83-55C70FB76AD2}" uniqueName="Moment_Upper_Value">
      <xmlPr mapId="7" xpath="/MAKE/PP/PPUpperLegform/Upper_Legform/Minus_4/@Moment_Upper_Value" xmlDataType="decimal"/>
    </xmlCellPr>
  </singleXmlCell>
  <singleXmlCell id="1525" xr6:uid="{75CF9900-78A3-4F25-ADCE-3B5AF43CEA78}" r="K22" connectionId="0">
    <xmlCellPr id="1" xr6:uid="{37908A89-8017-41D5-85AE-0635DF884A40}" uniqueName="Moment_Centre_Value">
      <xmlPr mapId="7" xpath="/MAKE/PP/PPUpperLegform/Upper_Legform/Minus_4/@Moment_Centre_Value" xmlDataType="decimal"/>
    </xmlCellPr>
  </singleXmlCell>
  <singleXmlCell id="1526" xr6:uid="{7D74E7DB-B3B6-4BD1-991C-25B694FEBF76}" r="O22" connectionId="0">
    <xmlCellPr id="1" xr6:uid="{5DE5C1D9-9323-4C3D-A5B4-A9C0DE541973}" uniqueName="Moment_Lower_Value">
      <xmlPr mapId="7" xpath="/MAKE/PP/PPUpperLegform/Upper_Legform/Minus_4/@Moment_Lower_Value" xmlDataType="decimal"/>
    </xmlCellPr>
  </singleXmlCell>
  <singleXmlCell id="1527" xr6:uid="{6810CC99-2EAA-4D53-9F36-8D91B43865B4}" r="S22" connectionId="0">
    <xmlCellPr id="1" xr6:uid="{28993E62-6B91-4B25-B055-0FD8575A4A2B}" uniqueName="Force_Upper_Value">
      <xmlPr mapId="7" xpath="/MAKE/PP/PPUpperLegform/Upper_Legform/Minus_4/@Force_Upper_Value" xmlDataType="decimal"/>
    </xmlCellPr>
  </singleXmlCell>
  <singleXmlCell id="1528" xr6:uid="{FD5DFB2D-91E9-4845-A19B-D9D3C8C027A0}" r="U22" connectionId="0">
    <xmlCellPr id="1" xr6:uid="{06094173-BBFB-43A2-BAD0-8C8F99E4E6AC}" uniqueName="Force_Lower_Value">
      <xmlPr mapId="7" xpath="/MAKE/PP/PPUpperLegform/Upper_Legform/Minus_4/@Force_Lower_Value" xmlDataType="decimal"/>
    </xmlCellPr>
  </singleXmlCell>
  <singleXmlCell id="1529" xr6:uid="{9D6D27A9-C0B9-4D3E-994F-F872456202B0}" r="W22" connectionId="0">
    <xmlCellPr id="1" xr6:uid="{8B34E6AD-E76B-4D9A-88C2-E1A968CE7F23}" uniqueName="Force_Sum_Value">
      <xmlPr mapId="7" xpath="/MAKE/PP/PPUpperLegform/Upper_Legform/Minus_4/@Force_Sum_Value" xmlDataType="decimal"/>
    </xmlCellPr>
  </singleXmlCell>
  <singleXmlCell id="1530" xr6:uid="{6FCD63D9-1AFC-4316-B8ED-B4992657D1F4}" r="Y22" connectionId="0">
    <xmlCellPr id="1" xr6:uid="{A236253A-D773-4E76-80AC-FF7DB43EA524}" uniqueName="Force_Sum_Points">
      <xmlPr mapId="7" xpath="/MAKE/PP/PPUpperLegform/Upper_Legform/Minus_4/@Force_Sum_Points" xmlDataType="decimal"/>
    </xmlCellPr>
  </singleXmlCell>
  <singleXmlCell id="1531" xr6:uid="{6D37A3AA-D93B-4FA9-BEF9-E6D9C0E3B27D}" r="AA22" connectionId="0">
    <xmlCellPr id="1" xr6:uid="{DEA077E7-9CD6-407A-9441-147B13941DDF}" uniqueName="Total_Points">
      <xmlPr mapId="7" xpath="/MAKE/PP/PPUpperLegform/Upper_Legform/Minus_4/@Total_Points" xmlDataType="decimal"/>
    </xmlCellPr>
  </singleXmlCell>
  <singleXmlCell id="1533" xr6:uid="{E1F6A69B-1A99-43E9-AD92-F154A458E790}" r="D23" connectionId="0">
    <xmlCellPr id="1" xr6:uid="{B9D8988A-5066-4155-90F0-7B33D4FFB9EB}" uniqueName="Description">
      <xmlPr mapId="7" xpath="/MAKE/PP/PPUpperLegform/Upper_Legform/Minus_5/@Description" xmlDataType="string"/>
    </xmlCellPr>
  </singleXmlCell>
  <singleXmlCell id="1534" xr6:uid="{9E06F2C8-AC1D-43DE-967B-F3719F6422F9}" r="E23" connectionId="0">
    <xmlCellPr id="1" xr6:uid="{791629B5-01C1-408B-96AB-48C6A6ECC982}" uniqueName="Energy">
      <xmlPr mapId="7" xpath="/MAKE/PP/PPUpperLegform/Upper_Legform/Minus_5/@Energy" xmlDataType="decimal"/>
    </xmlCellPr>
  </singleXmlCell>
  <singleXmlCell id="1535" xr6:uid="{ADEA3AE5-5D29-4CB3-8659-060DC333E672}" r="G23" connectionId="0">
    <xmlCellPr id="1" xr6:uid="{C4B5DBEB-E8D6-450F-951D-A4366311513B}" uniqueName="Moment_Upper_Value">
      <xmlPr mapId="7" xpath="/MAKE/PP/PPUpperLegform/Upper_Legform/Minus_5/@Moment_Upper_Value" xmlDataType="decimal"/>
    </xmlCellPr>
  </singleXmlCell>
  <singleXmlCell id="1536" xr6:uid="{9E6AEC4E-C23C-44D8-BC5A-6706AAB53B4D}" r="K23" connectionId="0">
    <xmlCellPr id="1" xr6:uid="{CF9A4ED8-66BE-4D39-BC04-7F13ACC0D089}" uniqueName="Moment_Centre_Value">
      <xmlPr mapId="7" xpath="/MAKE/PP/PPUpperLegform/Upper_Legform/Minus_5/@Moment_Centre_Value" xmlDataType="decimal"/>
    </xmlCellPr>
  </singleXmlCell>
  <singleXmlCell id="1537" xr6:uid="{E1D59B29-D6A7-40CE-BF47-1956468154C7}" r="O23" connectionId="0">
    <xmlCellPr id="1" xr6:uid="{649729B8-C878-4042-A8CA-90F3B3559BCF}" uniqueName="Moment_Lower_Value">
      <xmlPr mapId="7" xpath="/MAKE/PP/PPUpperLegform/Upper_Legform/Minus_5/@Moment_Lower_Value" xmlDataType="decimal"/>
    </xmlCellPr>
  </singleXmlCell>
  <singleXmlCell id="1538" xr6:uid="{18E0390B-1DD1-4375-9FE7-92D26D5E50A9}" r="S23" connectionId="0">
    <xmlCellPr id="1" xr6:uid="{DD8D120F-3E20-489A-BD5D-A710966D1887}" uniqueName="Force_Upper_Value">
      <xmlPr mapId="7" xpath="/MAKE/PP/PPUpperLegform/Upper_Legform/Minus_5/@Force_Upper_Value" xmlDataType="decimal"/>
    </xmlCellPr>
  </singleXmlCell>
  <singleXmlCell id="1539" xr6:uid="{F0214429-7B56-4A40-BC7F-5877FDEEB428}" r="U23" connectionId="0">
    <xmlCellPr id="1" xr6:uid="{FCC2C947-325A-49D3-BDFD-9E92D1B055F6}" uniqueName="Force_Lower_Value">
      <xmlPr mapId="7" xpath="/MAKE/PP/PPUpperLegform/Upper_Legform/Minus_5/@Force_Lower_Value" xmlDataType="decimal"/>
    </xmlCellPr>
  </singleXmlCell>
  <singleXmlCell id="1540" xr6:uid="{24DA2F51-13C7-44B4-A6F9-0E571D9E43FC}" r="W23" connectionId="0">
    <xmlCellPr id="1" xr6:uid="{0C5F0C20-0E55-4A8F-8B57-A0650BB15221}" uniqueName="Force_Sum_Value">
      <xmlPr mapId="7" xpath="/MAKE/PP/PPUpperLegform/Upper_Legform/Minus_5/@Force_Sum_Value" xmlDataType="decimal"/>
    </xmlCellPr>
  </singleXmlCell>
  <singleXmlCell id="1541" xr6:uid="{95DD88B1-67C1-48D9-BF8A-FA7E842502EC}" r="Y23" connectionId="0">
    <xmlCellPr id="1" xr6:uid="{2C78AFE3-DFB3-4F48-BE87-CAF8EF890F31}" uniqueName="Force_Sum_Points">
      <xmlPr mapId="7" xpath="/MAKE/PP/PPUpperLegform/Upper_Legform/Minus_5/@Force_Sum_Points" xmlDataType="decimal"/>
    </xmlCellPr>
  </singleXmlCell>
  <singleXmlCell id="1542" xr6:uid="{405661A4-4184-4279-8370-1B53A211AA9E}" r="AA23" connectionId="0">
    <xmlCellPr id="1" xr6:uid="{BF539DD5-ECEE-4DAB-9F41-733012C76745}" uniqueName="Total_Points">
      <xmlPr mapId="7" xpath="/MAKE/PP/PPUpperLegform/Upper_Legform/Minus_5/@Total_Points" xmlDataType="decimal"/>
    </xmlCellPr>
  </singleXmlCell>
  <singleXmlCell id="1544" xr6:uid="{00365B9B-9D9B-4CEF-A05F-D00E4F0214BC}" r="D24" connectionId="0">
    <xmlCellPr id="1" xr6:uid="{2CF7C6FB-70F0-460E-B3EC-3F8DE63A5CD0}" uniqueName="Description">
      <xmlPr mapId="7" xpath="/MAKE/PP/PPUpperLegform/Upper_Legform/Minus_6/@Description" xmlDataType="string"/>
    </xmlCellPr>
  </singleXmlCell>
  <singleXmlCell id="1545" xr6:uid="{FCA897A8-598E-4E95-BC18-2304AD8FADEE}" r="E24" connectionId="0">
    <xmlCellPr id="1" xr6:uid="{6774A3EC-9D9B-4BFD-B868-C10E34B1086F}" uniqueName="Energy">
      <xmlPr mapId="7" xpath="/MAKE/PP/PPUpperLegform/Upper_Legform/Minus_6/@Energy" xmlDataType="decimal"/>
    </xmlCellPr>
  </singleXmlCell>
  <singleXmlCell id="1546" xr6:uid="{C0EB8E00-624D-49CA-91ED-F5F6819F2887}" r="G24" connectionId="0">
    <xmlCellPr id="1" xr6:uid="{3079A6BB-F8F1-4DC3-81C4-C83406C59684}" uniqueName="Moment_Upper_Value">
      <xmlPr mapId="7" xpath="/MAKE/PP/PPUpperLegform/Upper_Legform/Minus_6/@Moment_Upper_Value" xmlDataType="decimal"/>
    </xmlCellPr>
  </singleXmlCell>
  <singleXmlCell id="1547" xr6:uid="{1D7F21D0-2A5D-483F-884E-8F38F50B9264}" r="K24" connectionId="0">
    <xmlCellPr id="1" xr6:uid="{DEA8B6C7-2B6F-4F4F-B11D-870ED4B903A0}" uniqueName="Moment_Centre_Value">
      <xmlPr mapId="7" xpath="/MAKE/PP/PPUpperLegform/Upper_Legform/Minus_6/@Moment_Centre_Value" xmlDataType="decimal"/>
    </xmlCellPr>
  </singleXmlCell>
  <singleXmlCell id="1548" xr6:uid="{79F8F025-CD2A-4368-859B-9B672D1F24F0}" r="O24" connectionId="0">
    <xmlCellPr id="1" xr6:uid="{237E4EDF-61FD-4E91-AEA2-012E950CFCCE}" uniqueName="Moment_Lower_Value">
      <xmlPr mapId="7" xpath="/MAKE/PP/PPUpperLegform/Upper_Legform/Minus_6/@Moment_Lower_Value" xmlDataType="decimal"/>
    </xmlCellPr>
  </singleXmlCell>
  <singleXmlCell id="1549" xr6:uid="{FDED6299-40F8-4617-AF41-A5987FCE6EAE}" r="S24" connectionId="0">
    <xmlCellPr id="1" xr6:uid="{A9D36182-383E-44D7-88AD-1D85700CDAC0}" uniqueName="Force_Upper_Value">
      <xmlPr mapId="7" xpath="/MAKE/PP/PPUpperLegform/Upper_Legform/Minus_6/@Force_Upper_Value" xmlDataType="decimal"/>
    </xmlCellPr>
  </singleXmlCell>
  <singleXmlCell id="1550" xr6:uid="{DB3860A9-5997-486D-9A92-A2247661995B}" r="U24" connectionId="0">
    <xmlCellPr id="1" xr6:uid="{00D03F6A-ACA9-43C2-A0D3-09D525490E5D}" uniqueName="Force_Lower_Value">
      <xmlPr mapId="7" xpath="/MAKE/PP/PPUpperLegform/Upper_Legform/Minus_6/@Force_Lower_Value" xmlDataType="decimal"/>
    </xmlCellPr>
  </singleXmlCell>
  <singleXmlCell id="1551" xr6:uid="{7A99ADA7-D08A-4599-AD1E-677228C492AE}" r="W24" connectionId="0">
    <xmlCellPr id="1" xr6:uid="{DD311331-7806-4E69-B211-FBD7CA731D85}" uniqueName="Force_Sum_Value">
      <xmlPr mapId="7" xpath="/MAKE/PP/PPUpperLegform/Upper_Legform/Minus_6/@Force_Sum_Value" xmlDataType="decimal"/>
    </xmlCellPr>
  </singleXmlCell>
  <singleXmlCell id="1552" xr6:uid="{197FE347-E959-473B-972B-CA9741A22570}" r="Y24" connectionId="0">
    <xmlCellPr id="1" xr6:uid="{130E97BC-FA9B-40C4-A7CE-CD8085C5031C}" uniqueName="Force_Sum_Points">
      <xmlPr mapId="7" xpath="/MAKE/PP/PPUpperLegform/Upper_Legform/Minus_6/@Force_Sum_Points" xmlDataType="decimal"/>
    </xmlCellPr>
  </singleXmlCell>
  <singleXmlCell id="1553" xr6:uid="{22EF78A4-A43E-4F5F-80AC-BD2D5F50A5D6}" r="AA24" connectionId="0">
    <xmlCellPr id="1" xr6:uid="{186BFCF9-BD53-4CDE-945A-28ABFE29DDA2}" uniqueName="Total_Points">
      <xmlPr mapId="7" xpath="/MAKE/PP/PPUpperLegform/Upper_Legform/Minus_6/@Total_Points" xmlDataType="decimal"/>
    </xmlCellPr>
  </singleXmlCell>
  <singleXmlCell id="1555" xr6:uid="{99B24F00-FA61-43C0-984F-1A5684E89D93}" r="D25" connectionId="0">
    <xmlCellPr id="1" xr6:uid="{5F2A9F83-68D5-495B-8B0B-6BF72FDD6809}" uniqueName="Description">
      <xmlPr mapId="7" xpath="/MAKE/PP/PPUpperLegform/Upper_Legform/Minus_7/@Description" xmlDataType="string"/>
    </xmlCellPr>
  </singleXmlCell>
  <singleXmlCell id="1556" xr6:uid="{72C2A6F6-478D-402D-849E-A7E75CBD8086}" r="E25" connectionId="0">
    <xmlCellPr id="1" xr6:uid="{4B389D45-9E88-46DA-9B60-8064678EAA2F}" uniqueName="Energy">
      <xmlPr mapId="7" xpath="/MAKE/PP/PPUpperLegform/Upper_Legform/Minus_7/@Energy" xmlDataType="decimal"/>
    </xmlCellPr>
  </singleXmlCell>
  <singleXmlCell id="1557" xr6:uid="{A1E63E54-54A6-4EC3-B033-68328B265580}" r="G25" connectionId="0">
    <xmlCellPr id="1" xr6:uid="{7B5D94FF-5F4F-4CAB-B692-D74B262FDBE2}" uniqueName="Moment_Upper_Value">
      <xmlPr mapId="7" xpath="/MAKE/PP/PPUpperLegform/Upper_Legform/Minus_7/@Moment_Upper_Value" xmlDataType="decimal"/>
    </xmlCellPr>
  </singleXmlCell>
  <singleXmlCell id="1558" xr6:uid="{7E4205B7-1B65-41E5-A0CA-D8E7B2F18D75}" r="K25" connectionId="0">
    <xmlCellPr id="1" xr6:uid="{FDFE4C2C-078E-4470-9674-D4F990822263}" uniqueName="Moment_Centre_Value">
      <xmlPr mapId="7" xpath="/MAKE/PP/PPUpperLegform/Upper_Legform/Minus_7/@Moment_Centre_Value" xmlDataType="decimal"/>
    </xmlCellPr>
  </singleXmlCell>
  <singleXmlCell id="1559" xr6:uid="{F60D494A-7695-4F6D-8888-C1DB2DB6ACB7}" r="O25" connectionId="0">
    <xmlCellPr id="1" xr6:uid="{9E05A3CC-309C-48CB-8F99-4BAC35784719}" uniqueName="Moment_Lower_Value">
      <xmlPr mapId="7" xpath="/MAKE/PP/PPUpperLegform/Upper_Legform/Minus_7/@Moment_Lower_Value" xmlDataType="decimal"/>
    </xmlCellPr>
  </singleXmlCell>
  <singleXmlCell id="1560" xr6:uid="{E4AF72A2-0977-4A20-ACB8-A2F9F44F3E87}" r="S25" connectionId="0">
    <xmlCellPr id="1" xr6:uid="{D4CF1A44-4351-42C3-B557-8FD26D43533B}" uniqueName="Force_Upper_Value">
      <xmlPr mapId="7" xpath="/MAKE/PP/PPUpperLegform/Upper_Legform/Minus_7/@Force_Upper_Value" xmlDataType="decimal"/>
    </xmlCellPr>
  </singleXmlCell>
  <singleXmlCell id="1561" xr6:uid="{17ED5D77-59A8-4890-9267-ADDC491AE450}" r="U25" connectionId="0">
    <xmlCellPr id="1" xr6:uid="{CCBED6F9-3B5C-4CF9-8479-607E39E78C9D}" uniqueName="Force_Lower_Value">
      <xmlPr mapId="7" xpath="/MAKE/PP/PPUpperLegform/Upper_Legform/Minus_7/@Force_Lower_Value" xmlDataType="decimal"/>
    </xmlCellPr>
  </singleXmlCell>
  <singleXmlCell id="1562" xr6:uid="{3615321E-2ADD-482F-B719-A75D99D4A3F0}" r="W25" connectionId="0">
    <xmlCellPr id="1" xr6:uid="{1DFCFC83-4F27-40F7-A118-FC04C4A3DD02}" uniqueName="Force_Sum_Value">
      <xmlPr mapId="7" xpath="/MAKE/PP/PPUpperLegform/Upper_Legform/Minus_7/@Force_Sum_Value" xmlDataType="decimal"/>
    </xmlCellPr>
  </singleXmlCell>
  <singleXmlCell id="1563" xr6:uid="{B53C9AFC-E362-4603-BAD1-295A7030AE3B}" r="Y25" connectionId="0">
    <xmlCellPr id="1" xr6:uid="{8A19F2D9-9C04-4DCD-B07C-28F2EC3781FC}" uniqueName="Force_Sum_Points">
      <xmlPr mapId="7" xpath="/MAKE/PP/PPUpperLegform/Upper_Legform/Minus_7/@Force_Sum_Points" xmlDataType="decimal"/>
    </xmlCellPr>
  </singleXmlCell>
  <singleXmlCell id="1564" xr6:uid="{016C8946-64F7-49BE-B2F4-141EF131A32F}" r="AA25" connectionId="0">
    <xmlCellPr id="1" xr6:uid="{8D8ECBF3-C8A1-4924-B4F6-2125B6036A14}" uniqueName="Total_Points">
      <xmlPr mapId="7" xpath="/MAKE/PP/PPUpperLegform/Upper_Legform/Minus_7/@Total_Points" xmlDataType="decimal"/>
    </xmlCellPr>
  </singleXmlCell>
  <singleXmlCell id="1566" xr6:uid="{1579A463-3A23-45B3-8AAD-F116AA40E78E}" r="D26" connectionId="0">
    <xmlCellPr id="1" xr6:uid="{FE11B621-D468-48CD-ACC8-DDE9DB5AE1A9}" uniqueName="Description">
      <xmlPr mapId="7" xpath="/MAKE/PP/PPUpperLegform/Upper_Legform/Minus_8/@Description" xmlDataType="string"/>
    </xmlCellPr>
  </singleXmlCell>
  <singleXmlCell id="1567" xr6:uid="{77CB975E-C41A-499F-B366-E867762BE75A}" r="E26" connectionId="0">
    <xmlCellPr id="1" xr6:uid="{03BA205E-D478-4BE5-A41C-00D1E2C08F8A}" uniqueName="Energy">
      <xmlPr mapId="7" xpath="/MAKE/PP/PPUpperLegform/Upper_Legform/Minus_8/@Energy" xmlDataType="decimal"/>
    </xmlCellPr>
  </singleXmlCell>
  <singleXmlCell id="1568" xr6:uid="{2D4AFF78-8BD7-43B2-A27C-57C89555C37A}" r="G26" connectionId="0">
    <xmlCellPr id="1" xr6:uid="{D68FF446-E1F8-460E-A5CE-E0E46A440AE2}" uniqueName="Moment_Upper_Value">
      <xmlPr mapId="7" xpath="/MAKE/PP/PPUpperLegform/Upper_Legform/Minus_8/@Moment_Upper_Value" xmlDataType="decimal"/>
    </xmlCellPr>
  </singleXmlCell>
  <singleXmlCell id="1569" xr6:uid="{96DEF71C-3FE2-4640-9414-7A1AF966BAF2}" r="K26" connectionId="0">
    <xmlCellPr id="1" xr6:uid="{845A3A34-9A94-4DEB-AC2C-B07F49C453CD}" uniqueName="Moment_Centre_Value">
      <xmlPr mapId="7" xpath="/MAKE/PP/PPUpperLegform/Upper_Legform/Minus_8/@Moment_Centre_Value" xmlDataType="decimal"/>
    </xmlCellPr>
  </singleXmlCell>
  <singleXmlCell id="1570" xr6:uid="{D2E6C6D8-8B9A-45EE-A25B-E4E1C54506EC}" r="O26" connectionId="0">
    <xmlCellPr id="1" xr6:uid="{5CD7D688-0FD6-4C40-B40C-F8B5A286D144}" uniqueName="Moment_Lower_Value">
      <xmlPr mapId="7" xpath="/MAKE/PP/PPUpperLegform/Upper_Legform/Minus_8/@Moment_Lower_Value" xmlDataType="decimal"/>
    </xmlCellPr>
  </singleXmlCell>
  <singleXmlCell id="1571" xr6:uid="{231E5DF0-2D0A-4DC9-A25B-1AF71EF26508}" r="S26" connectionId="0">
    <xmlCellPr id="1" xr6:uid="{2570C387-3870-4D29-B4F0-DC6C6EBC4004}" uniqueName="Force_Upper_Value">
      <xmlPr mapId="7" xpath="/MAKE/PP/PPUpperLegform/Upper_Legform/Minus_8/@Force_Upper_Value" xmlDataType="decimal"/>
    </xmlCellPr>
  </singleXmlCell>
  <singleXmlCell id="1572" xr6:uid="{C7669B22-881B-4D69-AF3C-FBCCC21E6DE7}" r="U26" connectionId="0">
    <xmlCellPr id="1" xr6:uid="{8513797A-6C90-47F3-9EA6-1A5F1BA50E7F}" uniqueName="Force_Lower_Value">
      <xmlPr mapId="7" xpath="/MAKE/PP/PPUpperLegform/Upper_Legform/Minus_8/@Force_Lower_Value" xmlDataType="decimal"/>
    </xmlCellPr>
  </singleXmlCell>
  <singleXmlCell id="1573" xr6:uid="{3CE5A79A-43A0-4F7F-AAE7-DB41988DA46D}" r="W26" connectionId="0">
    <xmlCellPr id="1" xr6:uid="{6603F561-EFFB-4EB4-935A-5D65A23417D1}" uniqueName="Force_Sum_Value">
      <xmlPr mapId="7" xpath="/MAKE/PP/PPUpperLegform/Upper_Legform/Minus_8/@Force_Sum_Value" xmlDataType="decimal"/>
    </xmlCellPr>
  </singleXmlCell>
  <singleXmlCell id="1574" xr6:uid="{CE3209BF-464A-4C83-A196-1F8EE8EF8215}" r="Y26" connectionId="0">
    <xmlCellPr id="1" xr6:uid="{075F9326-3994-4E43-B157-1AAE8F83D40A}" uniqueName="Force_Sum_Points">
      <xmlPr mapId="7" xpath="/MAKE/PP/PPUpperLegform/Upper_Legform/Minus_8/@Force_Sum_Points" xmlDataType="decimal"/>
    </xmlCellPr>
  </singleXmlCell>
  <singleXmlCell id="1575" xr6:uid="{07249010-4390-4908-805E-48506DF0E086}" r="AA26" connectionId="0">
    <xmlCellPr id="1" xr6:uid="{E744EACC-2D05-4A93-A2C0-3D31655261CC}" uniqueName="Total_Points">
      <xmlPr mapId="7" xpath="/MAKE/PP/PPUpperLegform/Upper_Legform/Minus_8/@Total_Points" xmlDataType="decimal"/>
    </xmlCellPr>
  </singleXmlCell>
  <singleXmlCell id="1577" xr6:uid="{C3788E11-4A3E-45CD-8734-6B1EDBCA22A2}" r="D27" connectionId="0">
    <xmlCellPr id="1" xr6:uid="{E1539357-4473-4EEB-9DD5-1610C010801B}" uniqueName="Description">
      <xmlPr mapId="7" xpath="/MAKE/PP/PPUpperLegform/Upper_Legform/Minus_9/@Description" xmlDataType="string"/>
    </xmlCellPr>
  </singleXmlCell>
  <singleXmlCell id="1578" xr6:uid="{8EF849FA-F0EE-49C3-92D7-BC5B4B2E7C5A}" r="E27" connectionId="0">
    <xmlCellPr id="1" xr6:uid="{338B0209-CFA3-48FF-B5D9-22D192764177}" uniqueName="Energy">
      <xmlPr mapId="7" xpath="/MAKE/PP/PPUpperLegform/Upper_Legform/Minus_9/@Energy" xmlDataType="decimal"/>
    </xmlCellPr>
  </singleXmlCell>
  <singleXmlCell id="1579" xr6:uid="{FC454365-E410-46AF-AA33-728A7D3EACBB}" r="G27" connectionId="0">
    <xmlCellPr id="1" xr6:uid="{217CA575-8FAE-4D7F-A610-925679169943}" uniqueName="Moment_Upper_Value">
      <xmlPr mapId="7" xpath="/MAKE/PP/PPUpperLegform/Upper_Legform/Minus_9/@Moment_Upper_Value" xmlDataType="decimal"/>
    </xmlCellPr>
  </singleXmlCell>
  <singleXmlCell id="1580" xr6:uid="{4464E14D-C85B-44FF-BC87-A68054ABABA7}" r="K27" connectionId="0">
    <xmlCellPr id="1" xr6:uid="{0275A27B-BEC3-4763-BB2A-3DDE7B477C88}" uniqueName="Moment_Centre_Value">
      <xmlPr mapId="7" xpath="/MAKE/PP/PPUpperLegform/Upper_Legform/Minus_9/@Moment_Centre_Value" xmlDataType="decimal"/>
    </xmlCellPr>
  </singleXmlCell>
  <singleXmlCell id="1581" xr6:uid="{43C51E42-F54C-4D77-B810-C2F2E93FC4EF}" r="O27" connectionId="0">
    <xmlCellPr id="1" xr6:uid="{51217141-497F-40AB-B8F8-5BFDD6751591}" uniqueName="Moment_Lower_Value">
      <xmlPr mapId="7" xpath="/MAKE/PP/PPUpperLegform/Upper_Legform/Minus_9/@Moment_Lower_Value" xmlDataType="decimal"/>
    </xmlCellPr>
  </singleXmlCell>
  <singleXmlCell id="1582" xr6:uid="{25FFDC99-FAF9-4F42-94D7-37B10C2833D1}" r="S27" connectionId="0">
    <xmlCellPr id="1" xr6:uid="{6A74EC01-393D-4062-9B1F-9F7AE9704EA6}" uniqueName="Force_Upper_Value">
      <xmlPr mapId="7" xpath="/MAKE/PP/PPUpperLegform/Upper_Legform/Minus_9/@Force_Upper_Value" xmlDataType="decimal"/>
    </xmlCellPr>
  </singleXmlCell>
  <singleXmlCell id="1583" xr6:uid="{717ADC97-7B1F-4C0D-8168-71A50192A3FD}" r="U27" connectionId="0">
    <xmlCellPr id="1" xr6:uid="{473AB3E0-365E-419F-AFE1-2E8E787D2B17}" uniqueName="Force_Lower_Value">
      <xmlPr mapId="7" xpath="/MAKE/PP/PPUpperLegform/Upper_Legform/Minus_9/@Force_Lower_Value" xmlDataType="decimal"/>
    </xmlCellPr>
  </singleXmlCell>
  <singleXmlCell id="1584" xr6:uid="{6BE6213D-9274-493F-ABFA-93553D8BFCD8}" r="W27" connectionId="0">
    <xmlCellPr id="1" xr6:uid="{652D3878-CC47-4279-A310-5B00D0B4E638}" uniqueName="Force_Sum_Value">
      <xmlPr mapId="7" xpath="/MAKE/PP/PPUpperLegform/Upper_Legform/Minus_9/@Force_Sum_Value" xmlDataType="decimal"/>
    </xmlCellPr>
  </singleXmlCell>
  <singleXmlCell id="1585" xr6:uid="{2F9C5945-01F5-49EB-A931-DF7AF8F3F095}" r="Y27" connectionId="0">
    <xmlCellPr id="1" xr6:uid="{E16528B9-C449-4973-9098-96135AE0645D}" uniqueName="Force_Sum_Points">
      <xmlPr mapId="7" xpath="/MAKE/PP/PPUpperLegform/Upper_Legform/Minus_9/@Force_Sum_Points" xmlDataType="decimal"/>
    </xmlCellPr>
  </singleXmlCell>
  <singleXmlCell id="1586" xr6:uid="{14B4AE0B-565D-4863-9C18-57C81313DF6F}" r="AA27" connectionId="0">
    <xmlCellPr id="1" xr6:uid="{2231E420-AB14-46FF-92BA-4FACF66B74B6}" uniqueName="Total_Points">
      <xmlPr mapId="7" xpath="/MAKE/PP/PPUpperLegform/Upper_Legform/Minus_9/@Total_Points" xmlDataType="decimal"/>
    </xmlCellPr>
  </singleXmlCell>
  <singleXmlCell id="1588" xr6:uid="{F35C9F67-2439-40B8-BD90-7F3633249136}" r="D28" connectionId="0">
    <xmlCellPr id="1" xr6:uid="{5F8EB661-152E-4AB8-A906-28C9F8210F14}" uniqueName="Description">
      <xmlPr mapId="7" xpath="/MAKE/PP/PPUpperLegform/Upper_Legform/Minus_10/@Description" xmlDataType="string"/>
    </xmlCellPr>
  </singleXmlCell>
  <singleXmlCell id="1589" xr6:uid="{93D2D7F6-23BF-47EF-81FE-CE8D28484F10}" r="E28" connectionId="0">
    <xmlCellPr id="1" xr6:uid="{F0BB51C5-3806-45AF-8451-C9EE1A121C70}" uniqueName="Energy">
      <xmlPr mapId="7" xpath="/MAKE/PP/PPUpperLegform/Upper_Legform/Minus_10/@Energy" xmlDataType="decimal"/>
    </xmlCellPr>
  </singleXmlCell>
  <singleXmlCell id="1590" xr6:uid="{A09336B0-1412-4D73-AF6C-A6970287F8F4}" r="G28" connectionId="0">
    <xmlCellPr id="1" xr6:uid="{CEEF5818-BA1F-44E6-A5D7-0FF9DE6F1401}" uniqueName="Moment_Upper_Value">
      <xmlPr mapId="7" xpath="/MAKE/PP/PPUpperLegform/Upper_Legform/Minus_10/@Moment_Upper_Value" xmlDataType="decimal"/>
    </xmlCellPr>
  </singleXmlCell>
  <singleXmlCell id="1591" xr6:uid="{7C764E0E-7DF0-4637-89F1-71C7E4D598B5}" r="K28" connectionId="0">
    <xmlCellPr id="1" xr6:uid="{39EC6AAB-8AFB-468A-8CDA-4E28714A3C6E}" uniqueName="Moment_Centre_Value">
      <xmlPr mapId="7" xpath="/MAKE/PP/PPUpperLegform/Upper_Legform/Minus_10/@Moment_Centre_Value" xmlDataType="decimal"/>
    </xmlCellPr>
  </singleXmlCell>
  <singleXmlCell id="1592" xr6:uid="{A285E792-DF2B-4A9E-ACFC-DF3ED6C299CD}" r="O28" connectionId="0">
    <xmlCellPr id="1" xr6:uid="{EB9B790E-C15F-4D94-9B05-D36E4588F905}" uniqueName="Moment_Lower_Value">
      <xmlPr mapId="7" xpath="/MAKE/PP/PPUpperLegform/Upper_Legform/Minus_10/@Moment_Lower_Value" xmlDataType="decimal"/>
    </xmlCellPr>
  </singleXmlCell>
  <singleXmlCell id="1593" xr6:uid="{D6F3361C-143B-4013-A386-B84E13D67E54}" r="S28" connectionId="0">
    <xmlCellPr id="1" xr6:uid="{0D46B55E-1240-46D0-80A2-757DA09B9492}" uniqueName="Force_Upper_Value">
      <xmlPr mapId="7" xpath="/MAKE/PP/PPUpperLegform/Upper_Legform/Minus_10/@Force_Upper_Value" xmlDataType="decimal"/>
    </xmlCellPr>
  </singleXmlCell>
  <singleXmlCell id="1594" xr6:uid="{909EAED4-C1D9-4F8B-9881-F547E7D8B7E3}" r="U28" connectionId="0">
    <xmlCellPr id="1" xr6:uid="{A0A51AB0-EE0D-4171-967D-D442D2BA5D7A}" uniqueName="Force_Lower_Value">
      <xmlPr mapId="7" xpath="/MAKE/PP/PPUpperLegform/Upper_Legform/Minus_10/@Force_Lower_Value" xmlDataType="decimal"/>
    </xmlCellPr>
  </singleXmlCell>
  <singleXmlCell id="1595" xr6:uid="{7A273DBC-50F7-4222-BA0F-6523CFED69D5}" r="W28" connectionId="0">
    <xmlCellPr id="1" xr6:uid="{D5C5C36C-557B-454D-92EE-19ECAAE6A9B2}" uniqueName="Force_Sum_Value">
      <xmlPr mapId="7" xpath="/MAKE/PP/PPUpperLegform/Upper_Legform/Minus_10/@Force_Sum_Value" xmlDataType="decimal"/>
    </xmlCellPr>
  </singleXmlCell>
  <singleXmlCell id="1596" xr6:uid="{02E8D8F9-D6CF-4401-AE5A-A8C2A990B848}" r="Y28" connectionId="0">
    <xmlCellPr id="1" xr6:uid="{83DBBA55-196A-487B-ABFB-3B1195FF5E53}" uniqueName="Force_Sum_Points">
      <xmlPr mapId="7" xpath="/MAKE/PP/PPUpperLegform/Upper_Legform/Minus_10/@Force_Sum_Points" xmlDataType="decimal"/>
    </xmlCellPr>
  </singleXmlCell>
  <singleXmlCell id="1597" xr6:uid="{DE5426BB-2186-4254-B001-739E6358F9F5}" r="AA28" connectionId="0">
    <xmlCellPr id="1" xr6:uid="{1EBFA8B8-3DE4-4DAA-85CE-CB635E353903}" uniqueName="Total_Points">
      <xmlPr mapId="7" xpath="/MAKE/PP/PPUpperLegform/Upper_Legform/Minus_10/@Total_Points" xmlDataType="decimal"/>
    </xmlCellPr>
  </singleXmlCell>
  <singleXmlCell id="5091" xr6:uid="{CF532414-3761-42B8-82AB-D9C747C627E9}" r="G33" connectionId="0">
    <xmlCellPr id="1" xr6:uid="{7963602C-AB07-4C9A-83DF-37D24A797A48}" uniqueName="total">
      <xmlPr mapId="7" xpath="/MAKE/PP/PPUpperLegform/Upper_Legform_assessment/@total" xmlDataType="decimal"/>
    </xmlCellPr>
  </singleXmlCell>
</singleXmlCells>
</file>

<file path=xl/tables/tableSingleCells15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1332" xr6:uid="{B34BBC70-E02A-429E-AFD1-BAD705B63D6A}" r="D8" connectionId="0">
    <xmlCellPr id="1" xr6:uid="{5C6EDB8C-6A49-44B1-A30F-E8EF7A372601}" uniqueName="Description">
      <xmlPr mapId="7" xpath="/MAKE/PP/PPLowerLegform/Lower_Legform/Plus_10/@Description" xmlDataType="string"/>
    </xmlCellPr>
  </singleXmlCell>
  <singleXmlCell id="1397" xr6:uid="{9AA36CD0-2B43-42A5-B98E-C8F94200C1C3}" r="E8" connectionId="0">
    <xmlCellPr id="1" xr6:uid="{418FA6D7-17BB-49DD-A71C-CD39857E754B}" uniqueName="T4">
      <xmlPr mapId="7" xpath="/MAKE/PP/PPLowerLegform/Lower_Legform/Plus_10/@T4" xmlDataType="decimal"/>
    </xmlCellPr>
  </singleXmlCell>
  <singleXmlCell id="1408" xr6:uid="{22423CAF-37EF-4A64-8D60-424AA9A126BA}" r="G8" connectionId="0">
    <xmlCellPr id="1" xr6:uid="{F46E0619-CF5D-444D-8DF1-08F34A40C5AF}" uniqueName="T3">
      <xmlPr mapId="7" xpath="/MAKE/PP/PPLowerLegform/Lower_Legform/Plus_10/@T3" xmlDataType="decimal"/>
    </xmlCellPr>
  </singleXmlCell>
  <singleXmlCell id="1499" xr6:uid="{BFBDC7C2-BE13-4F4C-9B5C-FC206424C1DD}" r="I8" connectionId="0">
    <xmlCellPr id="1" xr6:uid="{1E0BF852-2843-41D7-AD2E-9FCBB9D33AA0}" uniqueName="T2">
      <xmlPr mapId="7" xpath="/MAKE/PP/PPLowerLegform/Lower_Legform/Plus_10/@T2" xmlDataType="decimal"/>
    </xmlCellPr>
  </singleXmlCell>
  <singleXmlCell id="1510" xr6:uid="{7C2A03A3-CE71-4ACE-8E3D-1A40F853B2C7}" r="K8" connectionId="0">
    <xmlCellPr id="1" xr6:uid="{3E976CB5-E516-483C-B346-FD2537D5693C}" uniqueName="T1">
      <xmlPr mapId="7" xpath="/MAKE/PP/PPLowerLegform/Lower_Legform/Plus_10/@T1" xmlDataType="decimal"/>
    </xmlCellPr>
  </singleXmlCell>
  <singleXmlCell id="1521" xr6:uid="{EF04D64E-D8CE-490D-82CE-25472A8D907E}" r="M8" connectionId="0">
    <xmlCellPr id="1" xr6:uid="{E3D223D5-7ED5-404A-9EDE-EFF6A3A50D2E}" uniqueName="Points">
      <xmlPr mapId="7" xpath="/MAKE/PP/PPLowerLegform/Lower_Legform/Plus_10/@Points" xmlDataType="decimal"/>
    </xmlCellPr>
  </singleXmlCell>
  <singleXmlCell id="1532" xr6:uid="{40612B24-5DC8-47DE-952E-ADC730775FE5}" r="O8" connectionId="0">
    <xmlCellPr id="1" xr6:uid="{6202B0F2-28F4-43C7-BF73-A10EE8424615}" uniqueName="ACL">
      <xmlPr mapId="7" xpath="/MAKE/PP/PPLowerLegform/Lower_Legform/Plus_10/@ACL" xmlDataType="decimal"/>
    </xmlCellPr>
  </singleXmlCell>
  <singleXmlCell id="1543" xr6:uid="{BF204F64-022C-4453-91F0-8053D561F918}" r="Q8" connectionId="0">
    <xmlCellPr id="1" xr6:uid="{3E10EE53-62CA-4435-9875-C331FD398892}" uniqueName="PCL">
      <xmlPr mapId="7" xpath="/MAKE/PP/PPLowerLegform/Lower_Legform/Plus_10/@PCL" xmlDataType="decimal"/>
    </xmlCellPr>
  </singleXmlCell>
  <singleXmlCell id="1554" xr6:uid="{3A31D9A8-163A-4CDF-9034-2E8FD9B47724}" r="S8" connectionId="0">
    <xmlCellPr id="1" xr6:uid="{131B4C6F-85E0-41B7-9088-597EB3E6E48A}" uniqueName="MCL_Value">
      <xmlPr mapId="7" xpath="/MAKE/PP/PPLowerLegform/Lower_Legform/Plus_10/@MCL_Value" xmlDataType="decimal"/>
    </xmlCellPr>
  </singleXmlCell>
  <singleXmlCell id="1565" xr6:uid="{347D1371-644E-48A3-AD45-01106E672006}" r="U8" connectionId="0">
    <xmlCellPr id="1" xr6:uid="{1CB0F74E-F929-46B7-83C1-7344D8FD2D4F}" uniqueName="MCL_Points">
      <xmlPr mapId="7" xpath="/MAKE/PP/PPLowerLegform/Lower_Legform/Plus_10/@MCL_Points" xmlDataType="decimal"/>
    </xmlCellPr>
  </singleXmlCell>
  <singleXmlCell id="1576" xr6:uid="{D7FE2936-D1A7-45D3-A49C-B3CD0FC3E8C7}" r="W8" connectionId="0">
    <xmlCellPr id="1" xr6:uid="{CE3765EB-7EA0-43BA-A27C-7FF8B83BC130}" uniqueName="F1">
      <xmlPr mapId="7" xpath="/MAKE/PP/PPLowerLegform/Lower_Legform/Plus_10/@F1" xmlDataType="decimal"/>
    </xmlCellPr>
  </singleXmlCell>
  <singleXmlCell id="1587" xr6:uid="{E9CF5B32-A3A1-40CC-83B3-2F4899080209}" r="Y8" connectionId="0">
    <xmlCellPr id="1" xr6:uid="{1C2429EB-3CEB-4E94-8DC0-C4A171CED5F2}" uniqueName="F2">
      <xmlPr mapId="7" xpath="/MAKE/PP/PPLowerLegform/Lower_Legform/Plus_10/@F2" xmlDataType="decimal"/>
    </xmlCellPr>
  </singleXmlCell>
  <singleXmlCell id="1598" xr6:uid="{5177A0FF-8F9E-48D8-B732-DDDA74332B9E}" r="AA8" connectionId="0">
    <xmlCellPr id="1" xr6:uid="{57D82428-CA82-484A-88E6-2204299927E7}" uniqueName="F3">
      <xmlPr mapId="7" xpath="/MAKE/PP/PPLowerLegform/Lower_Legform/Plus_10/@F3" xmlDataType="decimal"/>
    </xmlCellPr>
  </singleXmlCell>
  <singleXmlCell id="1605" xr6:uid="{EB39223B-7138-4C6B-8D8F-ABB5F3749644}" r="AC8" connectionId="0">
    <xmlCellPr id="1" xr6:uid="{BFBE5740-9A60-4EDB-B2EF-5638917587C2}" uniqueName="Femur_Moment_Points">
      <xmlPr mapId="7" xpath="/MAKE/PP/PPLowerLegform/Lower_Legform/Plus_10/@Femur_Moment_Points" xmlDataType="decimal"/>
    </xmlCellPr>
  </singleXmlCell>
  <singleXmlCell id="1606" xr6:uid="{6AD65C49-217F-4CED-A217-3C6F4F0E1F92}" r="AE8" connectionId="0">
    <xmlCellPr id="1" xr6:uid="{55B250E0-838D-4D1F-A477-30FEE5A29F4A}" uniqueName="Acceleration">
      <xmlPr mapId="7" xpath="/MAKE/PP/PPLowerLegform/Lower_Legform/Plus_10/@Acceleration" xmlDataType="decimal"/>
    </xmlCellPr>
  </singleXmlCell>
  <singleXmlCell id="1607" xr6:uid="{C501853D-8F49-48ED-905D-A7E3E7C372DF}" r="AF8" connectionId="0">
    <xmlCellPr id="1" xr6:uid="{32CE0340-29A9-4D4F-8A6B-A99A6E941BA7}" uniqueName="Total_Tibia_MCL_Points">
      <xmlPr mapId="7" xpath="/MAKE/PP/PPLowerLegform/Lower_Legform/Plus_10/@Total_Tibia_MCL_Points" xmlDataType="decimal"/>
    </xmlCellPr>
  </singleXmlCell>
  <singleXmlCell id="1610" xr6:uid="{CD586D87-F9FF-4F72-9E33-64747C6E9B5E}" r="AG8" connectionId="0">
    <xmlCellPr id="1" xr6:uid="{BF05BE67-AB91-42F6-9861-2CC5E66D3573}" uniqueName="Total_Femur_Points">
      <xmlPr mapId="7" xpath="/MAKE/PP/PPLowerLegform/Lower_Legform/Plus_10/@Total_Femur_Points" xmlDataType="decimal"/>
    </xmlCellPr>
  </singleXmlCell>
  <singleXmlCell id="1628" xr6:uid="{52A78F87-8036-4EF7-9AAA-D9772BCD9E02}" r="D9" connectionId="0">
    <xmlCellPr id="1" xr6:uid="{049CEE59-A36D-4FED-8665-18E55E7E882C}" uniqueName="Description">
      <xmlPr mapId="7" xpath="/MAKE/PP/PPLowerLegform/Lower_Legform/Plus_9/@Description" xmlDataType="string"/>
    </xmlCellPr>
  </singleXmlCell>
  <singleXmlCell id="1629" xr6:uid="{7B166730-95DD-4C58-A8C4-3D7D444972A5}" r="E9" connectionId="0">
    <xmlCellPr id="1" xr6:uid="{A5FCAD33-CBCA-4C97-B520-8FC84734621E}" uniqueName="T4">
      <xmlPr mapId="7" xpath="/MAKE/PP/PPLowerLegform/Lower_Legform/Plus_9/@T4" xmlDataType="decimal"/>
    </xmlCellPr>
  </singleXmlCell>
  <singleXmlCell id="1630" xr6:uid="{5BD5315D-490E-4A50-A63D-6AD2C3DCB6A6}" r="G9" connectionId="0">
    <xmlCellPr id="1" xr6:uid="{BC8FB56E-D6A3-4848-9E49-271F77930CB0}" uniqueName="T3">
      <xmlPr mapId="7" xpath="/MAKE/PP/PPLowerLegform/Lower_Legform/Plus_9/@T3" xmlDataType="decimal"/>
    </xmlCellPr>
  </singleXmlCell>
  <singleXmlCell id="1631" xr6:uid="{A6B5D24F-8E06-4D55-9F7D-CC21DCFE81C4}" r="I9" connectionId="0">
    <xmlCellPr id="1" xr6:uid="{CB6536E0-00C8-4C1F-B135-65F2708CECA4}" uniqueName="T2">
      <xmlPr mapId="7" xpath="/MAKE/PP/PPLowerLegform/Lower_Legform/Plus_9/@T2" xmlDataType="decimal"/>
    </xmlCellPr>
  </singleXmlCell>
  <singleXmlCell id="1632" xr6:uid="{A1A0BE45-7C99-464F-8776-A1F7F0705EDF}" r="K9" connectionId="0">
    <xmlCellPr id="1" xr6:uid="{21430081-1C5B-4210-8054-16E668A3A46B}" uniqueName="T1">
      <xmlPr mapId="7" xpath="/MAKE/PP/PPLowerLegform/Lower_Legform/Plus_9/@T1" xmlDataType="decimal"/>
    </xmlCellPr>
  </singleXmlCell>
  <singleXmlCell id="1633" xr6:uid="{61216511-4AC7-4912-80A0-85EC2F90EF54}" r="M9" connectionId="0">
    <xmlCellPr id="1" xr6:uid="{ECF5CE53-40A0-445E-8CF9-093DC960D00A}" uniqueName="Points">
      <xmlPr mapId="7" xpath="/MAKE/PP/PPLowerLegform/Lower_Legform/Plus_9/@Points" xmlDataType="decimal"/>
    </xmlCellPr>
  </singleXmlCell>
  <singleXmlCell id="1634" xr6:uid="{3CD3C3C0-5B31-4ED0-9E5E-A10223B32E86}" r="O9" connectionId="0">
    <xmlCellPr id="1" xr6:uid="{AB01B769-A6F9-4A18-A4C7-6FF7CD931C53}" uniqueName="ACL">
      <xmlPr mapId="7" xpath="/MAKE/PP/PPLowerLegform/Lower_Legform/Plus_9/@ACL" xmlDataType="decimal"/>
    </xmlCellPr>
  </singleXmlCell>
  <singleXmlCell id="1635" xr6:uid="{0E29ABB9-ABBE-4AAF-A2FC-9AB796CD630A}" r="Q9" connectionId="0">
    <xmlCellPr id="1" xr6:uid="{AE340EF1-D0DA-4C3B-A34C-B10BE4B71C03}" uniqueName="PCL">
      <xmlPr mapId="7" xpath="/MAKE/PP/PPLowerLegform/Lower_Legform/Plus_9/@PCL" xmlDataType="decimal"/>
    </xmlCellPr>
  </singleXmlCell>
  <singleXmlCell id="1636" xr6:uid="{F380131D-77CE-4BF7-AB07-00727BCCB041}" r="S9" connectionId="0">
    <xmlCellPr id="1" xr6:uid="{CC6B6B4D-54FF-4029-9B07-D793684131D7}" uniqueName="MCL_Value">
      <xmlPr mapId="7" xpath="/MAKE/PP/PPLowerLegform/Lower_Legform/Plus_9/@MCL_Value" xmlDataType="decimal"/>
    </xmlCellPr>
  </singleXmlCell>
  <singleXmlCell id="1637" xr6:uid="{56B19038-837D-4871-AD71-12B2419F91D8}" r="U9" connectionId="0">
    <xmlCellPr id="1" xr6:uid="{6C078DFB-99E5-4415-AD13-D979902E760A}" uniqueName="MCL_Points">
      <xmlPr mapId="7" xpath="/MAKE/PP/PPLowerLegform/Lower_Legform/Plus_9/@MCL_Points" xmlDataType="decimal"/>
    </xmlCellPr>
  </singleXmlCell>
  <singleXmlCell id="1638" xr6:uid="{1DA7A6E1-3142-428E-9B60-D370139BF4D4}" r="W9" connectionId="0">
    <xmlCellPr id="1" xr6:uid="{C9656C28-BDDB-4E4C-A3AB-D3A07A5E6743}" uniqueName="F1">
      <xmlPr mapId="7" xpath="/MAKE/PP/PPLowerLegform/Lower_Legform/Plus_9/@F1" xmlDataType="decimal"/>
    </xmlCellPr>
  </singleXmlCell>
  <singleXmlCell id="1639" xr6:uid="{F29A9703-BCA2-497E-8590-D7E74B8C45D2}" r="Y9" connectionId="0">
    <xmlCellPr id="1" xr6:uid="{CAE720EB-C3A5-4022-A464-485818C797A6}" uniqueName="F2">
      <xmlPr mapId="7" xpath="/MAKE/PP/PPLowerLegform/Lower_Legform/Plus_9/@F2" xmlDataType="decimal"/>
    </xmlCellPr>
  </singleXmlCell>
  <singleXmlCell id="1640" xr6:uid="{5958B56A-BF76-4E10-869D-96731368AB3D}" r="AA9" connectionId="0">
    <xmlCellPr id="1" xr6:uid="{6CF1EFF5-2F24-4F86-AB43-7AD410628FB0}" uniqueName="F3">
      <xmlPr mapId="7" xpath="/MAKE/PP/PPLowerLegform/Lower_Legform/Plus_9/@F3" xmlDataType="decimal"/>
    </xmlCellPr>
  </singleXmlCell>
  <singleXmlCell id="1641" xr6:uid="{0F8D906C-33FE-4AE5-AD56-9348EDD57DCA}" r="AC9" connectionId="0">
    <xmlCellPr id="1" xr6:uid="{C6A9F1C3-0611-4CC7-ABB4-0CDEA46CE4CD}" uniqueName="Femur_Moment_Points">
      <xmlPr mapId="7" xpath="/MAKE/PP/PPLowerLegform/Lower_Legform/Plus_9/@Femur_Moment_Points" xmlDataType="decimal"/>
    </xmlCellPr>
  </singleXmlCell>
  <singleXmlCell id="1642" xr6:uid="{B9EA67FE-C824-42D7-9D9B-BFDF9C0DEB3C}" r="AE9" connectionId="0">
    <xmlCellPr id="1" xr6:uid="{DBC8A9AD-0A07-4EC3-BE3C-2E06DD18FB1B}" uniqueName="Acceleration">
      <xmlPr mapId="7" xpath="/MAKE/PP/PPLowerLegform/Lower_Legform/Plus_9/@Acceleration" xmlDataType="decimal"/>
    </xmlCellPr>
  </singleXmlCell>
  <singleXmlCell id="1643" xr6:uid="{4AA40CF1-E667-4FF3-A5FB-491A003B2B90}" r="AF9" connectionId="0">
    <xmlCellPr id="1" xr6:uid="{365F5406-B5DC-4B2F-9BBC-21E7A0F75C04}" uniqueName="Total_Tibia_MCL_Points">
      <xmlPr mapId="7" xpath="/MAKE/PP/PPLowerLegform/Lower_Legform/Plus_9/@Total_Tibia_MCL_Points" xmlDataType="decimal"/>
    </xmlCellPr>
  </singleXmlCell>
  <singleXmlCell id="1644" xr6:uid="{82AE9E1A-CDCC-49AB-B4BF-A8780A4D3646}" r="AG9" connectionId="0">
    <xmlCellPr id="1" xr6:uid="{1DF72A59-1D70-4A15-AA01-97235A9D59B8}" uniqueName="Total_Femur_Points">
      <xmlPr mapId="7" xpath="/MAKE/PP/PPLowerLegform/Lower_Legform/Plus_9/@Total_Femur_Points" xmlDataType="decimal"/>
    </xmlCellPr>
  </singleXmlCell>
  <singleXmlCell id="1647" xr6:uid="{0DDBB0F9-1D00-4880-9409-510CD2C12A45}" r="D10" connectionId="0">
    <xmlCellPr id="1" xr6:uid="{7A8FBF82-3A05-49EF-9171-9897C3E90C8D}" uniqueName="Description">
      <xmlPr mapId="7" xpath="/MAKE/PP/PPLowerLegform/Lower_Legform/Plus_8/@Description" xmlDataType="string"/>
    </xmlCellPr>
  </singleXmlCell>
  <singleXmlCell id="1648" xr6:uid="{8319150C-3A4B-4FC8-AD31-E6E9D47655A2}" r="E10" connectionId="0">
    <xmlCellPr id="1" xr6:uid="{98C17242-5436-4758-A91A-2CCCC19C0113}" uniqueName="T4">
      <xmlPr mapId="7" xpath="/MAKE/PP/PPLowerLegform/Lower_Legform/Plus_8/@T4" xmlDataType="decimal"/>
    </xmlCellPr>
  </singleXmlCell>
  <singleXmlCell id="1649" xr6:uid="{7D23C4F8-24B3-4F6D-B4F6-D14BF0258A8C}" r="G10" connectionId="0">
    <xmlCellPr id="1" xr6:uid="{17A3E6B3-D710-4BD7-BDE6-950307D57C03}" uniqueName="T3">
      <xmlPr mapId="7" xpath="/MAKE/PP/PPLowerLegform/Lower_Legform/Plus_8/@T3" xmlDataType="decimal"/>
    </xmlCellPr>
  </singleXmlCell>
  <singleXmlCell id="1650" xr6:uid="{8EB580C7-5EDF-4888-9B3A-1BCDA0570E1C}" r="I10" connectionId="0">
    <xmlCellPr id="1" xr6:uid="{27C1B288-4DDB-49EE-AF6A-6F331B353F92}" uniqueName="T2">
      <xmlPr mapId="7" xpath="/MAKE/PP/PPLowerLegform/Lower_Legform/Plus_8/@T2" xmlDataType="decimal"/>
    </xmlCellPr>
  </singleXmlCell>
  <singleXmlCell id="1651" xr6:uid="{2459F9A6-5045-45EB-A0FD-6F1C1CBC9E53}" r="K10" connectionId="0">
    <xmlCellPr id="1" xr6:uid="{BF7127A7-4B31-42B7-8271-F84880F5625C}" uniqueName="T1">
      <xmlPr mapId="7" xpath="/MAKE/PP/PPLowerLegform/Lower_Legform/Plus_8/@T1" xmlDataType="decimal"/>
    </xmlCellPr>
  </singleXmlCell>
  <singleXmlCell id="1652" xr6:uid="{A8B69093-F717-4C4D-A0BA-75225E3B573F}" r="M10" connectionId="0">
    <xmlCellPr id="1" xr6:uid="{64593019-2F11-459F-8DF5-0E97D2FE489E}" uniqueName="Points">
      <xmlPr mapId="7" xpath="/MAKE/PP/PPLowerLegform/Lower_Legform/Plus_8/@Points" xmlDataType="decimal"/>
    </xmlCellPr>
  </singleXmlCell>
  <singleXmlCell id="1653" xr6:uid="{5A60FCDA-E278-4E8E-A873-B1400F7E40E1}" r="O10" connectionId="0">
    <xmlCellPr id="1" xr6:uid="{66919733-E52A-4E51-9079-ECDA9F0690C6}" uniqueName="ACL">
      <xmlPr mapId="7" xpath="/MAKE/PP/PPLowerLegform/Lower_Legform/Plus_8/@ACL" xmlDataType="decimal"/>
    </xmlCellPr>
  </singleXmlCell>
  <singleXmlCell id="1654" xr6:uid="{76DC4894-988E-4B91-B755-E3CEB3CA5F43}" r="Q10" connectionId="0">
    <xmlCellPr id="1" xr6:uid="{A287BA24-25D3-4BDB-AC1C-E951D29A8469}" uniqueName="PCL">
      <xmlPr mapId="7" xpath="/MAKE/PP/PPLowerLegform/Lower_Legform/Plus_8/@PCL" xmlDataType="decimal"/>
    </xmlCellPr>
  </singleXmlCell>
  <singleXmlCell id="1655" xr6:uid="{09D822AE-1D98-4580-9C4A-6E77682C5448}" r="S10" connectionId="0">
    <xmlCellPr id="1" xr6:uid="{D1E2B076-8A5C-4F27-8A02-DCF74DC8C352}" uniqueName="MCL_Value">
      <xmlPr mapId="7" xpath="/MAKE/PP/PPLowerLegform/Lower_Legform/Plus_8/@MCL_Value" xmlDataType="decimal"/>
    </xmlCellPr>
  </singleXmlCell>
  <singleXmlCell id="1656" xr6:uid="{FF615600-4960-4A96-973B-46EDD4B24644}" r="U10" connectionId="0">
    <xmlCellPr id="1" xr6:uid="{C32859D0-34F1-49E7-81E8-D96ADF40A870}" uniqueName="MCL_Points">
      <xmlPr mapId="7" xpath="/MAKE/PP/PPLowerLegform/Lower_Legform/Plus_8/@MCL_Points" xmlDataType="decimal"/>
    </xmlCellPr>
  </singleXmlCell>
  <singleXmlCell id="1657" xr6:uid="{8C15D198-5F2E-4389-8CF2-E09B14D734D4}" r="W10" connectionId="0">
    <xmlCellPr id="1" xr6:uid="{91164B9B-F38A-4230-B4FF-7F017EF37222}" uniqueName="F1">
      <xmlPr mapId="7" xpath="/MAKE/PP/PPLowerLegform/Lower_Legform/Plus_8/@F1" xmlDataType="decimal"/>
    </xmlCellPr>
  </singleXmlCell>
  <singleXmlCell id="1658" xr6:uid="{BC904464-0BB0-4AB4-ADC1-85F21A5C609A}" r="Y10" connectionId="0">
    <xmlCellPr id="1" xr6:uid="{98E446C7-D897-4F8C-A8EE-8E2DDCF9346E}" uniqueName="F2">
      <xmlPr mapId="7" xpath="/MAKE/PP/PPLowerLegform/Lower_Legform/Plus_8/@F2" xmlDataType="decimal"/>
    </xmlCellPr>
  </singleXmlCell>
  <singleXmlCell id="1659" xr6:uid="{E8A319D5-0B05-4031-A14C-BC714ED5D9AF}" r="AA10" connectionId="0">
    <xmlCellPr id="1" xr6:uid="{7D19B8E0-5106-4D83-809B-977FDC81A7B3}" uniqueName="F3">
      <xmlPr mapId="7" xpath="/MAKE/PP/PPLowerLegform/Lower_Legform/Plus_8/@F3" xmlDataType="decimal"/>
    </xmlCellPr>
  </singleXmlCell>
  <singleXmlCell id="1660" xr6:uid="{0653CCEA-235B-4F3C-9DF0-E617DC6F2488}" r="AC10" connectionId="0">
    <xmlCellPr id="1" xr6:uid="{E4E6767A-F051-43A6-836D-7C417200BF15}" uniqueName="Femur_Moment_Points">
      <xmlPr mapId="7" xpath="/MAKE/PP/PPLowerLegform/Lower_Legform/Plus_8/@Femur_Moment_Points" xmlDataType="decimal"/>
    </xmlCellPr>
  </singleXmlCell>
  <singleXmlCell id="1661" xr6:uid="{F578DB37-96B6-4FB3-8BB5-B159234C86E6}" r="AE10" connectionId="0">
    <xmlCellPr id="1" xr6:uid="{5EFCDA4C-CA9D-416D-8DCF-91888885C49D}" uniqueName="Acceleration">
      <xmlPr mapId="7" xpath="/MAKE/PP/PPLowerLegform/Lower_Legform/Plus_8/@Acceleration" xmlDataType="decimal"/>
    </xmlCellPr>
  </singleXmlCell>
  <singleXmlCell id="1662" xr6:uid="{B5C12670-C19B-4FAD-9336-4153D1682F7F}" r="AF10" connectionId="0">
    <xmlCellPr id="1" xr6:uid="{B78EB0DC-AC3F-4222-B661-273DCF7D368F}" uniqueName="Total_Tibia_MCL_Points">
      <xmlPr mapId="7" xpath="/MAKE/PP/PPLowerLegform/Lower_Legform/Plus_8/@Total_Tibia_MCL_Points" xmlDataType="decimal"/>
    </xmlCellPr>
  </singleXmlCell>
  <singleXmlCell id="1663" xr6:uid="{887117CE-A526-49C8-B0E7-DE230FF9EC86}" r="AG10" connectionId="0">
    <xmlCellPr id="1" xr6:uid="{3D3ED772-409A-4298-BCB7-6E6517E3AC21}" uniqueName="Total_Femur_Points">
      <xmlPr mapId="7" xpath="/MAKE/PP/PPLowerLegform/Lower_Legform/Plus_8/@Total_Femur_Points" xmlDataType="decimal"/>
    </xmlCellPr>
  </singleXmlCell>
  <singleXmlCell id="1666" xr6:uid="{33CC41F2-3922-47A6-A216-5897A4C6F7BB}" r="D11" connectionId="0">
    <xmlCellPr id="1" xr6:uid="{1A62AB55-D635-4390-ACC8-D7F044BA3737}" uniqueName="Description">
      <xmlPr mapId="7" xpath="/MAKE/PP/PPLowerLegform/Lower_Legform/Plus_7/@Description" xmlDataType="string"/>
    </xmlCellPr>
  </singleXmlCell>
  <singleXmlCell id="1667" xr6:uid="{9810E513-9AB9-474C-8D80-6EAC9F68ACBF}" r="E11" connectionId="0">
    <xmlCellPr id="1" xr6:uid="{5E8E6AFA-87C9-4E17-A835-DA38A0F1503D}" uniqueName="T4">
      <xmlPr mapId="7" xpath="/MAKE/PP/PPLowerLegform/Lower_Legform/Plus_7/@T4" xmlDataType="decimal"/>
    </xmlCellPr>
  </singleXmlCell>
  <singleXmlCell id="1668" xr6:uid="{7BCF669F-1BAB-4C28-ACC4-A3511690D186}" r="G11" connectionId="0">
    <xmlCellPr id="1" xr6:uid="{BAD22ED3-F6D4-48DC-AAAC-7903A16EDBFE}" uniqueName="T3">
      <xmlPr mapId="7" xpath="/MAKE/PP/PPLowerLegform/Lower_Legform/Plus_7/@T3" xmlDataType="decimal"/>
    </xmlCellPr>
  </singleXmlCell>
  <singleXmlCell id="1669" xr6:uid="{52DE6A39-DF8A-4A31-864C-5E82A58710BD}" r="I11" connectionId="0">
    <xmlCellPr id="1" xr6:uid="{33B369D7-467F-4D83-AA0A-8822F36A0F72}" uniqueName="T2">
      <xmlPr mapId="7" xpath="/MAKE/PP/PPLowerLegform/Lower_Legform/Plus_7/@T2" xmlDataType="decimal"/>
    </xmlCellPr>
  </singleXmlCell>
  <singleXmlCell id="1670" xr6:uid="{8A52221A-5175-45FA-A5C9-87B8ABF7E024}" r="K11" connectionId="0">
    <xmlCellPr id="1" xr6:uid="{9DFB61E4-3173-4FE3-85F2-3DD01529CA12}" uniqueName="T1">
      <xmlPr mapId="7" xpath="/MAKE/PP/PPLowerLegform/Lower_Legform/Plus_7/@T1" xmlDataType="decimal"/>
    </xmlCellPr>
  </singleXmlCell>
  <singleXmlCell id="1671" xr6:uid="{0CFCDA9B-A928-48C1-AFD6-36EA9DD308A9}" r="M11" connectionId="0">
    <xmlCellPr id="1" xr6:uid="{B1C82419-444F-49FF-B0E2-BC4D66C54C2E}" uniqueName="Points">
      <xmlPr mapId="7" xpath="/MAKE/PP/PPLowerLegform/Lower_Legform/Plus_7/@Points" xmlDataType="decimal"/>
    </xmlCellPr>
  </singleXmlCell>
  <singleXmlCell id="1672" xr6:uid="{E10CDDDD-D479-4D27-93DE-95FD0FD2E96D}" r="O11" connectionId="0">
    <xmlCellPr id="1" xr6:uid="{7C9B1E5B-B6DA-4ED5-B33F-86B04089F073}" uniqueName="ACL">
      <xmlPr mapId="7" xpath="/MAKE/PP/PPLowerLegform/Lower_Legform/Plus_7/@ACL" xmlDataType="decimal"/>
    </xmlCellPr>
  </singleXmlCell>
  <singleXmlCell id="1673" xr6:uid="{BDB86092-0825-457F-B988-BE4CB3A2913B}" r="Q11" connectionId="0">
    <xmlCellPr id="1" xr6:uid="{E6E0EFB7-5FDF-4B32-9769-DB3AC4F860E4}" uniqueName="PCL">
      <xmlPr mapId="7" xpath="/MAKE/PP/PPLowerLegform/Lower_Legform/Plus_7/@PCL" xmlDataType="decimal"/>
    </xmlCellPr>
  </singleXmlCell>
  <singleXmlCell id="1674" xr6:uid="{346629C5-DB74-404A-87E2-D681F733DEF5}" r="S11" connectionId="0">
    <xmlCellPr id="1" xr6:uid="{2C5FC96A-93F6-4831-9D88-CF7D97AA0253}" uniqueName="MCL_Value">
      <xmlPr mapId="7" xpath="/MAKE/PP/PPLowerLegform/Lower_Legform/Plus_7/@MCL_Value" xmlDataType="decimal"/>
    </xmlCellPr>
  </singleXmlCell>
  <singleXmlCell id="1675" xr6:uid="{01D9A647-8D37-4D5C-BAD2-6A749AFDDC01}" r="U11" connectionId="0">
    <xmlCellPr id="1" xr6:uid="{3F7558ED-C6D8-4BD9-B29A-A5AA2D565D6E}" uniqueName="MCL_Points">
      <xmlPr mapId="7" xpath="/MAKE/PP/PPLowerLegform/Lower_Legform/Plus_7/@MCL_Points" xmlDataType="decimal"/>
    </xmlCellPr>
  </singleXmlCell>
  <singleXmlCell id="1676" xr6:uid="{64D48E38-F93C-4130-8EA3-11B23943BA2B}" r="W11" connectionId="0">
    <xmlCellPr id="1" xr6:uid="{2ADD6795-7415-4119-AE36-76FDFAAB1F89}" uniqueName="F1">
      <xmlPr mapId="7" xpath="/MAKE/PP/PPLowerLegform/Lower_Legform/Plus_7/@F1" xmlDataType="decimal"/>
    </xmlCellPr>
  </singleXmlCell>
  <singleXmlCell id="1677" xr6:uid="{61864368-7F6D-4470-A6C2-760775323528}" r="Y11" connectionId="0">
    <xmlCellPr id="1" xr6:uid="{77882344-7B36-4F6C-9EFF-A3C075F1910E}" uniqueName="F2">
      <xmlPr mapId="7" xpath="/MAKE/PP/PPLowerLegform/Lower_Legform/Plus_7/@F2" xmlDataType="decimal"/>
    </xmlCellPr>
  </singleXmlCell>
  <singleXmlCell id="1678" xr6:uid="{D206ED5A-9223-436A-BFEA-D00562676FCD}" r="AA11" connectionId="0">
    <xmlCellPr id="1" xr6:uid="{DA72D128-C98E-4350-A6C1-95D6A354AF19}" uniqueName="F3">
      <xmlPr mapId="7" xpath="/MAKE/PP/PPLowerLegform/Lower_Legform/Plus_7/@F3" xmlDataType="decimal"/>
    </xmlCellPr>
  </singleXmlCell>
  <singleXmlCell id="1679" xr6:uid="{E1DC4CA5-4BF6-417C-802B-355F028CD1DA}" r="AC11" connectionId="0">
    <xmlCellPr id="1" xr6:uid="{D87D358A-6306-4CC7-81A8-CC674559A58C}" uniqueName="Femur_Moment_Points">
      <xmlPr mapId="7" xpath="/MAKE/PP/PPLowerLegform/Lower_Legform/Plus_7/@Femur_Moment_Points" xmlDataType="decimal"/>
    </xmlCellPr>
  </singleXmlCell>
  <singleXmlCell id="1680" xr6:uid="{B59274CB-A86D-4935-BA4B-0AE4F793DA12}" r="AE11" connectionId="0">
    <xmlCellPr id="1" xr6:uid="{251FD3AD-EFB1-41BA-9A84-7D53C9683B0A}" uniqueName="Acceleration">
      <xmlPr mapId="7" xpath="/MAKE/PP/PPLowerLegform/Lower_Legform/Plus_7/@Acceleration" xmlDataType="decimal"/>
    </xmlCellPr>
  </singleXmlCell>
  <singleXmlCell id="1681" xr6:uid="{49DE3C05-4025-4F32-9A81-6D93A592DEB0}" r="AF11" connectionId="0">
    <xmlCellPr id="1" xr6:uid="{D13B2491-2FC7-4803-85D7-32BAC13C4AD9}" uniqueName="Total_Tibia_MCL_Points">
      <xmlPr mapId="7" xpath="/MAKE/PP/PPLowerLegform/Lower_Legform/Plus_7/@Total_Tibia_MCL_Points" xmlDataType="decimal"/>
    </xmlCellPr>
  </singleXmlCell>
  <singleXmlCell id="1682" xr6:uid="{96984E01-FB96-439E-B0A1-28268A306E31}" r="AG11" connectionId="0">
    <xmlCellPr id="1" xr6:uid="{9FB26CE7-9DFF-4AB1-A3C4-E20818626D19}" uniqueName="Total_Femur_Points">
      <xmlPr mapId="7" xpath="/MAKE/PP/PPLowerLegform/Lower_Legform/Plus_7/@Total_Femur_Points" xmlDataType="decimal"/>
    </xmlCellPr>
  </singleXmlCell>
  <singleXmlCell id="1685" xr6:uid="{2D351B91-64DA-4436-8AEB-EF674FC9094E}" r="D12" connectionId="0">
    <xmlCellPr id="1" xr6:uid="{CD9A4CBD-F015-4C4B-BB71-A0A49CD3EF81}" uniqueName="Description">
      <xmlPr mapId="7" xpath="/MAKE/PP/PPLowerLegform/Lower_Legform/Plus_6/@Description" xmlDataType="string"/>
    </xmlCellPr>
  </singleXmlCell>
  <singleXmlCell id="1686" xr6:uid="{C63D194A-8C2A-4F8D-9078-888250E5947B}" r="E12" connectionId="0">
    <xmlCellPr id="1" xr6:uid="{CDDC2CB5-E5D3-4E36-95B4-0569AFD1DDD8}" uniqueName="T4">
      <xmlPr mapId="7" xpath="/MAKE/PP/PPLowerLegform/Lower_Legform/Plus_6/@T4" xmlDataType="decimal"/>
    </xmlCellPr>
  </singleXmlCell>
  <singleXmlCell id="1687" xr6:uid="{F1AFE55E-797A-424C-AFA4-4E1E59FE4043}" r="G12" connectionId="0">
    <xmlCellPr id="1" xr6:uid="{51E7FE89-980A-4B4E-A166-65FFC0FFACB2}" uniqueName="T3">
      <xmlPr mapId="7" xpath="/MAKE/PP/PPLowerLegform/Lower_Legform/Plus_6/@T3" xmlDataType="decimal"/>
    </xmlCellPr>
  </singleXmlCell>
  <singleXmlCell id="1688" xr6:uid="{847C5F90-5C49-4C80-AABE-E608876E99D5}" r="I12" connectionId="0">
    <xmlCellPr id="1" xr6:uid="{BB1B79DA-7F9D-4713-BBEA-8E5B3C06679C}" uniqueName="T2">
      <xmlPr mapId="7" xpath="/MAKE/PP/PPLowerLegform/Lower_Legform/Plus_6/@T2" xmlDataType="decimal"/>
    </xmlCellPr>
  </singleXmlCell>
  <singleXmlCell id="1689" xr6:uid="{2E727F9E-6946-4C78-ACBE-6AB683B908DC}" r="K12" connectionId="0">
    <xmlCellPr id="1" xr6:uid="{D9B0F3EB-FF2F-4410-BEBC-74F562006FE3}" uniqueName="T1">
      <xmlPr mapId="7" xpath="/MAKE/PP/PPLowerLegform/Lower_Legform/Plus_6/@T1" xmlDataType="decimal"/>
    </xmlCellPr>
  </singleXmlCell>
  <singleXmlCell id="1690" xr6:uid="{22B325E0-AC47-45E7-BA08-E24515C8551E}" r="M12" connectionId="0">
    <xmlCellPr id="1" xr6:uid="{B50482D7-A8FC-4C03-B144-CBE6FC4032BA}" uniqueName="Points">
      <xmlPr mapId="7" xpath="/MAKE/PP/PPLowerLegform/Lower_Legform/Plus_6/@Points" xmlDataType="decimal"/>
    </xmlCellPr>
  </singleXmlCell>
  <singleXmlCell id="1691" xr6:uid="{4CA8FDF5-B2E8-497F-9C56-90FD39C030D1}" r="O12" connectionId="0">
    <xmlCellPr id="1" xr6:uid="{9080A5EE-A2CA-4D99-9CB0-B8EFCF6C7660}" uniqueName="ACL">
      <xmlPr mapId="7" xpath="/MAKE/PP/PPLowerLegform/Lower_Legform/Plus_6/@ACL" xmlDataType="decimal"/>
    </xmlCellPr>
  </singleXmlCell>
  <singleXmlCell id="1692" xr6:uid="{76FBB979-7766-485A-AB04-7E8344C1A088}" r="Q12" connectionId="0">
    <xmlCellPr id="1" xr6:uid="{94494ACB-AE84-40C0-A26C-285569D61668}" uniqueName="PCL">
      <xmlPr mapId="7" xpath="/MAKE/PP/PPLowerLegform/Lower_Legform/Plus_6/@PCL" xmlDataType="decimal"/>
    </xmlCellPr>
  </singleXmlCell>
  <singleXmlCell id="1693" xr6:uid="{5950A0CE-97C0-4898-A1A7-1767160CFA1C}" r="S12" connectionId="0">
    <xmlCellPr id="1" xr6:uid="{BDFB6E85-FD58-4658-A666-EDD119ABDC4C}" uniqueName="MCL_Value">
      <xmlPr mapId="7" xpath="/MAKE/PP/PPLowerLegform/Lower_Legform/Plus_6/@MCL_Value" xmlDataType="decimal"/>
    </xmlCellPr>
  </singleXmlCell>
  <singleXmlCell id="1694" xr6:uid="{1278EC78-234F-4E01-B34E-83B9F961EB44}" r="U12" connectionId="0">
    <xmlCellPr id="1" xr6:uid="{8A109F16-E954-4E68-976D-562D2102EDFC}" uniqueName="MCL_Points">
      <xmlPr mapId="7" xpath="/MAKE/PP/PPLowerLegform/Lower_Legform/Plus_6/@MCL_Points" xmlDataType="decimal"/>
    </xmlCellPr>
  </singleXmlCell>
  <singleXmlCell id="1695" xr6:uid="{0C36A51F-B3FE-4681-829C-BF29584F9295}" r="W12" connectionId="0">
    <xmlCellPr id="1" xr6:uid="{8135BB5F-24D2-4D78-8933-E8CB7686F9D3}" uniqueName="F1">
      <xmlPr mapId="7" xpath="/MAKE/PP/PPLowerLegform/Lower_Legform/Plus_6/@F1" xmlDataType="decimal"/>
    </xmlCellPr>
  </singleXmlCell>
  <singleXmlCell id="1696" xr6:uid="{BE94F6D6-D779-46D0-8CAA-8C88C517403F}" r="Y12" connectionId="0">
    <xmlCellPr id="1" xr6:uid="{1AAF71CB-C236-4424-BC89-9277FE0B1063}" uniqueName="F2">
      <xmlPr mapId="7" xpath="/MAKE/PP/PPLowerLegform/Lower_Legform/Plus_6/@F2" xmlDataType="decimal"/>
    </xmlCellPr>
  </singleXmlCell>
  <singleXmlCell id="1697" xr6:uid="{080D45EA-9CD8-46E1-9EFF-35A3718EC936}" r="AA12" connectionId="0">
    <xmlCellPr id="1" xr6:uid="{7B724501-7926-4413-9224-EB77092D8DFC}" uniqueName="F3">
      <xmlPr mapId="7" xpath="/MAKE/PP/PPLowerLegform/Lower_Legform/Plus_6/@F3" xmlDataType="decimal"/>
    </xmlCellPr>
  </singleXmlCell>
  <singleXmlCell id="1698" xr6:uid="{AAFFE2F2-7B30-4FE6-95A8-FA030D26B8B8}" r="AC12" connectionId="0">
    <xmlCellPr id="1" xr6:uid="{65C6BB45-A440-45CC-94DB-EA40895C049A}" uniqueName="Femur_Moment_Points">
      <xmlPr mapId="7" xpath="/MAKE/PP/PPLowerLegform/Lower_Legform/Plus_6/@Femur_Moment_Points" xmlDataType="decimal"/>
    </xmlCellPr>
  </singleXmlCell>
  <singleXmlCell id="1699" xr6:uid="{6CE25AEE-E9E8-40BB-8461-157CA2BABE27}" r="AE12" connectionId="0">
    <xmlCellPr id="1" xr6:uid="{0B2C40F2-9429-4BDB-A059-1C8404DA6991}" uniqueName="Acceleration">
      <xmlPr mapId="7" xpath="/MAKE/PP/PPLowerLegform/Lower_Legform/Plus_6/@Acceleration" xmlDataType="decimal"/>
    </xmlCellPr>
  </singleXmlCell>
  <singleXmlCell id="1700" xr6:uid="{564C7D49-D04D-487F-BE58-61330F507034}" r="AF12" connectionId="0">
    <xmlCellPr id="1" xr6:uid="{F120CCA9-BD98-45ED-868C-E221A8236C63}" uniqueName="Total_Tibia_MCL_Points">
      <xmlPr mapId="7" xpath="/MAKE/PP/PPLowerLegform/Lower_Legform/Plus_6/@Total_Tibia_MCL_Points" xmlDataType="decimal"/>
    </xmlCellPr>
  </singleXmlCell>
  <singleXmlCell id="1701" xr6:uid="{7D8054E9-6582-4D91-BB2B-5AA0FE4DCDE7}" r="AG12" connectionId="0">
    <xmlCellPr id="1" xr6:uid="{8FEDA6E8-9B93-4358-9AC3-384D34167277}" uniqueName="Total_Femur_Points">
      <xmlPr mapId="7" xpath="/MAKE/PP/PPLowerLegform/Lower_Legform/Plus_6/@Total_Femur_Points" xmlDataType="decimal"/>
    </xmlCellPr>
  </singleXmlCell>
  <singleXmlCell id="1704" xr6:uid="{25D6C967-5219-4019-B6DE-8402BE221982}" r="D13" connectionId="0">
    <xmlCellPr id="1" xr6:uid="{4E3E4DD0-9C88-4BA2-9BB3-BAB7393912F0}" uniqueName="Description">
      <xmlPr mapId="7" xpath="/MAKE/PP/PPLowerLegform/Lower_Legform/Plus_5/@Description" xmlDataType="string"/>
    </xmlCellPr>
  </singleXmlCell>
  <singleXmlCell id="1705" xr6:uid="{9972C33D-7846-4379-A603-62ACE1611FC1}" r="E13" connectionId="0">
    <xmlCellPr id="1" xr6:uid="{20537B6A-B472-42C4-B559-F855CB442772}" uniqueName="T4">
      <xmlPr mapId="7" xpath="/MAKE/PP/PPLowerLegform/Lower_Legform/Plus_5/@T4" xmlDataType="decimal"/>
    </xmlCellPr>
  </singleXmlCell>
  <singleXmlCell id="1706" xr6:uid="{7169612B-AE0B-473B-BC54-AD72A7A38419}" r="G13" connectionId="0">
    <xmlCellPr id="1" xr6:uid="{FA3B8640-F865-472E-9644-F3419C2E7D52}" uniqueName="T3">
      <xmlPr mapId="7" xpath="/MAKE/PP/PPLowerLegform/Lower_Legform/Plus_5/@T3" xmlDataType="decimal"/>
    </xmlCellPr>
  </singleXmlCell>
  <singleXmlCell id="1707" xr6:uid="{8336D891-58F3-4CB9-874C-C50080F18DF2}" r="I13" connectionId="0">
    <xmlCellPr id="1" xr6:uid="{3122E89B-07B0-484E-A5E3-8F875BD70348}" uniqueName="T2">
      <xmlPr mapId="7" xpath="/MAKE/PP/PPLowerLegform/Lower_Legform/Plus_5/@T2" xmlDataType="decimal"/>
    </xmlCellPr>
  </singleXmlCell>
  <singleXmlCell id="1708" xr6:uid="{F0090A70-0FB9-48DD-8253-C6554DCB28F3}" r="K13" connectionId="0">
    <xmlCellPr id="1" xr6:uid="{5AE0C376-3143-4966-902F-2F6AD6CC8F97}" uniqueName="T1">
      <xmlPr mapId="7" xpath="/MAKE/PP/PPLowerLegform/Lower_Legform/Plus_5/@T1" xmlDataType="decimal"/>
    </xmlCellPr>
  </singleXmlCell>
  <singleXmlCell id="1709" xr6:uid="{022EFD98-123D-4EE1-ADF6-540D179B281C}" r="M13" connectionId="0">
    <xmlCellPr id="1" xr6:uid="{990FC753-D282-4D9A-88BD-7BE5C1517245}" uniqueName="Points">
      <xmlPr mapId="7" xpath="/MAKE/PP/PPLowerLegform/Lower_Legform/Plus_5/@Points" xmlDataType="decimal"/>
    </xmlCellPr>
  </singleXmlCell>
  <singleXmlCell id="1710" xr6:uid="{58F9B656-E990-4D2B-99D7-A1132E5284C5}" r="O13" connectionId="0">
    <xmlCellPr id="1" xr6:uid="{898108DB-7638-4027-A344-91BA554E02DA}" uniqueName="ACL">
      <xmlPr mapId="7" xpath="/MAKE/PP/PPLowerLegform/Lower_Legform/Plus_5/@ACL" xmlDataType="decimal"/>
    </xmlCellPr>
  </singleXmlCell>
  <singleXmlCell id="1711" xr6:uid="{F6517DD5-193E-43CE-A4F1-D5D636FE0415}" r="Q13" connectionId="0">
    <xmlCellPr id="1" xr6:uid="{AD8B9B9A-524F-43D3-A045-16A34F7D7793}" uniqueName="PCL">
      <xmlPr mapId="7" xpath="/MAKE/PP/PPLowerLegform/Lower_Legform/Plus_5/@PCL" xmlDataType="decimal"/>
    </xmlCellPr>
  </singleXmlCell>
  <singleXmlCell id="1712" xr6:uid="{00DF95BF-159F-44B1-8890-41FA41F8F504}" r="S13" connectionId="0">
    <xmlCellPr id="1" xr6:uid="{11B04EEE-DF68-4FF6-9B7E-2F6BA0BFDF2C}" uniqueName="MCL_Value">
      <xmlPr mapId="7" xpath="/MAKE/PP/PPLowerLegform/Lower_Legform/Plus_5/@MCL_Value" xmlDataType="decimal"/>
    </xmlCellPr>
  </singleXmlCell>
  <singleXmlCell id="1713" xr6:uid="{9B68D373-9296-4F87-BF33-69C9457FC61D}" r="U13" connectionId="0">
    <xmlCellPr id="1" xr6:uid="{85B7896D-D09A-4EFC-8192-44A29818C038}" uniqueName="MCL_Points">
      <xmlPr mapId="7" xpath="/MAKE/PP/PPLowerLegform/Lower_Legform/Plus_5/@MCL_Points" xmlDataType="decimal"/>
    </xmlCellPr>
  </singleXmlCell>
  <singleXmlCell id="1714" xr6:uid="{3577E679-DFEE-4676-BD69-D3E557A803A0}" r="W13" connectionId="0">
    <xmlCellPr id="1" xr6:uid="{E882BB21-83B7-4ECA-870C-16F2A329827B}" uniqueName="F1">
      <xmlPr mapId="7" xpath="/MAKE/PP/PPLowerLegform/Lower_Legform/Plus_5/@F1" xmlDataType="decimal"/>
    </xmlCellPr>
  </singleXmlCell>
  <singleXmlCell id="1715" xr6:uid="{C070B754-B2D2-4418-802C-540770C0FFAB}" r="Y13" connectionId="0">
    <xmlCellPr id="1" xr6:uid="{5E373D40-75D0-4462-AB29-5E7962FD3029}" uniqueName="F2">
      <xmlPr mapId="7" xpath="/MAKE/PP/PPLowerLegform/Lower_Legform/Plus_5/@F2" xmlDataType="decimal"/>
    </xmlCellPr>
  </singleXmlCell>
  <singleXmlCell id="1716" xr6:uid="{5733578F-F069-4C5B-8B4F-76E8F8CA2379}" r="AA13" connectionId="0">
    <xmlCellPr id="1" xr6:uid="{8C6A5404-F097-4F16-A23B-61F77FD02B4B}" uniqueName="F3">
      <xmlPr mapId="7" xpath="/MAKE/PP/PPLowerLegform/Lower_Legform/Plus_5/@F3" xmlDataType="decimal"/>
    </xmlCellPr>
  </singleXmlCell>
  <singleXmlCell id="1717" xr6:uid="{B331F0CC-A269-44E6-8819-C03892800B75}" r="AC13" connectionId="0">
    <xmlCellPr id="1" xr6:uid="{2DB103BD-42B4-4792-BA6C-B452692F0935}" uniqueName="Femur_Moment_Points">
      <xmlPr mapId="7" xpath="/MAKE/PP/PPLowerLegform/Lower_Legform/Plus_5/@Femur_Moment_Points" xmlDataType="decimal"/>
    </xmlCellPr>
  </singleXmlCell>
  <singleXmlCell id="1718" xr6:uid="{6BB712AB-F9AB-4ECB-9F33-7C257A31B6D6}" r="AE13" connectionId="0">
    <xmlCellPr id="1" xr6:uid="{EE464C9C-2F61-465A-B836-FC38FE0C91CD}" uniqueName="Acceleration">
      <xmlPr mapId="7" xpath="/MAKE/PP/PPLowerLegform/Lower_Legform/Plus_5/@Acceleration" xmlDataType="decimal"/>
    </xmlCellPr>
  </singleXmlCell>
  <singleXmlCell id="1719" xr6:uid="{A7FA6FBE-0008-4711-B320-0670D4AA2C81}" r="AF13" connectionId="0">
    <xmlCellPr id="1" xr6:uid="{F78B9889-1DA6-4832-8435-C43483B470DF}" uniqueName="Total_Tibia_MCL_Points">
      <xmlPr mapId="7" xpath="/MAKE/PP/PPLowerLegform/Lower_Legform/Plus_5/@Total_Tibia_MCL_Points" xmlDataType="decimal"/>
    </xmlCellPr>
  </singleXmlCell>
  <singleXmlCell id="1720" xr6:uid="{FB99B5AC-2390-4536-B920-92CF0C649CF3}" r="AG13" connectionId="0">
    <xmlCellPr id="1" xr6:uid="{771CFE31-86EF-4C3C-B620-4171DFDEA7F6}" uniqueName="Total_Femur_Points">
      <xmlPr mapId="7" xpath="/MAKE/PP/PPLowerLegform/Lower_Legform/Plus_5/@Total_Femur_Points" xmlDataType="decimal"/>
    </xmlCellPr>
  </singleXmlCell>
  <singleXmlCell id="1723" xr6:uid="{E87069EE-7175-4221-A3B7-DD9A74821FB0}" r="D14" connectionId="0">
    <xmlCellPr id="1" xr6:uid="{ACBCF7FF-2BAB-4F6D-827B-752410B827A3}" uniqueName="Description">
      <xmlPr mapId="7" xpath="/MAKE/PP/PPLowerLegform/Lower_Legform/Plus_4/@Description" xmlDataType="string"/>
    </xmlCellPr>
  </singleXmlCell>
  <singleXmlCell id="1724" xr6:uid="{8AE02FAD-93A2-47E9-91D7-785AE7FE0356}" r="E14" connectionId="0">
    <xmlCellPr id="1" xr6:uid="{E2117C99-E5FF-45BF-98C5-99F030BBFDE8}" uniqueName="T4">
      <xmlPr mapId="7" xpath="/MAKE/PP/PPLowerLegform/Lower_Legform/Plus_4/@T4" xmlDataType="decimal"/>
    </xmlCellPr>
  </singleXmlCell>
  <singleXmlCell id="1725" xr6:uid="{6A808869-EA31-48C0-8164-DC2DD6AE2C3E}" r="G14" connectionId="0">
    <xmlCellPr id="1" xr6:uid="{D6CA2A78-4831-42F6-A013-969F61EBB710}" uniqueName="T3">
      <xmlPr mapId="7" xpath="/MAKE/PP/PPLowerLegform/Lower_Legform/Plus_4/@T3" xmlDataType="decimal"/>
    </xmlCellPr>
  </singleXmlCell>
  <singleXmlCell id="1726" xr6:uid="{87378066-A005-4DB9-A787-9DF759DBA24F}" r="I14" connectionId="0">
    <xmlCellPr id="1" xr6:uid="{8EBD65F5-8E52-43C1-9009-891749C0FF25}" uniqueName="T2">
      <xmlPr mapId="7" xpath="/MAKE/PP/PPLowerLegform/Lower_Legform/Plus_4/@T2" xmlDataType="decimal"/>
    </xmlCellPr>
  </singleXmlCell>
  <singleXmlCell id="1727" xr6:uid="{0A709B91-C32B-4761-9111-D24F1828D0C4}" r="K14" connectionId="0">
    <xmlCellPr id="1" xr6:uid="{DAED7F2E-CB82-4382-A465-6864EEEE519C}" uniqueName="T1">
      <xmlPr mapId="7" xpath="/MAKE/PP/PPLowerLegform/Lower_Legform/Plus_4/@T1" xmlDataType="decimal"/>
    </xmlCellPr>
  </singleXmlCell>
  <singleXmlCell id="1728" xr6:uid="{B9CF522D-8A0E-4673-94CD-4AFB17448CA7}" r="M14" connectionId="0">
    <xmlCellPr id="1" xr6:uid="{7D69D026-A8A9-4563-8233-41B68F62DE27}" uniqueName="Points">
      <xmlPr mapId="7" xpath="/MAKE/PP/PPLowerLegform/Lower_Legform/Plus_4/@Points" xmlDataType="decimal"/>
    </xmlCellPr>
  </singleXmlCell>
  <singleXmlCell id="1729" xr6:uid="{D41EF708-B823-4AC4-89DA-1BA12E613BAC}" r="O14" connectionId="0">
    <xmlCellPr id="1" xr6:uid="{61F06E83-7264-4E98-92DD-4806569DAB39}" uniqueName="ACL">
      <xmlPr mapId="7" xpath="/MAKE/PP/PPLowerLegform/Lower_Legform/Plus_4/@ACL" xmlDataType="decimal"/>
    </xmlCellPr>
  </singleXmlCell>
  <singleXmlCell id="1730" xr6:uid="{AD882E5E-60E8-4876-AAD5-9A6874B6545C}" r="Q14" connectionId="0">
    <xmlCellPr id="1" xr6:uid="{556E14D7-9C4B-4189-A844-177F6A8C5A14}" uniqueName="PCL">
      <xmlPr mapId="7" xpath="/MAKE/PP/PPLowerLegform/Lower_Legform/Plus_4/@PCL" xmlDataType="decimal"/>
    </xmlCellPr>
  </singleXmlCell>
  <singleXmlCell id="1731" xr6:uid="{081A79EC-7254-4EA3-8514-DABB327F6F6A}" r="S14" connectionId="0">
    <xmlCellPr id="1" xr6:uid="{5D790D51-93CC-408D-A9AE-B7A937C157CD}" uniqueName="MCL_Value">
      <xmlPr mapId="7" xpath="/MAKE/PP/PPLowerLegform/Lower_Legform/Plus_4/@MCL_Value" xmlDataType="decimal"/>
    </xmlCellPr>
  </singleXmlCell>
  <singleXmlCell id="1732" xr6:uid="{5C816C47-D03C-4423-BFED-4D73B1A537CF}" r="U14" connectionId="0">
    <xmlCellPr id="1" xr6:uid="{CEE451F0-FBD8-483B-91E2-43C8411B8012}" uniqueName="MCL_Points">
      <xmlPr mapId="7" xpath="/MAKE/PP/PPLowerLegform/Lower_Legform/Plus_4/@MCL_Points" xmlDataType="decimal"/>
    </xmlCellPr>
  </singleXmlCell>
  <singleXmlCell id="1733" xr6:uid="{E12CB9B5-6FC5-4163-BF8F-4D884B1EAF8B}" r="W14" connectionId="0">
    <xmlCellPr id="1" xr6:uid="{D92E70D5-AB7F-4E78-9EA0-D20E75CCE00D}" uniqueName="F1">
      <xmlPr mapId="7" xpath="/MAKE/PP/PPLowerLegform/Lower_Legform/Plus_4/@F1" xmlDataType="decimal"/>
    </xmlCellPr>
  </singleXmlCell>
  <singleXmlCell id="1734" xr6:uid="{D3FA38A0-4F96-4A9A-B233-2814625F6D2C}" r="Y14" connectionId="0">
    <xmlCellPr id="1" xr6:uid="{623B35B1-02AD-470B-A5E3-7B1E9A57FC56}" uniqueName="F2">
      <xmlPr mapId="7" xpath="/MAKE/PP/PPLowerLegform/Lower_Legform/Plus_4/@F2" xmlDataType="decimal"/>
    </xmlCellPr>
  </singleXmlCell>
  <singleXmlCell id="1735" xr6:uid="{27D2FC61-2102-48FB-B162-99AB69175A1F}" r="AA14" connectionId="0">
    <xmlCellPr id="1" xr6:uid="{CC2672AE-27C6-481A-A18B-61FA45D93E55}" uniqueName="F3">
      <xmlPr mapId="7" xpath="/MAKE/PP/PPLowerLegform/Lower_Legform/Plus_4/@F3" xmlDataType="decimal"/>
    </xmlCellPr>
  </singleXmlCell>
  <singleXmlCell id="1736" xr6:uid="{BEB0EFD4-4333-4CF1-B5D5-2472DDF7AB2D}" r="AC14" connectionId="0">
    <xmlCellPr id="1" xr6:uid="{344C51B7-44EA-483D-B7CE-D19B472A9B28}" uniqueName="Femur_Moment_Points">
      <xmlPr mapId="7" xpath="/MAKE/PP/PPLowerLegform/Lower_Legform/Plus_4/@Femur_Moment_Points" xmlDataType="decimal"/>
    </xmlCellPr>
  </singleXmlCell>
  <singleXmlCell id="1737" xr6:uid="{B2505A22-4D2A-40ED-A1FF-77E9D85EDB74}" r="AE14" connectionId="0">
    <xmlCellPr id="1" xr6:uid="{E77A50B3-6D8B-4CFA-B412-E005CD17BBF5}" uniqueName="Acceleration">
      <xmlPr mapId="7" xpath="/MAKE/PP/PPLowerLegform/Lower_Legform/Plus_4/@Acceleration" xmlDataType="decimal"/>
    </xmlCellPr>
  </singleXmlCell>
  <singleXmlCell id="1738" xr6:uid="{0FA3AC14-072D-404A-B6FF-D6E0CD7B3CB6}" r="AF14" connectionId="0">
    <xmlCellPr id="1" xr6:uid="{799A7577-88AB-4487-835F-B29FF29B4DA3}" uniqueName="Total_Tibia_MCL_Points">
      <xmlPr mapId="7" xpath="/MAKE/PP/PPLowerLegform/Lower_Legform/Plus_4/@Total_Tibia_MCL_Points" xmlDataType="decimal"/>
    </xmlCellPr>
  </singleXmlCell>
  <singleXmlCell id="1739" xr6:uid="{59984ED8-7847-49F2-AE0E-331FFA80DDBB}" r="AG14" connectionId="0">
    <xmlCellPr id="1" xr6:uid="{3497A3F0-31C8-40B2-994F-98EA03A0FCE5}" uniqueName="Total_Femur_Points">
      <xmlPr mapId="7" xpath="/MAKE/PP/PPLowerLegform/Lower_Legform/Plus_4/@Total_Femur_Points" xmlDataType="decimal"/>
    </xmlCellPr>
  </singleXmlCell>
  <singleXmlCell id="1742" xr6:uid="{FF5163AC-626D-4959-943B-B48854F3737B}" r="D15" connectionId="0">
    <xmlCellPr id="1" xr6:uid="{51B88408-DFEA-4C80-97D8-B8301111EE64}" uniqueName="Description">
      <xmlPr mapId="7" xpath="/MAKE/PP/PPLowerLegform/Lower_Legform/Plus_3/@Description" xmlDataType="string"/>
    </xmlCellPr>
  </singleXmlCell>
  <singleXmlCell id="1743" xr6:uid="{90BCC14B-5366-44CE-BFB3-C23F8A176487}" r="E15" connectionId="0">
    <xmlCellPr id="1" xr6:uid="{9FDD0B9E-58FE-4F8E-9CAB-E0A9FADB86F1}" uniqueName="T4">
      <xmlPr mapId="7" xpath="/MAKE/PP/PPLowerLegform/Lower_Legform/Plus_3/@T4" xmlDataType="decimal"/>
    </xmlCellPr>
  </singleXmlCell>
  <singleXmlCell id="1744" xr6:uid="{E794E8FD-B864-4E35-94D4-6FD12BBAA99B}" r="G15" connectionId="0">
    <xmlCellPr id="1" xr6:uid="{0FB73C2C-7DDD-4D37-88B0-2255A26047D7}" uniqueName="T3">
      <xmlPr mapId="7" xpath="/MAKE/PP/PPLowerLegform/Lower_Legform/Plus_3/@T3" xmlDataType="decimal"/>
    </xmlCellPr>
  </singleXmlCell>
  <singleXmlCell id="1745" xr6:uid="{100F6F6E-21DE-4471-841F-5FE0A29AA0A9}" r="I15" connectionId="0">
    <xmlCellPr id="1" xr6:uid="{92ECA70E-BBF9-4406-829D-BA7EDFA8AA10}" uniqueName="T2">
      <xmlPr mapId="7" xpath="/MAKE/PP/PPLowerLegform/Lower_Legform/Plus_3/@T2" xmlDataType="decimal"/>
    </xmlCellPr>
  </singleXmlCell>
  <singleXmlCell id="1746" xr6:uid="{2CC8AEB5-3616-47F9-9D37-B741E92DEF99}" r="K15" connectionId="0">
    <xmlCellPr id="1" xr6:uid="{3F6B15F1-02F1-4A38-89C4-CC05278AE166}" uniqueName="T1">
      <xmlPr mapId="7" xpath="/MAKE/PP/PPLowerLegform/Lower_Legform/Plus_3/@T1" xmlDataType="decimal"/>
    </xmlCellPr>
  </singleXmlCell>
  <singleXmlCell id="1747" xr6:uid="{48E8CA85-6A02-42EC-B6DC-DAE5C57748D5}" r="M15" connectionId="0">
    <xmlCellPr id="1" xr6:uid="{0BECEC29-770E-4A21-87A9-925D342252E0}" uniqueName="Points">
      <xmlPr mapId="7" xpath="/MAKE/PP/PPLowerLegform/Lower_Legform/Plus_3/@Points" xmlDataType="decimal"/>
    </xmlCellPr>
  </singleXmlCell>
  <singleXmlCell id="1748" xr6:uid="{A488ED1A-352D-4E8D-866E-AEEB4E3B1B42}" r="O15" connectionId="0">
    <xmlCellPr id="1" xr6:uid="{1D76F822-1DE1-4EDE-ADBE-EAB03D5CD052}" uniqueName="ACL">
      <xmlPr mapId="7" xpath="/MAKE/PP/PPLowerLegform/Lower_Legform/Plus_3/@ACL" xmlDataType="decimal"/>
    </xmlCellPr>
  </singleXmlCell>
  <singleXmlCell id="1749" xr6:uid="{541BC873-C6BE-439E-A43C-B266BAA2D1D8}" r="Q15" connectionId="0">
    <xmlCellPr id="1" xr6:uid="{8E7D6D3F-C8A9-4B6D-88A9-0A81376516D4}" uniqueName="PCL">
      <xmlPr mapId="7" xpath="/MAKE/PP/PPLowerLegform/Lower_Legform/Plus_3/@PCL" xmlDataType="decimal"/>
    </xmlCellPr>
  </singleXmlCell>
  <singleXmlCell id="1750" xr6:uid="{5EEF2576-32AA-47BA-8965-011B8DC441AB}" r="S15" connectionId="0">
    <xmlCellPr id="1" xr6:uid="{3D31FFA8-9A37-4F36-84F7-2D9D8B4FA5F7}" uniqueName="MCL_Value">
      <xmlPr mapId="7" xpath="/MAKE/PP/PPLowerLegform/Lower_Legform/Plus_3/@MCL_Value" xmlDataType="decimal"/>
    </xmlCellPr>
  </singleXmlCell>
  <singleXmlCell id="1751" xr6:uid="{8614A719-AA3A-475E-B128-85121DBB14B7}" r="U15" connectionId="0">
    <xmlCellPr id="1" xr6:uid="{0C4291C9-7876-4481-ADFE-78A974EC9D90}" uniqueName="MCL_Points">
      <xmlPr mapId="7" xpath="/MAKE/PP/PPLowerLegform/Lower_Legform/Plus_3/@MCL_Points" xmlDataType="decimal"/>
    </xmlCellPr>
  </singleXmlCell>
  <singleXmlCell id="1752" xr6:uid="{535B4C0C-EF9D-4E7C-AD81-198A8F5DCFE9}" r="W15" connectionId="0">
    <xmlCellPr id="1" xr6:uid="{F8FCD168-0193-42B3-814C-484D9D28824B}" uniqueName="F1">
      <xmlPr mapId="7" xpath="/MAKE/PP/PPLowerLegform/Lower_Legform/Plus_3/@F1" xmlDataType="decimal"/>
    </xmlCellPr>
  </singleXmlCell>
  <singleXmlCell id="1753" xr6:uid="{B65430C2-DA19-4CED-B75A-0DDC266560F1}" r="Y15" connectionId="0">
    <xmlCellPr id="1" xr6:uid="{22308B7B-5027-4D9F-9EEC-4404BD1A7C4F}" uniqueName="F2">
      <xmlPr mapId="7" xpath="/MAKE/PP/PPLowerLegform/Lower_Legform/Plus_3/@F2" xmlDataType="decimal"/>
    </xmlCellPr>
  </singleXmlCell>
  <singleXmlCell id="1754" xr6:uid="{F30CBCA3-C595-4B50-ADED-28E81ED7ECE0}" r="AA15" connectionId="0">
    <xmlCellPr id="1" xr6:uid="{7BCB8D09-E575-4FAB-8849-C217F7B17147}" uniqueName="F3">
      <xmlPr mapId="7" xpath="/MAKE/PP/PPLowerLegform/Lower_Legform/Plus_3/@F3" xmlDataType="decimal"/>
    </xmlCellPr>
  </singleXmlCell>
  <singleXmlCell id="1755" xr6:uid="{75D2823B-3DA6-4877-A21B-44A9A1BF5D7D}" r="AC15" connectionId="0">
    <xmlCellPr id="1" xr6:uid="{B08612B6-1105-4D0D-8FC0-9544D8D40697}" uniqueName="Femur_Moment_Points">
      <xmlPr mapId="7" xpath="/MAKE/PP/PPLowerLegform/Lower_Legform/Plus_3/@Femur_Moment_Points" xmlDataType="decimal"/>
    </xmlCellPr>
  </singleXmlCell>
  <singleXmlCell id="1756" xr6:uid="{28E78AA1-982D-49F3-8EAC-9A566A2A367D}" r="AE15" connectionId="0">
    <xmlCellPr id="1" xr6:uid="{8BAB0D28-AD4E-4A23-BC25-040DBABE457E}" uniqueName="Acceleration">
      <xmlPr mapId="7" xpath="/MAKE/PP/PPLowerLegform/Lower_Legform/Plus_3/@Acceleration" xmlDataType="decimal"/>
    </xmlCellPr>
  </singleXmlCell>
  <singleXmlCell id="1757" xr6:uid="{DC2CB7BA-3A8E-4BBA-9BEB-924D3DCF4B64}" r="AF15" connectionId="0">
    <xmlCellPr id="1" xr6:uid="{02EFDA4D-09CC-4D6A-B8B5-EF538B5036E7}" uniqueName="Total_Tibia_MCL_Points">
      <xmlPr mapId="7" xpath="/MAKE/PP/PPLowerLegform/Lower_Legform/Plus_3/@Total_Tibia_MCL_Points" xmlDataType="decimal"/>
    </xmlCellPr>
  </singleXmlCell>
  <singleXmlCell id="1758" xr6:uid="{5FD445EE-B4D7-45D0-A845-65C4ECE477A5}" r="AG15" connectionId="0">
    <xmlCellPr id="1" xr6:uid="{5E7DD89D-222D-45D4-9490-D03354B85839}" uniqueName="Total_Femur_Points">
      <xmlPr mapId="7" xpath="/MAKE/PP/PPLowerLegform/Lower_Legform/Plus_3/@Total_Femur_Points" xmlDataType="decimal"/>
    </xmlCellPr>
  </singleXmlCell>
  <singleXmlCell id="1761" xr6:uid="{9FC94D56-A571-4745-96D7-BA9BA4A34CBE}" r="D16" connectionId="0">
    <xmlCellPr id="1" xr6:uid="{3124D932-0E32-4C93-89F3-AA2CE21EF796}" uniqueName="Description">
      <xmlPr mapId="7" xpath="/MAKE/PP/PPLowerLegform/Lower_Legform/Plus_2/@Description" xmlDataType="string"/>
    </xmlCellPr>
  </singleXmlCell>
  <singleXmlCell id="1762" xr6:uid="{F9EB611B-C080-452F-B007-53C4A0DE5FDB}" r="E16" connectionId="0">
    <xmlCellPr id="1" xr6:uid="{87E2F71D-901D-4307-BCDF-9856123393AA}" uniqueName="T4">
      <xmlPr mapId="7" xpath="/MAKE/PP/PPLowerLegform/Lower_Legform/Plus_2/@T4" xmlDataType="decimal"/>
    </xmlCellPr>
  </singleXmlCell>
  <singleXmlCell id="1763" xr6:uid="{86258926-1086-4F9B-9054-3FEFACE776DA}" r="G16" connectionId="0">
    <xmlCellPr id="1" xr6:uid="{B5776352-2475-4FD5-BAA8-85F7D0BC5C5D}" uniqueName="T3">
      <xmlPr mapId="7" xpath="/MAKE/PP/PPLowerLegform/Lower_Legform/Plus_2/@T3" xmlDataType="decimal"/>
    </xmlCellPr>
  </singleXmlCell>
  <singleXmlCell id="1764" xr6:uid="{7413E5CA-D6CC-46BC-9C74-478ECB9555D8}" r="I16" connectionId="0">
    <xmlCellPr id="1" xr6:uid="{67CDF0FF-E89E-435D-B6DC-E59441BACE0F}" uniqueName="T2">
      <xmlPr mapId="7" xpath="/MAKE/PP/PPLowerLegform/Lower_Legform/Plus_2/@T2" xmlDataType="decimal"/>
    </xmlCellPr>
  </singleXmlCell>
  <singleXmlCell id="1765" xr6:uid="{5E74955B-E4C5-41C2-B87B-7D8925A9AFD5}" r="K16" connectionId="0">
    <xmlCellPr id="1" xr6:uid="{407EF929-860E-4712-A207-3B5158F57C04}" uniqueName="T1">
      <xmlPr mapId="7" xpath="/MAKE/PP/PPLowerLegform/Lower_Legform/Plus_2/@T1" xmlDataType="decimal"/>
    </xmlCellPr>
  </singleXmlCell>
  <singleXmlCell id="1766" xr6:uid="{DB21B4E6-92B0-48EB-BB0B-88417DA16AC6}" r="M16" connectionId="0">
    <xmlCellPr id="1" xr6:uid="{019ACD07-5FF9-4C48-A041-C8EC9A4592EA}" uniqueName="Points">
      <xmlPr mapId="7" xpath="/MAKE/PP/PPLowerLegform/Lower_Legform/Plus_2/@Points" xmlDataType="decimal"/>
    </xmlCellPr>
  </singleXmlCell>
  <singleXmlCell id="1767" xr6:uid="{D0FA1CAE-7930-4DF3-B144-D24DE2F939A9}" r="O16" connectionId="0">
    <xmlCellPr id="1" xr6:uid="{0C756160-0AD8-401D-AE74-1259F97D0C8C}" uniqueName="ACL">
      <xmlPr mapId="7" xpath="/MAKE/PP/PPLowerLegform/Lower_Legform/Plus_2/@ACL" xmlDataType="decimal"/>
    </xmlCellPr>
  </singleXmlCell>
  <singleXmlCell id="1768" xr6:uid="{0F58543E-4E6A-4361-A8DF-48E42FA14E7D}" r="Q16" connectionId="0">
    <xmlCellPr id="1" xr6:uid="{45EBC7AB-03B7-456D-ABD1-ADCEC38F8026}" uniqueName="PCL">
      <xmlPr mapId="7" xpath="/MAKE/PP/PPLowerLegform/Lower_Legform/Plus_2/@PCL" xmlDataType="decimal"/>
    </xmlCellPr>
  </singleXmlCell>
  <singleXmlCell id="1769" xr6:uid="{93118E57-AAB8-4135-B692-BBAE095A6DF4}" r="S16" connectionId="0">
    <xmlCellPr id="1" xr6:uid="{2309A799-1F8B-4615-8148-78A7D0C69BC8}" uniqueName="MCL_Value">
      <xmlPr mapId="7" xpath="/MAKE/PP/PPLowerLegform/Lower_Legform/Plus_2/@MCL_Value" xmlDataType="decimal"/>
    </xmlCellPr>
  </singleXmlCell>
  <singleXmlCell id="1770" xr6:uid="{58C90EF6-B3CC-4258-800B-83DA8BB11FCE}" r="U16" connectionId="0">
    <xmlCellPr id="1" xr6:uid="{492701A3-0212-4BD2-B2F2-2903EB59BF9C}" uniqueName="MCL_Points">
      <xmlPr mapId="7" xpath="/MAKE/PP/PPLowerLegform/Lower_Legform/Plus_2/@MCL_Points" xmlDataType="decimal"/>
    </xmlCellPr>
  </singleXmlCell>
  <singleXmlCell id="1771" xr6:uid="{05D1B85F-A401-4EDE-95C8-B5F663AA2BF9}" r="W16" connectionId="0">
    <xmlCellPr id="1" xr6:uid="{01509590-67E8-4612-98C9-EFD67053003B}" uniqueName="F1">
      <xmlPr mapId="7" xpath="/MAKE/PP/PPLowerLegform/Lower_Legform/Plus_2/@F1" xmlDataType="decimal"/>
    </xmlCellPr>
  </singleXmlCell>
  <singleXmlCell id="1772" xr6:uid="{A237546D-FD41-484B-B0B2-19885E7D9056}" r="Y16" connectionId="0">
    <xmlCellPr id="1" xr6:uid="{21F22794-FA41-456A-B785-27BBAD0904EE}" uniqueName="F2">
      <xmlPr mapId="7" xpath="/MAKE/PP/PPLowerLegform/Lower_Legform/Plus_2/@F2" xmlDataType="decimal"/>
    </xmlCellPr>
  </singleXmlCell>
  <singleXmlCell id="1773" xr6:uid="{5A12E186-F266-43C0-83FB-E24FD450C911}" r="AA16" connectionId="0">
    <xmlCellPr id="1" xr6:uid="{831976A6-8059-4D87-8B8B-224AADAF5EE6}" uniqueName="F3">
      <xmlPr mapId="7" xpath="/MAKE/PP/PPLowerLegform/Lower_Legform/Plus_2/@F3" xmlDataType="decimal"/>
    </xmlCellPr>
  </singleXmlCell>
  <singleXmlCell id="1774" xr6:uid="{5C24A68D-D2D6-4CB7-8943-4776C156D317}" r="AC16" connectionId="0">
    <xmlCellPr id="1" xr6:uid="{7F2F1BDF-62B3-4FFE-8F2B-875E3DC6D1B2}" uniqueName="Femur_Moment_Points">
      <xmlPr mapId="7" xpath="/MAKE/PP/PPLowerLegform/Lower_Legform/Plus_2/@Femur_Moment_Points" xmlDataType="decimal"/>
    </xmlCellPr>
  </singleXmlCell>
  <singleXmlCell id="1775" xr6:uid="{52C04131-9A5D-4294-9C90-CC20447FCB0E}" r="AE16" connectionId="0">
    <xmlCellPr id="1" xr6:uid="{F3E33A8E-5B72-464F-93D1-244BE37DE2FF}" uniqueName="Acceleration">
      <xmlPr mapId="7" xpath="/MAKE/PP/PPLowerLegform/Lower_Legform/Plus_2/@Acceleration" xmlDataType="decimal"/>
    </xmlCellPr>
  </singleXmlCell>
  <singleXmlCell id="1776" xr6:uid="{1204A0A1-5A6F-40F2-B6BA-E09C50C909E7}" r="AF16" connectionId="0">
    <xmlCellPr id="1" xr6:uid="{7030852B-8096-46C8-8D7F-3DADB8245AC5}" uniqueName="Total_Tibia_MCL_Points">
      <xmlPr mapId="7" xpath="/MAKE/PP/PPLowerLegform/Lower_Legform/Plus_2/@Total_Tibia_MCL_Points" xmlDataType="decimal"/>
    </xmlCellPr>
  </singleXmlCell>
  <singleXmlCell id="1777" xr6:uid="{F4E7A37D-608C-4390-9620-51A9707324CF}" r="AG16" connectionId="0">
    <xmlCellPr id="1" xr6:uid="{D06CDF0F-D9F4-4B31-BCAA-18FCE93E1DDE}" uniqueName="Total_Femur_Points">
      <xmlPr mapId="7" xpath="/MAKE/PP/PPLowerLegform/Lower_Legform/Plus_2/@Total_Femur_Points" xmlDataType="decimal"/>
    </xmlCellPr>
  </singleXmlCell>
  <singleXmlCell id="1780" xr6:uid="{E71AFC90-20EA-40C6-8919-B23C0CDA8880}" r="D17" connectionId="0">
    <xmlCellPr id="1" xr6:uid="{AB7336AB-759C-45B9-81FF-62CFF32081EF}" uniqueName="Description">
      <xmlPr mapId="7" xpath="/MAKE/PP/PPLowerLegform/Lower_Legform/Plus_1/@Description" xmlDataType="string"/>
    </xmlCellPr>
  </singleXmlCell>
  <singleXmlCell id="1781" xr6:uid="{125C20D5-451A-4DA7-9634-9CE15FDDE3AF}" r="E17" connectionId="0">
    <xmlCellPr id="1" xr6:uid="{E0BFA165-F8C9-4CCD-AF19-E51726505559}" uniqueName="T4">
      <xmlPr mapId="7" xpath="/MAKE/PP/PPLowerLegform/Lower_Legform/Plus_1/@T4" xmlDataType="decimal"/>
    </xmlCellPr>
  </singleXmlCell>
  <singleXmlCell id="1782" xr6:uid="{197A8B6E-E8EB-4041-AD2D-B6DD1DE188F8}" r="G17" connectionId="0">
    <xmlCellPr id="1" xr6:uid="{24CDA140-7F8B-4678-B0FC-596EADA25EB1}" uniqueName="T3">
      <xmlPr mapId="7" xpath="/MAKE/PP/PPLowerLegform/Lower_Legform/Plus_1/@T3" xmlDataType="decimal"/>
    </xmlCellPr>
  </singleXmlCell>
  <singleXmlCell id="1783" xr6:uid="{AA4E1BAB-9261-44E2-A302-EA67E49A47EC}" r="I17" connectionId="0">
    <xmlCellPr id="1" xr6:uid="{3C1685CF-9B2A-4BEB-885C-24CF65469CDB}" uniqueName="T2">
      <xmlPr mapId="7" xpath="/MAKE/PP/PPLowerLegform/Lower_Legform/Plus_1/@T2" xmlDataType="decimal"/>
    </xmlCellPr>
  </singleXmlCell>
  <singleXmlCell id="1784" xr6:uid="{2BF501AF-C12C-4B4E-BE84-147E39348707}" r="K17" connectionId="0">
    <xmlCellPr id="1" xr6:uid="{95C493CE-DC3F-4A35-9418-C57BA8527394}" uniqueName="T1">
      <xmlPr mapId="7" xpath="/MAKE/PP/PPLowerLegform/Lower_Legform/Plus_1/@T1" xmlDataType="decimal"/>
    </xmlCellPr>
  </singleXmlCell>
  <singleXmlCell id="1785" xr6:uid="{4A3DB6BC-6B65-4B54-8252-35F65CB07FDD}" r="M17" connectionId="0">
    <xmlCellPr id="1" xr6:uid="{C6B43516-C96C-4E9C-B46E-8763DECABC10}" uniqueName="Points">
      <xmlPr mapId="7" xpath="/MAKE/PP/PPLowerLegform/Lower_Legform/Plus_1/@Points" xmlDataType="decimal"/>
    </xmlCellPr>
  </singleXmlCell>
  <singleXmlCell id="1786" xr6:uid="{7989CA76-9C59-421D-8297-EB5501BEB637}" r="O17" connectionId="0">
    <xmlCellPr id="1" xr6:uid="{DAE93C7F-1C8B-460F-9B8F-EFE6E3F7E752}" uniqueName="ACL">
      <xmlPr mapId="7" xpath="/MAKE/PP/PPLowerLegform/Lower_Legform/Plus_1/@ACL" xmlDataType="decimal"/>
    </xmlCellPr>
  </singleXmlCell>
  <singleXmlCell id="1787" xr6:uid="{DF684D66-8215-4198-8F9F-50371B9188D1}" r="Q17" connectionId="0">
    <xmlCellPr id="1" xr6:uid="{BF7E8B8E-9B80-42C8-842C-5586F1ACBABC}" uniqueName="PCL">
      <xmlPr mapId="7" xpath="/MAKE/PP/PPLowerLegform/Lower_Legform/Plus_1/@PCL" xmlDataType="decimal"/>
    </xmlCellPr>
  </singleXmlCell>
  <singleXmlCell id="1788" xr6:uid="{014ADDFD-6641-4138-B5F8-2E659903F1C9}" r="S17" connectionId="0">
    <xmlCellPr id="1" xr6:uid="{017E493E-4641-44A1-AB24-FAD572D99B82}" uniqueName="MCL_Value">
      <xmlPr mapId="7" xpath="/MAKE/PP/PPLowerLegform/Lower_Legform/Plus_1/@MCL_Value" xmlDataType="decimal"/>
    </xmlCellPr>
  </singleXmlCell>
  <singleXmlCell id="1789" xr6:uid="{2DF5A9FF-273E-4326-A2AB-67AA3DC38F2E}" r="U17" connectionId="0">
    <xmlCellPr id="1" xr6:uid="{15618AB1-C81B-4C4E-A193-5C5F6616CE5A}" uniqueName="MCL_Points">
      <xmlPr mapId="7" xpath="/MAKE/PP/PPLowerLegform/Lower_Legform/Plus_1/@MCL_Points" xmlDataType="decimal"/>
    </xmlCellPr>
  </singleXmlCell>
  <singleXmlCell id="1790" xr6:uid="{052C3EC4-19D3-4C19-B639-2A66A1A0C89C}" r="W17" connectionId="0">
    <xmlCellPr id="1" xr6:uid="{4AEE232F-2286-4691-8A41-DC10007C47AC}" uniqueName="F1">
      <xmlPr mapId="7" xpath="/MAKE/PP/PPLowerLegform/Lower_Legform/Plus_1/@F1" xmlDataType="decimal"/>
    </xmlCellPr>
  </singleXmlCell>
  <singleXmlCell id="1791" xr6:uid="{5EB6F857-7159-4134-BBB1-62587498BAEF}" r="Y17" connectionId="0">
    <xmlCellPr id="1" xr6:uid="{F72EA1B4-6C15-47DB-9C0D-BA5969407DEB}" uniqueName="F2">
      <xmlPr mapId="7" xpath="/MAKE/PP/PPLowerLegform/Lower_Legform/Plus_1/@F2" xmlDataType="decimal"/>
    </xmlCellPr>
  </singleXmlCell>
  <singleXmlCell id="1792" xr6:uid="{59E8057D-C558-480B-84E5-4971DF460C67}" r="AA17" connectionId="0">
    <xmlCellPr id="1" xr6:uid="{5354CA6B-A29C-45C6-85F0-5BDBAE9B0B10}" uniqueName="F3">
      <xmlPr mapId="7" xpath="/MAKE/PP/PPLowerLegform/Lower_Legform/Plus_1/@F3" xmlDataType="decimal"/>
    </xmlCellPr>
  </singleXmlCell>
  <singleXmlCell id="1793" xr6:uid="{5F11958D-B9F4-42F6-ACE0-A0D55121E76C}" r="AC17" connectionId="0">
    <xmlCellPr id="1" xr6:uid="{34CA683E-C64D-425F-B4FD-6F76C2272A1F}" uniqueName="Femur_Moment_Points">
      <xmlPr mapId="7" xpath="/MAKE/PP/PPLowerLegform/Lower_Legform/Plus_1/@Femur_Moment_Points" xmlDataType="decimal"/>
    </xmlCellPr>
  </singleXmlCell>
  <singleXmlCell id="1794" xr6:uid="{5A98B958-35DE-4FD1-960F-14C8CEB6655C}" r="AE17" connectionId="0">
    <xmlCellPr id="1" xr6:uid="{F84A38F2-209E-46BF-BDD9-F084D285F111}" uniqueName="Acceleration">
      <xmlPr mapId="7" xpath="/MAKE/PP/PPLowerLegform/Lower_Legform/Plus_1/@Acceleration" xmlDataType="decimal"/>
    </xmlCellPr>
  </singleXmlCell>
  <singleXmlCell id="1795" xr6:uid="{F55A36FB-7516-49EF-AC9D-A4B09C8327F7}" r="AF17" connectionId="0">
    <xmlCellPr id="1" xr6:uid="{681AFD21-CEAD-47C5-BEC7-330411ADEB7B}" uniqueName="Total_Tibia_MCL_Points">
      <xmlPr mapId="7" xpath="/MAKE/PP/PPLowerLegform/Lower_Legform/Plus_1/@Total_Tibia_MCL_Points" xmlDataType="decimal"/>
    </xmlCellPr>
  </singleXmlCell>
  <singleXmlCell id="1796" xr6:uid="{882320FF-D136-4636-A4E3-EB1B115F5AAB}" r="AG17" connectionId="0">
    <xmlCellPr id="1" xr6:uid="{4273085D-79BE-4C1B-AF5C-1BC62616543A}" uniqueName="Total_Femur_Points">
      <xmlPr mapId="7" xpath="/MAKE/PP/PPLowerLegform/Lower_Legform/Plus_1/@Total_Femur_Points" xmlDataType="decimal"/>
    </xmlCellPr>
  </singleXmlCell>
  <singleXmlCell id="1799" xr6:uid="{66695C0F-659F-46C5-B080-5D5B1F7E3E66}" r="D18" connectionId="0">
    <xmlCellPr id="1" xr6:uid="{BC328B19-BE5B-4C61-88C5-98D3404A1B28}" uniqueName="Description">
      <xmlPr mapId="7" xpath="/MAKE/PP/PPLowerLegform/Lower_Legform/Zero/@Description" xmlDataType="string"/>
    </xmlCellPr>
  </singleXmlCell>
  <singleXmlCell id="1800" xr6:uid="{F1608791-D29D-461E-AFE8-B9EA910C7C07}" r="E18" connectionId="0">
    <xmlCellPr id="1" xr6:uid="{6B71DF02-03FA-4EAD-A83D-80143D27179A}" uniqueName="T4">
      <xmlPr mapId="7" xpath="/MAKE/PP/PPLowerLegform/Lower_Legform/Zero/@T4" xmlDataType="decimal"/>
    </xmlCellPr>
  </singleXmlCell>
  <singleXmlCell id="1801" xr6:uid="{DCAA2E9A-79B8-4A61-8FB5-02611C0A06DA}" r="G18" connectionId="0">
    <xmlCellPr id="1" xr6:uid="{AEE76218-5CD2-4638-8A0F-09D7D25D68B5}" uniqueName="T3">
      <xmlPr mapId="7" xpath="/MAKE/PP/PPLowerLegform/Lower_Legform/Zero/@T3" xmlDataType="decimal"/>
    </xmlCellPr>
  </singleXmlCell>
  <singleXmlCell id="1802" xr6:uid="{E64C6AB0-1D89-471D-A2CD-76196811FAB0}" r="I18" connectionId="0">
    <xmlCellPr id="1" xr6:uid="{8AEBD8A6-8383-407C-A91D-2285567E5599}" uniqueName="T2">
      <xmlPr mapId="7" xpath="/MAKE/PP/PPLowerLegform/Lower_Legform/Zero/@T2" xmlDataType="decimal"/>
    </xmlCellPr>
  </singleXmlCell>
  <singleXmlCell id="1803" xr6:uid="{0223EE95-5A1E-458B-BD04-C5A3DA7AFBAC}" r="K18" connectionId="0">
    <xmlCellPr id="1" xr6:uid="{A706A7D1-18F0-4138-A6E2-9DA7E92D81B8}" uniqueName="T1">
      <xmlPr mapId="7" xpath="/MAKE/PP/PPLowerLegform/Lower_Legform/Zero/@T1" xmlDataType="decimal"/>
    </xmlCellPr>
  </singleXmlCell>
  <singleXmlCell id="1804" xr6:uid="{02155C94-B831-461A-8F95-FA447BF3F577}" r="M18" connectionId="0">
    <xmlCellPr id="1" xr6:uid="{DCAA9F44-1234-4E26-BF15-5D1117FAA2B2}" uniqueName="Points">
      <xmlPr mapId="7" xpath="/MAKE/PP/PPLowerLegform/Lower_Legform/Zero/@Points" xmlDataType="decimal"/>
    </xmlCellPr>
  </singleXmlCell>
  <singleXmlCell id="1805" xr6:uid="{53BE7D22-BF17-4816-B9A9-97A7A77858B0}" r="O18" connectionId="0">
    <xmlCellPr id="1" xr6:uid="{3ACBB589-EB17-447F-8C0C-A9C63D0A7804}" uniqueName="ACL">
      <xmlPr mapId="7" xpath="/MAKE/PP/PPLowerLegform/Lower_Legform/Zero/@ACL" xmlDataType="decimal"/>
    </xmlCellPr>
  </singleXmlCell>
  <singleXmlCell id="1806" xr6:uid="{6A9EB545-4A61-4EC6-B49F-A83002D3B14F}" r="Q18" connectionId="0">
    <xmlCellPr id="1" xr6:uid="{9F7D685F-44AA-410D-A724-6B8E08E4BC3B}" uniqueName="PCL">
      <xmlPr mapId="7" xpath="/MAKE/PP/PPLowerLegform/Lower_Legform/Zero/@PCL" xmlDataType="decimal"/>
    </xmlCellPr>
  </singleXmlCell>
  <singleXmlCell id="1807" xr6:uid="{98E4B4A2-C14A-4A65-8CEC-918171DC1D90}" r="S18" connectionId="0">
    <xmlCellPr id="1" xr6:uid="{484D8FD3-AC76-47A8-B2D3-171C24F758F8}" uniqueName="MCL_Value">
      <xmlPr mapId="7" xpath="/MAKE/PP/PPLowerLegform/Lower_Legform/Zero/@MCL_Value" xmlDataType="decimal"/>
    </xmlCellPr>
  </singleXmlCell>
  <singleXmlCell id="1808" xr6:uid="{2317B3DE-E884-432A-967F-981F6592E090}" r="U18" connectionId="0">
    <xmlCellPr id="1" xr6:uid="{80FC04DF-7286-4DC7-9617-767E2990DBB2}" uniqueName="MCL_Points">
      <xmlPr mapId="7" xpath="/MAKE/PP/PPLowerLegform/Lower_Legform/Zero/@MCL_Points" xmlDataType="decimal"/>
    </xmlCellPr>
  </singleXmlCell>
  <singleXmlCell id="1809" xr6:uid="{6151B43E-1024-4A85-A019-74203C0BCEAB}" r="W18" connectionId="0">
    <xmlCellPr id="1" xr6:uid="{134D40CC-EA3A-417D-9560-9914951A7A96}" uniqueName="F1">
      <xmlPr mapId="7" xpath="/MAKE/PP/PPLowerLegform/Lower_Legform/Zero/@F1" xmlDataType="decimal"/>
    </xmlCellPr>
  </singleXmlCell>
  <singleXmlCell id="1810" xr6:uid="{3EF75A4F-3211-4C73-A4F0-5920DF42D818}" r="Y18" connectionId="0">
    <xmlCellPr id="1" xr6:uid="{43DF25F1-52FB-46DB-BDFB-1892A343F603}" uniqueName="F2">
      <xmlPr mapId="7" xpath="/MAKE/PP/PPLowerLegform/Lower_Legform/Zero/@F2" xmlDataType="decimal"/>
    </xmlCellPr>
  </singleXmlCell>
  <singleXmlCell id="1811" xr6:uid="{7EC4371C-5CC4-4733-BC1A-D07F3C36397D}" r="AA18" connectionId="0">
    <xmlCellPr id="1" xr6:uid="{0FF83199-8E66-4A83-80DD-468AAF14C0E3}" uniqueName="F3">
      <xmlPr mapId="7" xpath="/MAKE/PP/PPLowerLegform/Lower_Legform/Zero/@F3" xmlDataType="decimal"/>
    </xmlCellPr>
  </singleXmlCell>
  <singleXmlCell id="1812" xr6:uid="{FCCACF15-DDCB-4B65-AC67-94658ADAC6CF}" r="AC18" connectionId="0">
    <xmlCellPr id="1" xr6:uid="{5DC4930A-A826-49E7-80E8-381470B98408}" uniqueName="Femur_Moment_Points">
      <xmlPr mapId="7" xpath="/MAKE/PP/PPLowerLegform/Lower_Legform/Zero/@Femur_Moment_Points" xmlDataType="decimal"/>
    </xmlCellPr>
  </singleXmlCell>
  <singleXmlCell id="1813" xr6:uid="{E9E1B723-A358-4BC6-A9A9-1A04C6D0CCC9}" r="AE18" connectionId="0">
    <xmlCellPr id="1" xr6:uid="{2C890FF9-3949-4CC4-B23D-BA79107C8EDF}" uniqueName="Acceleration">
      <xmlPr mapId="7" xpath="/MAKE/PP/PPLowerLegform/Lower_Legform/Zero/@Acceleration" xmlDataType="decimal"/>
    </xmlCellPr>
  </singleXmlCell>
  <singleXmlCell id="1814" xr6:uid="{AD8A2D76-892E-4842-8445-5EE846BD2320}" r="AF18" connectionId="0">
    <xmlCellPr id="1" xr6:uid="{BDE217C3-7D95-4B69-B69E-240CC32867A4}" uniqueName="Total_Tibia_MCL_Points">
      <xmlPr mapId="7" xpath="/MAKE/PP/PPLowerLegform/Lower_Legform/Zero/@Total_Tibia_MCL_Points" xmlDataType="decimal"/>
    </xmlCellPr>
  </singleXmlCell>
  <singleXmlCell id="1815" xr6:uid="{7795EC76-E000-439B-A363-81F46CD5F8BD}" r="AG18" connectionId="0">
    <xmlCellPr id="1" xr6:uid="{F40FDF13-7964-4A48-A93F-A1FFC4597629}" uniqueName="Total_Femur_Points">
      <xmlPr mapId="7" xpath="/MAKE/PP/PPLowerLegform/Lower_Legform/Zero/@Total_Femur_Points" xmlDataType="decimal"/>
    </xmlCellPr>
  </singleXmlCell>
  <singleXmlCell id="1818" xr6:uid="{B01F941D-AFAA-4544-9F4C-44689A1BDEF3}" r="D19" connectionId="0">
    <xmlCellPr id="1" xr6:uid="{4C51AC8B-2E1B-4F7A-B803-E7DA71C50DF2}" uniqueName="Description">
      <xmlPr mapId="7" xpath="/MAKE/PP/PPLowerLegform/Lower_Legform/Minus_1/@Description" xmlDataType="string"/>
    </xmlCellPr>
  </singleXmlCell>
  <singleXmlCell id="1819" xr6:uid="{2B924E11-4D12-49E4-BD1E-B2394266A55C}" r="E19" connectionId="0">
    <xmlCellPr id="1" xr6:uid="{F163F1B5-0482-4FD9-AD09-774A39A43A50}" uniqueName="T4">
      <xmlPr mapId="7" xpath="/MAKE/PP/PPLowerLegform/Lower_Legform/Minus_1/@T4" xmlDataType="decimal"/>
    </xmlCellPr>
  </singleXmlCell>
  <singleXmlCell id="1820" xr6:uid="{B10D0C37-8493-4F57-836E-2D6DEAA608A7}" r="G19" connectionId="0">
    <xmlCellPr id="1" xr6:uid="{DEB788C2-2820-4008-8490-C20CBA83CA1E}" uniqueName="T3">
      <xmlPr mapId="7" xpath="/MAKE/PP/PPLowerLegform/Lower_Legform/Minus_1/@T3" xmlDataType="decimal"/>
    </xmlCellPr>
  </singleXmlCell>
  <singleXmlCell id="1821" xr6:uid="{E87A2F31-5442-42C0-9F56-F0145EDC4D9D}" r="I19" connectionId="0">
    <xmlCellPr id="1" xr6:uid="{37D8D7DF-7A28-4147-8484-54E629D44B19}" uniqueName="T2">
      <xmlPr mapId="7" xpath="/MAKE/PP/PPLowerLegform/Lower_Legform/Minus_1/@T2" xmlDataType="decimal"/>
    </xmlCellPr>
  </singleXmlCell>
  <singleXmlCell id="1822" xr6:uid="{D28808EB-3A31-4598-8872-F321C1E25C15}" r="K19" connectionId="0">
    <xmlCellPr id="1" xr6:uid="{87A3A8A7-2FFF-4696-A4A4-4A56200E05C1}" uniqueName="T1">
      <xmlPr mapId="7" xpath="/MAKE/PP/PPLowerLegform/Lower_Legform/Minus_1/@T1" xmlDataType="decimal"/>
    </xmlCellPr>
  </singleXmlCell>
  <singleXmlCell id="1823" xr6:uid="{45152D9E-0EE5-4366-B99C-17A836AF3E3B}" r="M19" connectionId="0">
    <xmlCellPr id="1" xr6:uid="{20E3719F-AAF8-4499-85E6-851EECBF2D87}" uniqueName="Points">
      <xmlPr mapId="7" xpath="/MAKE/PP/PPLowerLegform/Lower_Legform/Minus_1/@Points" xmlDataType="decimal"/>
    </xmlCellPr>
  </singleXmlCell>
  <singleXmlCell id="1824" xr6:uid="{0A6AEFC2-D58F-4483-A58D-648B9D4A51EA}" r="O19" connectionId="0">
    <xmlCellPr id="1" xr6:uid="{85A5D2CB-F245-4B15-B685-A3F7813FE897}" uniqueName="ACL">
      <xmlPr mapId="7" xpath="/MAKE/PP/PPLowerLegform/Lower_Legform/Minus_1/@ACL" xmlDataType="decimal"/>
    </xmlCellPr>
  </singleXmlCell>
  <singleXmlCell id="1825" xr6:uid="{E9F26009-4B64-4E8B-8869-B0C7DB9B592E}" r="Q19" connectionId="0">
    <xmlCellPr id="1" xr6:uid="{946C6F25-ECD7-44EC-B7B0-0C7B185E2B97}" uniqueName="PCL">
      <xmlPr mapId="7" xpath="/MAKE/PP/PPLowerLegform/Lower_Legform/Minus_1/@PCL" xmlDataType="decimal"/>
    </xmlCellPr>
  </singleXmlCell>
  <singleXmlCell id="1826" xr6:uid="{36CA3C17-AE31-48E7-ABE3-67B91455C548}" r="S19" connectionId="0">
    <xmlCellPr id="1" xr6:uid="{1BB7D868-0D6E-496F-83E1-233A4DF4AD20}" uniqueName="MCL_Value">
      <xmlPr mapId="7" xpath="/MAKE/PP/PPLowerLegform/Lower_Legform/Minus_1/@MCL_Value" xmlDataType="decimal"/>
    </xmlCellPr>
  </singleXmlCell>
  <singleXmlCell id="1827" xr6:uid="{531635B8-9B8B-4F19-88BE-F6FC4FB91B46}" r="U19" connectionId="0">
    <xmlCellPr id="1" xr6:uid="{1BCFA61E-4053-403D-B5D0-534BCBFE5BAC}" uniqueName="MCL_Points">
      <xmlPr mapId="7" xpath="/MAKE/PP/PPLowerLegform/Lower_Legform/Minus_1/@MCL_Points" xmlDataType="decimal"/>
    </xmlCellPr>
  </singleXmlCell>
  <singleXmlCell id="1828" xr6:uid="{E8958378-E336-4FA9-AA4D-93440EF43F21}" r="W19" connectionId="0">
    <xmlCellPr id="1" xr6:uid="{78CEFA3A-8FBF-4F31-95C3-4AF3052AC137}" uniqueName="F1">
      <xmlPr mapId="7" xpath="/MAKE/PP/PPLowerLegform/Lower_Legform/Minus_1/@F1" xmlDataType="decimal"/>
    </xmlCellPr>
  </singleXmlCell>
  <singleXmlCell id="1829" xr6:uid="{BF0D6FCB-9E87-456D-9F61-0F4060C26366}" r="Y19" connectionId="0">
    <xmlCellPr id="1" xr6:uid="{F2F66B3C-8028-4150-A6F6-D865167FCAEC}" uniqueName="F2">
      <xmlPr mapId="7" xpath="/MAKE/PP/PPLowerLegform/Lower_Legform/Minus_1/@F2" xmlDataType="decimal"/>
    </xmlCellPr>
  </singleXmlCell>
  <singleXmlCell id="1830" xr6:uid="{C9603D7E-1C84-4840-9E5F-B03ED7A2CF24}" r="AA19" connectionId="0">
    <xmlCellPr id="1" xr6:uid="{831E0044-5A97-4B13-9448-03CD902E16B0}" uniqueName="F3">
      <xmlPr mapId="7" xpath="/MAKE/PP/PPLowerLegform/Lower_Legform/Minus_1/@F3" xmlDataType="decimal"/>
    </xmlCellPr>
  </singleXmlCell>
  <singleXmlCell id="1831" xr6:uid="{B94EFB8B-24E6-45AB-A662-19D8A5EDB386}" r="AC19" connectionId="0">
    <xmlCellPr id="1" xr6:uid="{33AD48BD-17AA-4F7B-AC37-40965D250BA2}" uniqueName="Femur_Moment_Points">
      <xmlPr mapId="7" xpath="/MAKE/PP/PPLowerLegform/Lower_Legform/Minus_1/@Femur_Moment_Points" xmlDataType="decimal"/>
    </xmlCellPr>
  </singleXmlCell>
  <singleXmlCell id="1832" xr6:uid="{8F6AD5A5-BDFB-4166-99DD-8B8DC6D9107D}" r="AE19" connectionId="0">
    <xmlCellPr id="1" xr6:uid="{9C3C622A-8353-465A-9519-7C2E5566372B}" uniqueName="Acceleration">
      <xmlPr mapId="7" xpath="/MAKE/PP/PPLowerLegform/Lower_Legform/Minus_1/@Acceleration" xmlDataType="decimal"/>
    </xmlCellPr>
  </singleXmlCell>
  <singleXmlCell id="1833" xr6:uid="{64100026-A554-4AE5-9834-8FD2A96BECD4}" r="AF19" connectionId="0">
    <xmlCellPr id="1" xr6:uid="{01F44C47-FD03-4616-8BF3-3F458FCC0664}" uniqueName="Total_Tibia_MCL_Points">
      <xmlPr mapId="7" xpath="/MAKE/PP/PPLowerLegform/Lower_Legform/Minus_1/@Total_Tibia_MCL_Points" xmlDataType="decimal"/>
    </xmlCellPr>
  </singleXmlCell>
  <singleXmlCell id="1834" xr6:uid="{54457A16-0956-4FDC-B83D-6D329D64F6BE}" r="AG19" connectionId="0">
    <xmlCellPr id="1" xr6:uid="{9A36B5B4-9A62-4FBC-96A0-FAC6BACCE799}" uniqueName="Total_Femur_Points">
      <xmlPr mapId="7" xpath="/MAKE/PP/PPLowerLegform/Lower_Legform/Minus_1/@Total_Femur_Points" xmlDataType="decimal"/>
    </xmlCellPr>
  </singleXmlCell>
  <singleXmlCell id="1837" xr6:uid="{B9DC5C0F-7A47-4D7F-88F4-366146E51DB2}" r="D20" connectionId="0">
    <xmlCellPr id="1" xr6:uid="{CEC1684C-E167-483A-96B2-8C5B8C5CD7AB}" uniqueName="Description">
      <xmlPr mapId="7" xpath="/MAKE/PP/PPLowerLegform/Lower_Legform/Minus_2/@Description" xmlDataType="string"/>
    </xmlCellPr>
  </singleXmlCell>
  <singleXmlCell id="1838" xr6:uid="{E4D2DEA6-A950-4184-A32F-DE7FEB1CE189}" r="E20" connectionId="0">
    <xmlCellPr id="1" xr6:uid="{CF63E616-3371-4FD1-BB33-3758AAA45F85}" uniqueName="T4">
      <xmlPr mapId="7" xpath="/MAKE/PP/PPLowerLegform/Lower_Legform/Minus_2/@T4" xmlDataType="decimal"/>
    </xmlCellPr>
  </singleXmlCell>
  <singleXmlCell id="1839" xr6:uid="{ECE4FA16-F73F-46DA-AB28-BA490BF3AF12}" r="G20" connectionId="0">
    <xmlCellPr id="1" xr6:uid="{AB8C5D26-120E-4504-A24A-E11F8EE81541}" uniqueName="T3">
      <xmlPr mapId="7" xpath="/MAKE/PP/PPLowerLegform/Lower_Legform/Minus_2/@T3" xmlDataType="decimal"/>
    </xmlCellPr>
  </singleXmlCell>
  <singleXmlCell id="1840" xr6:uid="{580A6338-FA6C-4363-A822-26471C1689D3}" r="I20" connectionId="0">
    <xmlCellPr id="1" xr6:uid="{12B78F8F-F491-4828-8A62-4F89AAF56513}" uniqueName="T2">
      <xmlPr mapId="7" xpath="/MAKE/PP/PPLowerLegform/Lower_Legform/Minus_2/@T2" xmlDataType="decimal"/>
    </xmlCellPr>
  </singleXmlCell>
  <singleXmlCell id="1841" xr6:uid="{DD404641-D89F-49C9-95A6-C8EFDDC05A1B}" r="K20" connectionId="0">
    <xmlCellPr id="1" xr6:uid="{B0427295-C720-4BAB-92F2-C02439E46ABD}" uniqueName="T1">
      <xmlPr mapId="7" xpath="/MAKE/PP/PPLowerLegform/Lower_Legform/Minus_2/@T1" xmlDataType="decimal"/>
    </xmlCellPr>
  </singleXmlCell>
  <singleXmlCell id="1842" xr6:uid="{157D059C-DEFC-4A6F-88F4-A3230AE2DFEC}" r="M20" connectionId="0">
    <xmlCellPr id="1" xr6:uid="{20293BE0-F1BF-4B05-90F2-4E11698E6F7F}" uniqueName="Points">
      <xmlPr mapId="7" xpath="/MAKE/PP/PPLowerLegform/Lower_Legform/Minus_2/@Points" xmlDataType="decimal"/>
    </xmlCellPr>
  </singleXmlCell>
  <singleXmlCell id="1843" xr6:uid="{B08F6ABC-AD32-4C13-AFF2-7CFF091C7734}" r="O20" connectionId="0">
    <xmlCellPr id="1" xr6:uid="{C03B1232-D990-4BC0-AA95-2BF901872E02}" uniqueName="ACL">
      <xmlPr mapId="7" xpath="/MAKE/PP/PPLowerLegform/Lower_Legform/Minus_2/@ACL" xmlDataType="decimal"/>
    </xmlCellPr>
  </singleXmlCell>
  <singleXmlCell id="1844" xr6:uid="{BFF0909F-4373-41C6-BB47-062BCB1F3114}" r="Q20" connectionId="0">
    <xmlCellPr id="1" xr6:uid="{47411465-F6C1-4DED-A31C-F69E938A0C4D}" uniqueName="PCL">
      <xmlPr mapId="7" xpath="/MAKE/PP/PPLowerLegform/Lower_Legform/Minus_2/@PCL" xmlDataType="decimal"/>
    </xmlCellPr>
  </singleXmlCell>
  <singleXmlCell id="1845" xr6:uid="{05BC4401-AC16-422A-86CD-3A4CB6CA3111}" r="S20" connectionId="0">
    <xmlCellPr id="1" xr6:uid="{90CBB91C-E318-4C71-9176-BECE7C0CF1E6}" uniqueName="MCL_Value">
      <xmlPr mapId="7" xpath="/MAKE/PP/PPLowerLegform/Lower_Legform/Minus_2/@MCL_Value" xmlDataType="decimal"/>
    </xmlCellPr>
  </singleXmlCell>
  <singleXmlCell id="1846" xr6:uid="{48201B7D-2E27-467E-A5FB-B1965E662729}" r="U20" connectionId="0">
    <xmlCellPr id="1" xr6:uid="{2242577E-15EF-40FE-BE62-446191159EFC}" uniqueName="MCL_Points">
      <xmlPr mapId="7" xpath="/MAKE/PP/PPLowerLegform/Lower_Legform/Minus_2/@MCL_Points" xmlDataType="decimal"/>
    </xmlCellPr>
  </singleXmlCell>
  <singleXmlCell id="1847" xr6:uid="{3BBBB0FC-9376-484E-A75B-1D3506D9CA16}" r="W20" connectionId="0">
    <xmlCellPr id="1" xr6:uid="{8BFFB9FB-5BD3-4D28-B78A-6CFE9ED20581}" uniqueName="F1">
      <xmlPr mapId="7" xpath="/MAKE/PP/PPLowerLegform/Lower_Legform/Minus_2/@F1" xmlDataType="decimal"/>
    </xmlCellPr>
  </singleXmlCell>
  <singleXmlCell id="1848" xr6:uid="{ECD5D72A-6EB7-4845-8E7D-6BA60E794226}" r="Y20" connectionId="0">
    <xmlCellPr id="1" xr6:uid="{401407D8-81EC-40BF-B3F7-BE16F5C9E636}" uniqueName="F2">
      <xmlPr mapId="7" xpath="/MAKE/PP/PPLowerLegform/Lower_Legform/Minus_2/@F2" xmlDataType="decimal"/>
    </xmlCellPr>
  </singleXmlCell>
  <singleXmlCell id="1849" xr6:uid="{A0CFECA0-BFD2-44D2-B7DF-FF9FE34E7BA3}" r="AA20" connectionId="0">
    <xmlCellPr id="1" xr6:uid="{848C7BDF-813B-408A-A145-BEF873FAFA92}" uniqueName="F3">
      <xmlPr mapId="7" xpath="/MAKE/PP/PPLowerLegform/Lower_Legform/Minus_2/@F3" xmlDataType="decimal"/>
    </xmlCellPr>
  </singleXmlCell>
  <singleXmlCell id="1850" xr6:uid="{1996ECC9-EE57-4DCD-A524-21D2CAFD76FC}" r="AC20" connectionId="0">
    <xmlCellPr id="1" xr6:uid="{1A21DB1D-4CF2-40E4-A9DF-3D524932E85D}" uniqueName="Femur_Moment_Points">
      <xmlPr mapId="7" xpath="/MAKE/PP/PPLowerLegform/Lower_Legform/Minus_2/@Femur_Moment_Points" xmlDataType="decimal"/>
    </xmlCellPr>
  </singleXmlCell>
  <singleXmlCell id="1851" xr6:uid="{35A5C074-D79A-4200-8365-5187C60F3B68}" r="AE20" connectionId="0">
    <xmlCellPr id="1" xr6:uid="{5330889E-EC62-484A-A9F7-C8908E3F4286}" uniqueName="Acceleration">
      <xmlPr mapId="7" xpath="/MAKE/PP/PPLowerLegform/Lower_Legform/Minus_2/@Acceleration" xmlDataType="decimal"/>
    </xmlCellPr>
  </singleXmlCell>
  <singleXmlCell id="1852" xr6:uid="{AEB92BC9-2485-44BE-BA67-10FEF2C85A77}" r="AF20" connectionId="0">
    <xmlCellPr id="1" xr6:uid="{4E311303-C531-4DC5-ABBD-7D4DDC2F5CD3}" uniqueName="Total_Tibia_MCL_Points">
      <xmlPr mapId="7" xpath="/MAKE/PP/PPLowerLegform/Lower_Legform/Minus_2/@Total_Tibia_MCL_Points" xmlDataType="decimal"/>
    </xmlCellPr>
  </singleXmlCell>
  <singleXmlCell id="1853" xr6:uid="{049FF9A4-9166-47AC-99AA-DC1AEA44B160}" r="AG20" connectionId="0">
    <xmlCellPr id="1" xr6:uid="{E5D7AB0A-2768-417E-A545-4322E970F650}" uniqueName="Total_Femur_Points">
      <xmlPr mapId="7" xpath="/MAKE/PP/PPLowerLegform/Lower_Legform/Minus_2/@Total_Femur_Points" xmlDataType="decimal"/>
    </xmlCellPr>
  </singleXmlCell>
  <singleXmlCell id="1856" xr6:uid="{49AC17C0-298D-4CF5-B3DF-C13A57B70E79}" r="D21" connectionId="0">
    <xmlCellPr id="1" xr6:uid="{AC6C216F-426E-49AF-AE89-1561154E650F}" uniqueName="Description">
      <xmlPr mapId="7" xpath="/MAKE/PP/PPLowerLegform/Lower_Legform/Minus_3/@Description" xmlDataType="string"/>
    </xmlCellPr>
  </singleXmlCell>
  <singleXmlCell id="1857" xr6:uid="{AE36A5C8-89A4-48C8-B842-80505F0B5243}" r="E21" connectionId="0">
    <xmlCellPr id="1" xr6:uid="{B66D9F51-A647-4DEA-BCB9-8A84B224EEDA}" uniqueName="T4">
      <xmlPr mapId="7" xpath="/MAKE/PP/PPLowerLegform/Lower_Legform/Minus_3/@T4" xmlDataType="decimal"/>
    </xmlCellPr>
  </singleXmlCell>
  <singleXmlCell id="1858" xr6:uid="{6AB444F6-CF4F-4B85-B944-2B890EEBEAEC}" r="G21" connectionId="0">
    <xmlCellPr id="1" xr6:uid="{6C5AA858-EF1B-4889-838E-4743682FF3B2}" uniqueName="T3">
      <xmlPr mapId="7" xpath="/MAKE/PP/PPLowerLegform/Lower_Legform/Minus_3/@T3" xmlDataType="decimal"/>
    </xmlCellPr>
  </singleXmlCell>
  <singleXmlCell id="1859" xr6:uid="{B221D9AF-E193-423B-B47B-07C8BDC00B18}" r="I21" connectionId="0">
    <xmlCellPr id="1" xr6:uid="{F9E74E2D-4093-48C9-89AC-D1BE3E06004A}" uniqueName="T2">
      <xmlPr mapId="7" xpath="/MAKE/PP/PPLowerLegform/Lower_Legform/Minus_3/@T2" xmlDataType="decimal"/>
    </xmlCellPr>
  </singleXmlCell>
  <singleXmlCell id="1860" xr6:uid="{ADFA4095-12DC-41FE-BCB0-005A9DCA1878}" r="K21" connectionId="0">
    <xmlCellPr id="1" xr6:uid="{1920A5FA-D684-420F-BA6A-591E3E8A5B97}" uniqueName="T1">
      <xmlPr mapId="7" xpath="/MAKE/PP/PPLowerLegform/Lower_Legform/Minus_3/@T1" xmlDataType="decimal"/>
    </xmlCellPr>
  </singleXmlCell>
  <singleXmlCell id="1861" xr6:uid="{B877F770-3C3B-4EB3-B65E-9199077AF2BA}" r="M21" connectionId="0">
    <xmlCellPr id="1" xr6:uid="{DC112E56-950B-4AB4-98DB-0DACE501C587}" uniqueName="Points">
      <xmlPr mapId="7" xpath="/MAKE/PP/PPLowerLegform/Lower_Legform/Minus_3/@Points" xmlDataType="decimal"/>
    </xmlCellPr>
  </singleXmlCell>
  <singleXmlCell id="1862" xr6:uid="{FC30B1B7-C025-45B4-97E5-120661B4D858}" r="O21" connectionId="0">
    <xmlCellPr id="1" xr6:uid="{2B8D4771-350A-4264-8E0D-2BD7B22FB8BB}" uniqueName="ACL">
      <xmlPr mapId="7" xpath="/MAKE/PP/PPLowerLegform/Lower_Legform/Minus_3/@ACL" xmlDataType="decimal"/>
    </xmlCellPr>
  </singleXmlCell>
  <singleXmlCell id="1863" xr6:uid="{C87ABCB1-B12B-45E9-8133-1EF7E9F9018D}" r="Q21" connectionId="0">
    <xmlCellPr id="1" xr6:uid="{0D59A777-04CE-431B-94D3-6F1086F956F1}" uniqueName="PCL">
      <xmlPr mapId="7" xpath="/MAKE/PP/PPLowerLegform/Lower_Legform/Minus_3/@PCL" xmlDataType="decimal"/>
    </xmlCellPr>
  </singleXmlCell>
  <singleXmlCell id="1864" xr6:uid="{67DF85A4-70A7-430B-B197-0CBB21318EC7}" r="S21" connectionId="0">
    <xmlCellPr id="1" xr6:uid="{11F48791-E9D0-40A6-8190-DA4705CF2EB1}" uniqueName="MCL_Value">
      <xmlPr mapId="7" xpath="/MAKE/PP/PPLowerLegform/Lower_Legform/Minus_3/@MCL_Value" xmlDataType="decimal"/>
    </xmlCellPr>
  </singleXmlCell>
  <singleXmlCell id="1865" xr6:uid="{0CF0EBB5-AE9D-4C17-82A0-4C8C555B9808}" r="U21" connectionId="0">
    <xmlCellPr id="1" xr6:uid="{17348A0B-C963-4320-B7D3-10EE2A9AA9D2}" uniqueName="MCL_Points">
      <xmlPr mapId="7" xpath="/MAKE/PP/PPLowerLegform/Lower_Legform/Minus_3/@MCL_Points" xmlDataType="decimal"/>
    </xmlCellPr>
  </singleXmlCell>
  <singleXmlCell id="1866" xr6:uid="{1BE97013-120E-4AB2-8956-3FAE83F25342}" r="W21" connectionId="0">
    <xmlCellPr id="1" xr6:uid="{890DE6BC-E1D0-4E39-BCFE-A475FA83F9D2}" uniqueName="F1">
      <xmlPr mapId="7" xpath="/MAKE/PP/PPLowerLegform/Lower_Legform/Minus_3/@F1" xmlDataType="decimal"/>
    </xmlCellPr>
  </singleXmlCell>
  <singleXmlCell id="1867" xr6:uid="{F8B22EC6-D2CD-459F-9332-CD41BAFECCF0}" r="Y21" connectionId="0">
    <xmlCellPr id="1" xr6:uid="{95B815DD-80D4-445F-A2D2-4CAD5CF8CFAA}" uniqueName="F2">
      <xmlPr mapId="7" xpath="/MAKE/PP/PPLowerLegform/Lower_Legform/Minus_3/@F2" xmlDataType="decimal"/>
    </xmlCellPr>
  </singleXmlCell>
  <singleXmlCell id="1868" xr6:uid="{D5D534D5-25EA-4507-BD67-F1ACCF1AB112}" r="AA21" connectionId="0">
    <xmlCellPr id="1" xr6:uid="{23970FC5-A391-4972-A95D-01C9CB49F07C}" uniqueName="F3">
      <xmlPr mapId="7" xpath="/MAKE/PP/PPLowerLegform/Lower_Legform/Minus_3/@F3" xmlDataType="decimal"/>
    </xmlCellPr>
  </singleXmlCell>
  <singleXmlCell id="1869" xr6:uid="{DBB17FE8-2298-4607-A745-045C4B41631A}" r="AC21" connectionId="0">
    <xmlCellPr id="1" xr6:uid="{2F0D9983-6D65-4A1A-91F8-2B252FEB284B}" uniqueName="Femur_Moment_Points">
      <xmlPr mapId="7" xpath="/MAKE/PP/PPLowerLegform/Lower_Legform/Minus_3/@Femur_Moment_Points" xmlDataType="decimal"/>
    </xmlCellPr>
  </singleXmlCell>
  <singleXmlCell id="1870" xr6:uid="{BC463837-A0E3-4270-9DEE-7606E95CBA69}" r="AE21" connectionId="0">
    <xmlCellPr id="1" xr6:uid="{A3D07A39-B593-4058-8529-B0354D541232}" uniqueName="Acceleration">
      <xmlPr mapId="7" xpath="/MAKE/PP/PPLowerLegform/Lower_Legform/Minus_3/@Acceleration" xmlDataType="decimal"/>
    </xmlCellPr>
  </singleXmlCell>
  <singleXmlCell id="1871" xr6:uid="{85CB64D1-4665-4C17-9954-4D96A8E9C27A}" r="AF21" connectionId="0">
    <xmlCellPr id="1" xr6:uid="{5E72E277-9CFD-4BD1-856A-EE7DFB79C81B}" uniqueName="Total_Tibia_MCL_Points">
      <xmlPr mapId="7" xpath="/MAKE/PP/PPLowerLegform/Lower_Legform/Minus_3/@Total_Tibia_MCL_Points" xmlDataType="decimal"/>
    </xmlCellPr>
  </singleXmlCell>
  <singleXmlCell id="1872" xr6:uid="{8D09E7B1-B3C0-40CF-B180-1E4AA5EA8EB0}" r="AG21" connectionId="0">
    <xmlCellPr id="1" xr6:uid="{5F6B230D-486E-4C17-B3F9-DBB3B8D88EB4}" uniqueName="Total_Femur_Points">
      <xmlPr mapId="7" xpath="/MAKE/PP/PPLowerLegform/Lower_Legform/Minus_3/@Total_Femur_Points" xmlDataType="decimal"/>
    </xmlCellPr>
  </singleXmlCell>
  <singleXmlCell id="1875" xr6:uid="{F5EA33B3-8A83-49E9-8BB1-515D4E621053}" r="D22" connectionId="0">
    <xmlCellPr id="1" xr6:uid="{58624AE2-D6F8-4B53-8A17-4565CA227C19}" uniqueName="Description">
      <xmlPr mapId="7" xpath="/MAKE/PP/PPLowerLegform/Lower_Legform/Minus_4/@Description" xmlDataType="string"/>
    </xmlCellPr>
  </singleXmlCell>
  <singleXmlCell id="1876" xr6:uid="{3CEF9197-65D8-4E0E-9275-3E013CE6434D}" r="E22" connectionId="0">
    <xmlCellPr id="1" xr6:uid="{1099AD5C-ACEC-4E2F-8E6E-4F6678EEA5F7}" uniqueName="T4">
      <xmlPr mapId="7" xpath="/MAKE/PP/PPLowerLegform/Lower_Legform/Minus_4/@T4" xmlDataType="decimal"/>
    </xmlCellPr>
  </singleXmlCell>
  <singleXmlCell id="1877" xr6:uid="{4D6A2346-51C7-4B06-AB69-188A909ABA6D}" r="G22" connectionId="0">
    <xmlCellPr id="1" xr6:uid="{741B9149-0210-485A-BBAE-EFD2EB0211C1}" uniqueName="T3">
      <xmlPr mapId="7" xpath="/MAKE/PP/PPLowerLegform/Lower_Legform/Minus_4/@T3" xmlDataType="decimal"/>
    </xmlCellPr>
  </singleXmlCell>
  <singleXmlCell id="1878" xr6:uid="{5E861288-3597-47AD-9F58-94C8AD590FA7}" r="I22" connectionId="0">
    <xmlCellPr id="1" xr6:uid="{E5751746-FA5A-4598-863C-52F314106B15}" uniqueName="T2">
      <xmlPr mapId="7" xpath="/MAKE/PP/PPLowerLegform/Lower_Legform/Minus_4/@T2" xmlDataType="decimal"/>
    </xmlCellPr>
  </singleXmlCell>
  <singleXmlCell id="1879" xr6:uid="{49040F0E-94E6-4895-B5B8-DD2B7C046F58}" r="K22" connectionId="0">
    <xmlCellPr id="1" xr6:uid="{2D2ADECE-2719-474F-9383-B02B5018057E}" uniqueName="T1">
      <xmlPr mapId="7" xpath="/MAKE/PP/PPLowerLegform/Lower_Legform/Minus_4/@T1" xmlDataType="decimal"/>
    </xmlCellPr>
  </singleXmlCell>
  <singleXmlCell id="1880" xr6:uid="{F3FCA4C5-9662-464C-8B8C-DDA52703B203}" r="M22" connectionId="0">
    <xmlCellPr id="1" xr6:uid="{F56E7678-6193-4339-86B8-E84F630BB2E4}" uniqueName="Points">
      <xmlPr mapId="7" xpath="/MAKE/PP/PPLowerLegform/Lower_Legform/Minus_4/@Points" xmlDataType="decimal"/>
    </xmlCellPr>
  </singleXmlCell>
  <singleXmlCell id="1881" xr6:uid="{CB6F09A6-8001-4C32-8E17-C7CC43F8F694}" r="O22" connectionId="0">
    <xmlCellPr id="1" xr6:uid="{CA7B937D-9DCE-418A-8126-F33F39CB3711}" uniqueName="ACL">
      <xmlPr mapId="7" xpath="/MAKE/PP/PPLowerLegform/Lower_Legform/Minus_4/@ACL" xmlDataType="decimal"/>
    </xmlCellPr>
  </singleXmlCell>
  <singleXmlCell id="1882" xr6:uid="{7ECA5655-55B0-4EB9-BDDB-A41276EEB856}" r="Q22" connectionId="0">
    <xmlCellPr id="1" xr6:uid="{8847F59D-9949-440B-8A8B-DC65BCA35900}" uniqueName="PCL">
      <xmlPr mapId="7" xpath="/MAKE/PP/PPLowerLegform/Lower_Legform/Minus_4/@PCL" xmlDataType="decimal"/>
    </xmlCellPr>
  </singleXmlCell>
  <singleXmlCell id="1883" xr6:uid="{265C818C-F895-4546-B76F-0D14073BE6FE}" r="S22" connectionId="0">
    <xmlCellPr id="1" xr6:uid="{F9D1F4C4-907C-4C75-BB4C-8756EBDA16CB}" uniqueName="MCL_Value">
      <xmlPr mapId="7" xpath="/MAKE/PP/PPLowerLegform/Lower_Legform/Minus_4/@MCL_Value" xmlDataType="decimal"/>
    </xmlCellPr>
  </singleXmlCell>
  <singleXmlCell id="1884" xr6:uid="{905D2141-A8C1-4C59-B10E-61316CB1CBB3}" r="U22" connectionId="0">
    <xmlCellPr id="1" xr6:uid="{0E793646-1D99-49B2-9837-7EC59B68EFD6}" uniqueName="MCL_Points">
      <xmlPr mapId="7" xpath="/MAKE/PP/PPLowerLegform/Lower_Legform/Minus_4/@MCL_Points" xmlDataType="decimal"/>
    </xmlCellPr>
  </singleXmlCell>
  <singleXmlCell id="1885" xr6:uid="{A73FA36C-CC7B-4BD6-89AD-AA3D8C5613B3}" r="W22" connectionId="0">
    <xmlCellPr id="1" xr6:uid="{88174347-DD01-40F8-A18F-B6D1165CF87F}" uniqueName="F1">
      <xmlPr mapId="7" xpath="/MAKE/PP/PPLowerLegform/Lower_Legform/Minus_4/@F1" xmlDataType="decimal"/>
    </xmlCellPr>
  </singleXmlCell>
  <singleXmlCell id="1886" xr6:uid="{1EB2F493-187C-49F8-92A2-DE02F7D63A13}" r="Y22" connectionId="0">
    <xmlCellPr id="1" xr6:uid="{6B4D6B37-5FBB-4FFC-ADE9-6B14F1FE6E9C}" uniqueName="F2">
      <xmlPr mapId="7" xpath="/MAKE/PP/PPLowerLegform/Lower_Legform/Minus_4/@F2" xmlDataType="decimal"/>
    </xmlCellPr>
  </singleXmlCell>
  <singleXmlCell id="1887" xr6:uid="{85F6A719-3A62-4CA6-AD7D-DE229FF398A8}" r="AA22" connectionId="0">
    <xmlCellPr id="1" xr6:uid="{D7FA335E-1D71-40A3-B015-FC22A31DF838}" uniqueName="F3">
      <xmlPr mapId="7" xpath="/MAKE/PP/PPLowerLegform/Lower_Legform/Minus_4/@F3" xmlDataType="decimal"/>
    </xmlCellPr>
  </singleXmlCell>
  <singleXmlCell id="1888" xr6:uid="{34E611BE-0E4C-4CF5-A00A-564DF736870E}" r="AC22" connectionId="0">
    <xmlCellPr id="1" xr6:uid="{E411E37D-3CE6-4F34-9E09-8B16FC2412AC}" uniqueName="Femur_Moment_Points">
      <xmlPr mapId="7" xpath="/MAKE/PP/PPLowerLegform/Lower_Legform/Minus_4/@Femur_Moment_Points" xmlDataType="decimal"/>
    </xmlCellPr>
  </singleXmlCell>
  <singleXmlCell id="1889" xr6:uid="{4E2F6817-D522-4606-9623-892697C5BD00}" r="AE22" connectionId="0">
    <xmlCellPr id="1" xr6:uid="{2643709E-6BAA-4C47-9DCC-6D3D6C3D045F}" uniqueName="Acceleration">
      <xmlPr mapId="7" xpath="/MAKE/PP/PPLowerLegform/Lower_Legform/Minus_4/@Acceleration" xmlDataType="decimal"/>
    </xmlCellPr>
  </singleXmlCell>
  <singleXmlCell id="1890" xr6:uid="{3E5AD375-1A03-41AD-8C46-9ED338B3F111}" r="AF22" connectionId="0">
    <xmlCellPr id="1" xr6:uid="{29867BC3-644C-4D97-89FB-FDFF1B0053E9}" uniqueName="Total_Tibia_MCL_Points">
      <xmlPr mapId="7" xpath="/MAKE/PP/PPLowerLegform/Lower_Legform/Minus_4/@Total_Tibia_MCL_Points" xmlDataType="decimal"/>
    </xmlCellPr>
  </singleXmlCell>
  <singleXmlCell id="1891" xr6:uid="{1643A540-EF4A-470C-9423-E68CB89D80FA}" r="AG22" connectionId="0">
    <xmlCellPr id="1" xr6:uid="{DA7219A2-BC17-4C03-90DF-F14E810682F8}" uniqueName="Total_Femur_Points">
      <xmlPr mapId="7" xpath="/MAKE/PP/PPLowerLegform/Lower_Legform/Minus_4/@Total_Femur_Points" xmlDataType="decimal"/>
    </xmlCellPr>
  </singleXmlCell>
  <singleXmlCell id="1894" xr6:uid="{499F800B-E8E9-4FE0-972A-5BD8254CEA5E}" r="D23" connectionId="0">
    <xmlCellPr id="1" xr6:uid="{34B4BC8A-F766-42D5-ADA2-940C9B426C47}" uniqueName="Description">
      <xmlPr mapId="7" xpath="/MAKE/PP/PPLowerLegform/Lower_Legform/Minus_5/@Description" xmlDataType="string"/>
    </xmlCellPr>
  </singleXmlCell>
  <singleXmlCell id="1895" xr6:uid="{9C2FCAB9-701B-4C43-95C7-E8B2B7B8BEA2}" r="E23" connectionId="0">
    <xmlCellPr id="1" xr6:uid="{FC5FEE8C-38C6-4F42-B797-3CAFBBA944FB}" uniqueName="T4">
      <xmlPr mapId="7" xpath="/MAKE/PP/PPLowerLegform/Lower_Legform/Minus_5/@T4" xmlDataType="decimal"/>
    </xmlCellPr>
  </singleXmlCell>
  <singleXmlCell id="1896" xr6:uid="{FC7DBE87-FACF-4605-B57E-F625B33A5CAE}" r="G23" connectionId="0">
    <xmlCellPr id="1" xr6:uid="{67A019CC-3622-4C34-BE7A-64DCDB1DCD38}" uniqueName="T3">
      <xmlPr mapId="7" xpath="/MAKE/PP/PPLowerLegform/Lower_Legform/Minus_5/@T3" xmlDataType="decimal"/>
    </xmlCellPr>
  </singleXmlCell>
  <singleXmlCell id="1897" xr6:uid="{610B56AE-5727-4640-A1F4-5C7C4B461750}" r="I23" connectionId="0">
    <xmlCellPr id="1" xr6:uid="{28B9D9C9-74B7-4CBE-A375-B9B29361468E}" uniqueName="T2">
      <xmlPr mapId="7" xpath="/MAKE/PP/PPLowerLegform/Lower_Legform/Minus_5/@T2" xmlDataType="decimal"/>
    </xmlCellPr>
  </singleXmlCell>
  <singleXmlCell id="1898" xr6:uid="{2EF2AD99-F759-49F0-A504-2D7691DCA7D2}" r="K23" connectionId="0">
    <xmlCellPr id="1" xr6:uid="{BE0FB7C7-ADB6-4FAF-AE3D-0214042B06BB}" uniqueName="T1">
      <xmlPr mapId="7" xpath="/MAKE/PP/PPLowerLegform/Lower_Legform/Minus_5/@T1" xmlDataType="decimal"/>
    </xmlCellPr>
  </singleXmlCell>
  <singleXmlCell id="1899" xr6:uid="{B2453AC6-DC6B-4EF5-A60B-BA6A689E2E6B}" r="M23" connectionId="0">
    <xmlCellPr id="1" xr6:uid="{24C9C98D-FA55-4F14-944E-B1602484DC66}" uniqueName="Points">
      <xmlPr mapId="7" xpath="/MAKE/PP/PPLowerLegform/Lower_Legform/Minus_5/@Points" xmlDataType="decimal"/>
    </xmlCellPr>
  </singleXmlCell>
  <singleXmlCell id="1900" xr6:uid="{6CBB81E5-AB9C-4382-83B5-57C7148402D0}" r="O23" connectionId="0">
    <xmlCellPr id="1" xr6:uid="{764634E4-4CFC-440E-9458-88D146FDCDEF}" uniqueName="ACL">
      <xmlPr mapId="7" xpath="/MAKE/PP/PPLowerLegform/Lower_Legform/Minus_5/@ACL" xmlDataType="decimal"/>
    </xmlCellPr>
  </singleXmlCell>
  <singleXmlCell id="1901" xr6:uid="{7A519434-54E1-45B1-A299-49B8193217C9}" r="Q23" connectionId="0">
    <xmlCellPr id="1" xr6:uid="{7183D434-F92F-4152-9066-183F73551D11}" uniqueName="PCL">
      <xmlPr mapId="7" xpath="/MAKE/PP/PPLowerLegform/Lower_Legform/Minus_5/@PCL" xmlDataType="decimal"/>
    </xmlCellPr>
  </singleXmlCell>
  <singleXmlCell id="1902" xr6:uid="{C8837711-756E-4405-B297-33A3DE24F83B}" r="S23" connectionId="0">
    <xmlCellPr id="1" xr6:uid="{28F85953-EAEF-48E9-BBDA-6662936555A9}" uniqueName="MCL_Value">
      <xmlPr mapId="7" xpath="/MAKE/PP/PPLowerLegform/Lower_Legform/Minus_5/@MCL_Value" xmlDataType="decimal"/>
    </xmlCellPr>
  </singleXmlCell>
  <singleXmlCell id="1903" xr6:uid="{F098D127-3D9C-495B-BA82-B9F4ACE3AC0D}" r="U23" connectionId="0">
    <xmlCellPr id="1" xr6:uid="{5D93B7C6-5D95-481F-9840-CED224CAE00C}" uniqueName="MCL_Points">
      <xmlPr mapId="7" xpath="/MAKE/PP/PPLowerLegform/Lower_Legform/Minus_5/@MCL_Points" xmlDataType="decimal"/>
    </xmlCellPr>
  </singleXmlCell>
  <singleXmlCell id="1904" xr6:uid="{35F172F0-9DE1-439F-AC6E-90F6CBFAE0A8}" r="W23" connectionId="0">
    <xmlCellPr id="1" xr6:uid="{A005C257-44CE-4CDB-A18B-49665C40F1D6}" uniqueName="F1">
      <xmlPr mapId="7" xpath="/MAKE/PP/PPLowerLegform/Lower_Legform/Minus_5/@F1" xmlDataType="decimal"/>
    </xmlCellPr>
  </singleXmlCell>
  <singleXmlCell id="1905" xr6:uid="{9BBFF42B-8C2E-42C2-8F3C-78078D27C155}" r="Y23" connectionId="0">
    <xmlCellPr id="1" xr6:uid="{9A70768C-22C5-4C02-87AC-7C85758E8394}" uniqueName="F2">
      <xmlPr mapId="7" xpath="/MAKE/PP/PPLowerLegform/Lower_Legform/Minus_5/@F2" xmlDataType="decimal"/>
    </xmlCellPr>
  </singleXmlCell>
  <singleXmlCell id="1906" xr6:uid="{F6BF3A6B-0874-41FC-B44D-1D35C7769EB3}" r="AA23" connectionId="0">
    <xmlCellPr id="1" xr6:uid="{FD7780A3-3F79-43AD-9BB6-B52531C562AF}" uniqueName="F3">
      <xmlPr mapId="7" xpath="/MAKE/PP/PPLowerLegform/Lower_Legform/Minus_5/@F3" xmlDataType="decimal"/>
    </xmlCellPr>
  </singleXmlCell>
  <singleXmlCell id="1907" xr6:uid="{C5273B32-F7E7-4C08-AF2A-3E699DBAD00B}" r="AC23" connectionId="0">
    <xmlCellPr id="1" xr6:uid="{BFF5911F-04F2-4D0B-90B1-01607CD54AB7}" uniqueName="Femur_Moment_Points">
      <xmlPr mapId="7" xpath="/MAKE/PP/PPLowerLegform/Lower_Legform/Minus_5/@Femur_Moment_Points" xmlDataType="decimal"/>
    </xmlCellPr>
  </singleXmlCell>
  <singleXmlCell id="1908" xr6:uid="{EF716298-3B36-46BD-A9BD-A06911FD1CA5}" r="AE23" connectionId="0">
    <xmlCellPr id="1" xr6:uid="{32BA4250-AF4B-4617-BD01-1B9CE2C63105}" uniqueName="Acceleration">
      <xmlPr mapId="7" xpath="/MAKE/PP/PPLowerLegform/Lower_Legform/Minus_5/@Acceleration" xmlDataType="decimal"/>
    </xmlCellPr>
  </singleXmlCell>
  <singleXmlCell id="1909" xr6:uid="{95BD86D1-5913-4430-B37A-AE69EDF1877D}" r="AF23" connectionId="0">
    <xmlCellPr id="1" xr6:uid="{F43F5DBE-229F-4A62-AD47-375B2C74F31E}" uniqueName="Total_Tibia_MCL_Points">
      <xmlPr mapId="7" xpath="/MAKE/PP/PPLowerLegform/Lower_Legform/Minus_5/@Total_Tibia_MCL_Points" xmlDataType="decimal"/>
    </xmlCellPr>
  </singleXmlCell>
  <singleXmlCell id="1910" xr6:uid="{BDF40202-2069-4EB4-9500-E6D673B2C655}" r="AG23" connectionId="0">
    <xmlCellPr id="1" xr6:uid="{17D17843-FC2A-413C-92BC-D2E7A7E8C9CF}" uniqueName="Total_Femur_Points">
      <xmlPr mapId="7" xpath="/MAKE/PP/PPLowerLegform/Lower_Legform/Minus_5/@Total_Femur_Points" xmlDataType="decimal"/>
    </xmlCellPr>
  </singleXmlCell>
  <singleXmlCell id="1913" xr6:uid="{F88D3246-061B-43C2-8B2D-90AFE67CB04D}" r="D24" connectionId="0">
    <xmlCellPr id="1" xr6:uid="{A1BB304F-8CD3-42CC-9477-139553989D0E}" uniqueName="Description">
      <xmlPr mapId="7" xpath="/MAKE/PP/PPLowerLegform/Lower_Legform/Minus_6/@Description" xmlDataType="string"/>
    </xmlCellPr>
  </singleXmlCell>
  <singleXmlCell id="1914" xr6:uid="{63E823DE-FD7C-4E59-997F-03C3676D9BE7}" r="E24" connectionId="0">
    <xmlCellPr id="1" xr6:uid="{5F2E80E3-4079-4C32-8E75-5872C8F04C8A}" uniqueName="T4">
      <xmlPr mapId="7" xpath="/MAKE/PP/PPLowerLegform/Lower_Legform/Minus_6/@T4" xmlDataType="decimal"/>
    </xmlCellPr>
  </singleXmlCell>
  <singleXmlCell id="1915" xr6:uid="{D6DD1FB7-CB88-4B60-95B1-44AAD4B129D9}" r="G24" connectionId="0">
    <xmlCellPr id="1" xr6:uid="{F8666191-6CA0-4398-B476-84685D054D1D}" uniqueName="T3">
      <xmlPr mapId="7" xpath="/MAKE/PP/PPLowerLegform/Lower_Legform/Minus_6/@T3" xmlDataType="decimal"/>
    </xmlCellPr>
  </singleXmlCell>
  <singleXmlCell id="1916" xr6:uid="{4F77E6DA-F23C-4BD7-89B8-F992F66343CD}" r="I24" connectionId="0">
    <xmlCellPr id="1" xr6:uid="{B9FD24C7-74FB-4D8C-A627-A5174F63FF68}" uniqueName="T2">
      <xmlPr mapId="7" xpath="/MAKE/PP/PPLowerLegform/Lower_Legform/Minus_6/@T2" xmlDataType="decimal"/>
    </xmlCellPr>
  </singleXmlCell>
  <singleXmlCell id="1917" xr6:uid="{0C4B0ABD-0DDF-4294-84E9-F9C109E4B34C}" r="K24" connectionId="0">
    <xmlCellPr id="1" xr6:uid="{CBBF9185-E916-4B2E-A32C-17D25257CEDC}" uniqueName="T1">
      <xmlPr mapId="7" xpath="/MAKE/PP/PPLowerLegform/Lower_Legform/Minus_6/@T1" xmlDataType="decimal"/>
    </xmlCellPr>
  </singleXmlCell>
  <singleXmlCell id="1918" xr6:uid="{B611D101-4BAC-4C6D-A504-2C8625544DA6}" r="M24" connectionId="0">
    <xmlCellPr id="1" xr6:uid="{C614FCBD-7DC7-4E9D-BD2D-2351C7BC82D6}" uniqueName="Points">
      <xmlPr mapId="7" xpath="/MAKE/PP/PPLowerLegform/Lower_Legform/Minus_6/@Points" xmlDataType="decimal"/>
    </xmlCellPr>
  </singleXmlCell>
  <singleXmlCell id="1919" xr6:uid="{57F2086E-4FC8-4481-9AD3-503CC6435C2A}" r="O24" connectionId="0">
    <xmlCellPr id="1" xr6:uid="{F75FEF0B-05C1-44FE-908D-E8BB623B1159}" uniqueName="ACL">
      <xmlPr mapId="7" xpath="/MAKE/PP/PPLowerLegform/Lower_Legform/Minus_6/@ACL" xmlDataType="decimal"/>
    </xmlCellPr>
  </singleXmlCell>
  <singleXmlCell id="1920" xr6:uid="{5A8AB735-6220-4DE3-839E-F2C061867F72}" r="Q24" connectionId="0">
    <xmlCellPr id="1" xr6:uid="{D8DDA58B-9DE7-4351-A946-046C34C461CE}" uniqueName="PCL">
      <xmlPr mapId="7" xpath="/MAKE/PP/PPLowerLegform/Lower_Legform/Minus_6/@PCL" xmlDataType="decimal"/>
    </xmlCellPr>
  </singleXmlCell>
  <singleXmlCell id="1921" xr6:uid="{0119B358-5F8B-4575-9DD3-4C15CDCB48FC}" r="S24" connectionId="0">
    <xmlCellPr id="1" xr6:uid="{CB13BF56-7FC1-4627-BCE2-617006AD513A}" uniqueName="MCL_Value">
      <xmlPr mapId="7" xpath="/MAKE/PP/PPLowerLegform/Lower_Legform/Minus_6/@MCL_Value" xmlDataType="decimal"/>
    </xmlCellPr>
  </singleXmlCell>
  <singleXmlCell id="1922" xr6:uid="{FBECA0FD-A7E7-470F-9910-4064CDE48AD0}" r="U24" connectionId="0">
    <xmlCellPr id="1" xr6:uid="{815D4DFF-E177-4631-9C53-7A07AAFF30B1}" uniqueName="MCL_Points">
      <xmlPr mapId="7" xpath="/MAKE/PP/PPLowerLegform/Lower_Legform/Minus_6/@MCL_Points" xmlDataType="decimal"/>
    </xmlCellPr>
  </singleXmlCell>
  <singleXmlCell id="1923" xr6:uid="{BCE990BE-E748-4F60-8075-5BD5DDE2114D}" r="W24" connectionId="0">
    <xmlCellPr id="1" xr6:uid="{3E9A2459-48C0-4E19-A75B-982A96223CEB}" uniqueName="F1">
      <xmlPr mapId="7" xpath="/MAKE/PP/PPLowerLegform/Lower_Legform/Minus_6/@F1" xmlDataType="decimal"/>
    </xmlCellPr>
  </singleXmlCell>
  <singleXmlCell id="1924" xr6:uid="{6B4B32EB-B01F-42B7-A689-8A0DFFEDF934}" r="Y24" connectionId="0">
    <xmlCellPr id="1" xr6:uid="{ED6BEAF5-FE12-48BF-90DD-7C4F02C1E282}" uniqueName="F2">
      <xmlPr mapId="7" xpath="/MAKE/PP/PPLowerLegform/Lower_Legform/Minus_6/@F2" xmlDataType="decimal"/>
    </xmlCellPr>
  </singleXmlCell>
  <singleXmlCell id="1925" xr6:uid="{2BF36A9E-691B-4724-BFC8-55542F6A8EC6}" r="AA24" connectionId="0">
    <xmlCellPr id="1" xr6:uid="{7D43C459-72E4-401F-B514-AAA811F9CE08}" uniqueName="F3">
      <xmlPr mapId="7" xpath="/MAKE/PP/PPLowerLegform/Lower_Legform/Minus_6/@F3" xmlDataType="decimal"/>
    </xmlCellPr>
  </singleXmlCell>
  <singleXmlCell id="1926" xr6:uid="{C229CA78-6EED-45C4-BEBB-6DFDE883EA7C}" r="AC24" connectionId="0">
    <xmlCellPr id="1" xr6:uid="{92708B3E-5582-41E7-923B-33F9A7665CFE}" uniqueName="Femur_Moment_Points">
      <xmlPr mapId="7" xpath="/MAKE/PP/PPLowerLegform/Lower_Legform/Minus_6/@Femur_Moment_Points" xmlDataType="decimal"/>
    </xmlCellPr>
  </singleXmlCell>
  <singleXmlCell id="1927" xr6:uid="{3E757EF8-A8E5-4654-A029-FE5CABE3E1B4}" r="AE24" connectionId="0">
    <xmlCellPr id="1" xr6:uid="{06BBD03C-FC1C-427F-B292-12C18C6F7FE9}" uniqueName="Acceleration">
      <xmlPr mapId="7" xpath="/MAKE/PP/PPLowerLegform/Lower_Legform/Minus_6/@Acceleration" xmlDataType="decimal"/>
    </xmlCellPr>
  </singleXmlCell>
  <singleXmlCell id="1928" xr6:uid="{8BFC4087-699B-47A7-BFCB-251FDFB9A0CF}" r="AF24" connectionId="0">
    <xmlCellPr id="1" xr6:uid="{E68E8495-5195-46B1-B368-7A5A48A71569}" uniqueName="Total_Tibia_MCL_Points">
      <xmlPr mapId="7" xpath="/MAKE/PP/PPLowerLegform/Lower_Legform/Minus_6/@Total_Tibia_MCL_Points" xmlDataType="decimal"/>
    </xmlCellPr>
  </singleXmlCell>
  <singleXmlCell id="1929" xr6:uid="{9B078757-F5C0-4D37-9367-BF3933705483}" r="AG24" connectionId="0">
    <xmlCellPr id="1" xr6:uid="{97305F01-73CD-47F0-9AAA-F8EA5C999962}" uniqueName="Total_Femur_Points">
      <xmlPr mapId="7" xpath="/MAKE/PP/PPLowerLegform/Lower_Legform/Minus_6/@Total_Femur_Points" xmlDataType="decimal"/>
    </xmlCellPr>
  </singleXmlCell>
  <singleXmlCell id="1932" xr6:uid="{5A022DEF-AEF2-471F-B494-BC386B01C526}" r="D25" connectionId="0">
    <xmlCellPr id="1" xr6:uid="{AB4DD703-31CE-4D7F-BBAF-378B72CF5261}" uniqueName="Description">
      <xmlPr mapId="7" xpath="/MAKE/PP/PPLowerLegform/Lower_Legform/Minus_7/@Description" xmlDataType="string"/>
    </xmlCellPr>
  </singleXmlCell>
  <singleXmlCell id="1933" xr6:uid="{CF81FE8C-F72B-4373-B3AA-B431EE77A3DA}" r="E25" connectionId="0">
    <xmlCellPr id="1" xr6:uid="{9D2132B1-88E0-484C-989E-391870909BA1}" uniqueName="T4">
      <xmlPr mapId="7" xpath="/MAKE/PP/PPLowerLegform/Lower_Legform/Minus_7/@T4" xmlDataType="decimal"/>
    </xmlCellPr>
  </singleXmlCell>
  <singleXmlCell id="1934" xr6:uid="{3064C936-839F-45F0-ADD6-650DFA8C80E7}" r="G25" connectionId="0">
    <xmlCellPr id="1" xr6:uid="{8B7130EA-9834-47BE-AF0C-82203C404AA8}" uniqueName="T3">
      <xmlPr mapId="7" xpath="/MAKE/PP/PPLowerLegform/Lower_Legform/Minus_7/@T3" xmlDataType="decimal"/>
    </xmlCellPr>
  </singleXmlCell>
  <singleXmlCell id="1935" xr6:uid="{5C0CD0EF-7284-4B72-86B0-9B9B8122DF30}" r="I25" connectionId="0">
    <xmlCellPr id="1" xr6:uid="{72CA07BA-03D2-4992-9DD5-8EDB4BE92BA1}" uniqueName="T2">
      <xmlPr mapId="7" xpath="/MAKE/PP/PPLowerLegform/Lower_Legform/Minus_7/@T2" xmlDataType="decimal"/>
    </xmlCellPr>
  </singleXmlCell>
  <singleXmlCell id="1936" xr6:uid="{F2364CEB-88AA-4025-9965-C170BF15E8D9}" r="K25" connectionId="0">
    <xmlCellPr id="1" xr6:uid="{D52E8EAE-064D-4B8B-BC26-538CBF3F6DED}" uniqueName="T1">
      <xmlPr mapId="7" xpath="/MAKE/PP/PPLowerLegform/Lower_Legform/Minus_7/@T1" xmlDataType="decimal"/>
    </xmlCellPr>
  </singleXmlCell>
  <singleXmlCell id="1937" xr6:uid="{090B9A0B-DD10-4EE6-8481-4B71A71ACBF6}" r="M25" connectionId="0">
    <xmlCellPr id="1" xr6:uid="{4A120EFD-0246-466A-BC66-9094240CF4D7}" uniqueName="Points">
      <xmlPr mapId="7" xpath="/MAKE/PP/PPLowerLegform/Lower_Legform/Minus_7/@Points" xmlDataType="decimal"/>
    </xmlCellPr>
  </singleXmlCell>
  <singleXmlCell id="1938" xr6:uid="{DD2D9994-B6BF-4CCE-8888-F889BFB7BE56}" r="O25" connectionId="0">
    <xmlCellPr id="1" xr6:uid="{0E0F4F04-3B8D-419C-BBB2-70AE0F0F366F}" uniqueName="ACL">
      <xmlPr mapId="7" xpath="/MAKE/PP/PPLowerLegform/Lower_Legform/Minus_7/@ACL" xmlDataType="decimal"/>
    </xmlCellPr>
  </singleXmlCell>
  <singleXmlCell id="1939" xr6:uid="{BF880BEA-DEB1-4F4F-B44C-85DFEC28F90B}" r="Q25" connectionId="0">
    <xmlCellPr id="1" xr6:uid="{F4F3E8EB-6479-4480-B646-9B4BCACB99D7}" uniqueName="PCL">
      <xmlPr mapId="7" xpath="/MAKE/PP/PPLowerLegform/Lower_Legform/Minus_7/@PCL" xmlDataType="decimal"/>
    </xmlCellPr>
  </singleXmlCell>
  <singleXmlCell id="1940" xr6:uid="{0B02CDC7-7266-45AC-AAE5-7676FA2D4E93}" r="S25" connectionId="0">
    <xmlCellPr id="1" xr6:uid="{0F93FB2F-D124-4916-935D-C0C199980CEC}" uniqueName="MCL_Value">
      <xmlPr mapId="7" xpath="/MAKE/PP/PPLowerLegform/Lower_Legform/Minus_7/@MCL_Value" xmlDataType="decimal"/>
    </xmlCellPr>
  </singleXmlCell>
  <singleXmlCell id="1941" xr6:uid="{8C9535BA-14C4-4A98-95B0-B583131F78A0}" r="U25" connectionId="0">
    <xmlCellPr id="1" xr6:uid="{5AB8CB66-1D82-4E0D-9CCE-F13075C7D5DA}" uniqueName="MCL_Points">
      <xmlPr mapId="7" xpath="/MAKE/PP/PPLowerLegform/Lower_Legform/Minus_7/@MCL_Points" xmlDataType="decimal"/>
    </xmlCellPr>
  </singleXmlCell>
  <singleXmlCell id="1942" xr6:uid="{5DB55187-D247-4579-AFE0-143A1A95D789}" r="W25" connectionId="0">
    <xmlCellPr id="1" xr6:uid="{9D3A74CC-FB73-459B-B2D6-E25EB8CB9AAA}" uniqueName="F1">
      <xmlPr mapId="7" xpath="/MAKE/PP/PPLowerLegform/Lower_Legform/Minus_7/@F1" xmlDataType="decimal"/>
    </xmlCellPr>
  </singleXmlCell>
  <singleXmlCell id="1943" xr6:uid="{4138A14F-1424-4FEC-9679-CC8FE7056476}" r="Y25" connectionId="0">
    <xmlCellPr id="1" xr6:uid="{2FFD2869-4796-4F47-AF7F-8495557DE2FA}" uniqueName="F2">
      <xmlPr mapId="7" xpath="/MAKE/PP/PPLowerLegform/Lower_Legform/Minus_7/@F2" xmlDataType="decimal"/>
    </xmlCellPr>
  </singleXmlCell>
  <singleXmlCell id="1944" xr6:uid="{3F2437E7-F33B-4090-9BB2-C04EF786797B}" r="AA25" connectionId="0">
    <xmlCellPr id="1" xr6:uid="{B10D6415-BBBC-4162-993C-192377CE9793}" uniqueName="F3">
      <xmlPr mapId="7" xpath="/MAKE/PP/PPLowerLegform/Lower_Legform/Minus_7/@F3" xmlDataType="decimal"/>
    </xmlCellPr>
  </singleXmlCell>
  <singleXmlCell id="1945" xr6:uid="{0AFF9C67-2460-409D-835B-28930E156319}" r="AC25" connectionId="0">
    <xmlCellPr id="1" xr6:uid="{1F9B20E3-80FB-4A47-9392-3D0EA3D7579B}" uniqueName="Femur_Moment_Points">
      <xmlPr mapId="7" xpath="/MAKE/PP/PPLowerLegform/Lower_Legform/Minus_7/@Femur_Moment_Points" xmlDataType="decimal"/>
    </xmlCellPr>
  </singleXmlCell>
  <singleXmlCell id="1946" xr6:uid="{727E6A9E-904F-4A0C-AC68-4CC601FF8054}" r="AE25" connectionId="0">
    <xmlCellPr id="1" xr6:uid="{290EEDB3-9BB3-4306-8F37-551E9ED5F120}" uniqueName="Acceleration">
      <xmlPr mapId="7" xpath="/MAKE/PP/PPLowerLegform/Lower_Legform/Minus_7/@Acceleration" xmlDataType="decimal"/>
    </xmlCellPr>
  </singleXmlCell>
  <singleXmlCell id="1947" xr6:uid="{74CE3B33-25D8-4C98-AAFE-96445D8BEDEF}" r="AF25" connectionId="0">
    <xmlCellPr id="1" xr6:uid="{FE9E0229-677E-4AFD-9ADE-BC308DD1842C}" uniqueName="Total_Tibia_MCL_Points">
      <xmlPr mapId="7" xpath="/MAKE/PP/PPLowerLegform/Lower_Legform/Minus_7/@Total_Tibia_MCL_Points" xmlDataType="decimal"/>
    </xmlCellPr>
  </singleXmlCell>
  <singleXmlCell id="1948" xr6:uid="{C18706E1-6F4B-4D01-A1CB-1A38FB57A335}" r="AG25" connectionId="0">
    <xmlCellPr id="1" xr6:uid="{5EE7923B-EA3C-429A-B973-D1A3A016C24D}" uniqueName="Total_Femur_Points">
      <xmlPr mapId="7" xpath="/MAKE/PP/PPLowerLegform/Lower_Legform/Minus_7/@Total_Femur_Points" xmlDataType="decimal"/>
    </xmlCellPr>
  </singleXmlCell>
  <singleXmlCell id="1951" xr6:uid="{3AACFA70-1020-49EF-9955-B8FB6741A8DC}" r="D26" connectionId="0">
    <xmlCellPr id="1" xr6:uid="{05A991BD-6345-49D7-95C2-F9D22E4AB172}" uniqueName="Description">
      <xmlPr mapId="7" xpath="/MAKE/PP/PPLowerLegform/Lower_Legform/Minus_8/@Description" xmlDataType="string"/>
    </xmlCellPr>
  </singleXmlCell>
  <singleXmlCell id="1952" xr6:uid="{79DB3253-B460-4350-B634-1071A56CC77A}" r="E26" connectionId="0">
    <xmlCellPr id="1" xr6:uid="{A7A5D806-4417-41DC-8A5C-CB4F72181044}" uniqueName="T4">
      <xmlPr mapId="7" xpath="/MAKE/PP/PPLowerLegform/Lower_Legform/Minus_8/@T4" xmlDataType="decimal"/>
    </xmlCellPr>
  </singleXmlCell>
  <singleXmlCell id="1953" xr6:uid="{C04E1A40-8859-40A8-BF62-93B22D8FADCC}" r="G26" connectionId="0">
    <xmlCellPr id="1" xr6:uid="{944A0651-0817-47E6-AF4E-C3AC03C85442}" uniqueName="T3">
      <xmlPr mapId="7" xpath="/MAKE/PP/PPLowerLegform/Lower_Legform/Minus_8/@T3" xmlDataType="decimal"/>
    </xmlCellPr>
  </singleXmlCell>
  <singleXmlCell id="1954" xr6:uid="{2F11F213-1C45-4869-8460-80DA54C07615}" r="I26" connectionId="0">
    <xmlCellPr id="1" xr6:uid="{47BD8848-A396-4914-A600-2B514C9F0243}" uniqueName="T2">
      <xmlPr mapId="7" xpath="/MAKE/PP/PPLowerLegform/Lower_Legform/Minus_8/@T2" xmlDataType="decimal"/>
    </xmlCellPr>
  </singleXmlCell>
  <singleXmlCell id="1955" xr6:uid="{8239FA4D-7C5E-4B56-AC58-3AB260C3E691}" r="K26" connectionId="0">
    <xmlCellPr id="1" xr6:uid="{5AF6D482-8E95-4CD8-BC8E-58958908256A}" uniqueName="T1">
      <xmlPr mapId="7" xpath="/MAKE/PP/PPLowerLegform/Lower_Legform/Minus_8/@T1" xmlDataType="decimal"/>
    </xmlCellPr>
  </singleXmlCell>
  <singleXmlCell id="1956" xr6:uid="{25989BCD-5B3A-4FDC-B0A4-E32415F44736}" r="M26" connectionId="0">
    <xmlCellPr id="1" xr6:uid="{B6E060CF-BAAB-4E49-BA13-FFE9863972CC}" uniqueName="Points">
      <xmlPr mapId="7" xpath="/MAKE/PP/PPLowerLegform/Lower_Legform/Minus_8/@Points" xmlDataType="decimal"/>
    </xmlCellPr>
  </singleXmlCell>
  <singleXmlCell id="1957" xr6:uid="{24465D2B-7B68-439C-A2B8-A38ADE49FF3B}" r="O26" connectionId="0">
    <xmlCellPr id="1" xr6:uid="{63D14A45-215B-4EE3-ABAB-E15E4E778E27}" uniqueName="ACL">
      <xmlPr mapId="7" xpath="/MAKE/PP/PPLowerLegform/Lower_Legform/Minus_8/@ACL" xmlDataType="decimal"/>
    </xmlCellPr>
  </singleXmlCell>
  <singleXmlCell id="1958" xr6:uid="{88A1328B-916B-4BA6-8435-7DD5DCC25CF9}" r="Q26" connectionId="0">
    <xmlCellPr id="1" xr6:uid="{6A889EB6-8DC9-43EB-BDA2-E5AC676358E5}" uniqueName="PCL">
      <xmlPr mapId="7" xpath="/MAKE/PP/PPLowerLegform/Lower_Legform/Minus_8/@PCL" xmlDataType="decimal"/>
    </xmlCellPr>
  </singleXmlCell>
  <singleXmlCell id="1959" xr6:uid="{FC59425D-D17B-4CA4-B28D-C625E452DC3E}" r="S26" connectionId="0">
    <xmlCellPr id="1" xr6:uid="{44314955-002D-4DAA-98C0-DE216A51384E}" uniqueName="MCL_Value">
      <xmlPr mapId="7" xpath="/MAKE/PP/PPLowerLegform/Lower_Legform/Minus_8/@MCL_Value" xmlDataType="decimal"/>
    </xmlCellPr>
  </singleXmlCell>
  <singleXmlCell id="1960" xr6:uid="{35F9CAA2-F3A4-4E0B-94C9-886F0C000A42}" r="U26" connectionId="0">
    <xmlCellPr id="1" xr6:uid="{8E403E95-A782-41EC-A7BA-60A4ED40C61B}" uniqueName="MCL_Points">
      <xmlPr mapId="7" xpath="/MAKE/PP/PPLowerLegform/Lower_Legform/Minus_8/@MCL_Points" xmlDataType="decimal"/>
    </xmlCellPr>
  </singleXmlCell>
  <singleXmlCell id="1961" xr6:uid="{642D3109-5CFC-483A-81EE-C6BB99E403EF}" r="W26" connectionId="0">
    <xmlCellPr id="1" xr6:uid="{DA099833-DE07-4897-8035-36266CA051C2}" uniqueName="F1">
      <xmlPr mapId="7" xpath="/MAKE/PP/PPLowerLegform/Lower_Legform/Minus_8/@F1" xmlDataType="decimal"/>
    </xmlCellPr>
  </singleXmlCell>
  <singleXmlCell id="1962" xr6:uid="{FFDBC564-B61B-4EDC-B2D1-E6473039231A}" r="Y26" connectionId="0">
    <xmlCellPr id="1" xr6:uid="{866529F3-B2E2-4F27-8EA4-B8E94BFE44B0}" uniqueName="F2">
      <xmlPr mapId="7" xpath="/MAKE/PP/PPLowerLegform/Lower_Legform/Minus_8/@F2" xmlDataType="decimal"/>
    </xmlCellPr>
  </singleXmlCell>
  <singleXmlCell id="1963" xr6:uid="{68769687-AC26-45AF-9550-E9D7ACCED6E3}" r="AA26" connectionId="0">
    <xmlCellPr id="1" xr6:uid="{3558FE6B-F980-45D6-A13F-A6ED54584904}" uniqueName="F3">
      <xmlPr mapId="7" xpath="/MAKE/PP/PPLowerLegform/Lower_Legform/Minus_8/@F3" xmlDataType="decimal"/>
    </xmlCellPr>
  </singleXmlCell>
  <singleXmlCell id="1964" xr6:uid="{1B233C60-5312-4D28-A31E-7331B4CD6F25}" r="AC26" connectionId="0">
    <xmlCellPr id="1" xr6:uid="{B0A07D2E-B6B4-49D5-A514-6D967F3A7DF2}" uniqueName="Femur_Moment_Points">
      <xmlPr mapId="7" xpath="/MAKE/PP/PPLowerLegform/Lower_Legform/Minus_8/@Femur_Moment_Points" xmlDataType="decimal"/>
    </xmlCellPr>
  </singleXmlCell>
  <singleXmlCell id="1965" xr6:uid="{F0ED69CE-6565-419A-AA88-41D0E5D1CE5B}" r="AE26" connectionId="0">
    <xmlCellPr id="1" xr6:uid="{F3F23CA7-857E-4E9D-9D20-98A4E30BC730}" uniqueName="Acceleration">
      <xmlPr mapId="7" xpath="/MAKE/PP/PPLowerLegform/Lower_Legform/Minus_8/@Acceleration" xmlDataType="decimal"/>
    </xmlCellPr>
  </singleXmlCell>
  <singleXmlCell id="1966" xr6:uid="{48174AC3-B637-495C-AE6A-9DBE7E1F08F3}" r="AF26" connectionId="0">
    <xmlCellPr id="1" xr6:uid="{47FB732A-511C-41E1-B257-3F3CE81AB081}" uniqueName="Total_Tibia_MCL_Points">
      <xmlPr mapId="7" xpath="/MAKE/PP/PPLowerLegform/Lower_Legform/Minus_8/@Total_Tibia_MCL_Points" xmlDataType="decimal"/>
    </xmlCellPr>
  </singleXmlCell>
  <singleXmlCell id="1967" xr6:uid="{DB526575-3827-4EA8-A0BF-1509024E89DF}" r="AG26" connectionId="0">
    <xmlCellPr id="1" xr6:uid="{6F510985-FDDC-41A2-9767-31C845CA4A83}" uniqueName="Total_Femur_Points">
      <xmlPr mapId="7" xpath="/MAKE/PP/PPLowerLegform/Lower_Legform/Minus_8/@Total_Femur_Points" xmlDataType="decimal"/>
    </xmlCellPr>
  </singleXmlCell>
  <singleXmlCell id="1970" xr6:uid="{5B61A00A-C5B0-41CA-8F03-0051E6EB6B64}" r="D27" connectionId="0">
    <xmlCellPr id="1" xr6:uid="{063FB919-70C0-474F-8959-0E1F1D0C049A}" uniqueName="Description">
      <xmlPr mapId="7" xpath="/MAKE/PP/PPLowerLegform/Lower_Legform/Minus_9/@Description" xmlDataType="string"/>
    </xmlCellPr>
  </singleXmlCell>
  <singleXmlCell id="1971" xr6:uid="{24439E38-02AC-4C1E-A885-B82F7DE5C8CA}" r="E27" connectionId="0">
    <xmlCellPr id="1" xr6:uid="{A98B1B8C-6FE5-4CFD-84B3-6BDEC935E868}" uniqueName="T4">
      <xmlPr mapId="7" xpath="/MAKE/PP/PPLowerLegform/Lower_Legform/Minus_9/@T4" xmlDataType="decimal"/>
    </xmlCellPr>
  </singleXmlCell>
  <singleXmlCell id="1972" xr6:uid="{1F6CB37E-E0EF-455F-872D-A015C1053A44}" r="G27" connectionId="0">
    <xmlCellPr id="1" xr6:uid="{D6EF99FA-429D-40A1-B670-143DEC03EE52}" uniqueName="T3">
      <xmlPr mapId="7" xpath="/MAKE/PP/PPLowerLegform/Lower_Legform/Minus_9/@T3" xmlDataType="decimal"/>
    </xmlCellPr>
  </singleXmlCell>
  <singleXmlCell id="1973" xr6:uid="{B066DDA9-1229-4AB2-AB35-B660CA6D39B8}" r="I27" connectionId="0">
    <xmlCellPr id="1" xr6:uid="{D5CC27A9-10B3-40EB-A0F6-89951944E20C}" uniqueName="T2">
      <xmlPr mapId="7" xpath="/MAKE/PP/PPLowerLegform/Lower_Legform/Minus_9/@T2" xmlDataType="decimal"/>
    </xmlCellPr>
  </singleXmlCell>
  <singleXmlCell id="1974" xr6:uid="{C6DD82C9-E11D-4A45-A656-6AFE386391DB}" r="K27" connectionId="0">
    <xmlCellPr id="1" xr6:uid="{AAC859AF-8F47-4FD8-BFDA-867926AED9C7}" uniqueName="T1">
      <xmlPr mapId="7" xpath="/MAKE/PP/PPLowerLegform/Lower_Legform/Minus_9/@T1" xmlDataType="decimal"/>
    </xmlCellPr>
  </singleXmlCell>
  <singleXmlCell id="1975" xr6:uid="{8FBA5D31-8D8C-4E1F-99FC-C7459C824255}" r="M27" connectionId="0">
    <xmlCellPr id="1" xr6:uid="{58480484-7684-4517-9DA6-3378A23D43C4}" uniqueName="Points">
      <xmlPr mapId="7" xpath="/MAKE/PP/PPLowerLegform/Lower_Legform/Minus_9/@Points" xmlDataType="decimal"/>
    </xmlCellPr>
  </singleXmlCell>
  <singleXmlCell id="1976" xr6:uid="{81CDBA0B-5278-47B9-854E-DE3F149E9D23}" r="O27" connectionId="0">
    <xmlCellPr id="1" xr6:uid="{AAB04AEB-198C-4756-9EAA-3148FCE90C98}" uniqueName="ACL">
      <xmlPr mapId="7" xpath="/MAKE/PP/PPLowerLegform/Lower_Legform/Minus_9/@ACL" xmlDataType="decimal"/>
    </xmlCellPr>
  </singleXmlCell>
  <singleXmlCell id="1977" xr6:uid="{18F6E376-DB38-4F13-9436-28E20E750996}" r="Q27" connectionId="0">
    <xmlCellPr id="1" xr6:uid="{366CF5DA-B398-424C-8F27-BC4E0F659462}" uniqueName="PCL">
      <xmlPr mapId="7" xpath="/MAKE/PP/PPLowerLegform/Lower_Legform/Minus_9/@PCL" xmlDataType="decimal"/>
    </xmlCellPr>
  </singleXmlCell>
  <singleXmlCell id="1978" xr6:uid="{89F2ED6C-0484-4A14-9F6E-DA1F5E76BC57}" r="S27" connectionId="0">
    <xmlCellPr id="1" xr6:uid="{513DD8FC-5524-4553-988F-544E4C141890}" uniqueName="MCL_Value">
      <xmlPr mapId="7" xpath="/MAKE/PP/PPLowerLegform/Lower_Legform/Minus_9/@MCL_Value" xmlDataType="decimal"/>
    </xmlCellPr>
  </singleXmlCell>
  <singleXmlCell id="1979" xr6:uid="{87DC2914-FE11-4A49-97C8-11AFBAEF0F02}" r="U27" connectionId="0">
    <xmlCellPr id="1" xr6:uid="{52844055-B2F5-4081-B468-76DF564A46E4}" uniqueName="MCL_Points">
      <xmlPr mapId="7" xpath="/MAKE/PP/PPLowerLegform/Lower_Legform/Minus_9/@MCL_Points" xmlDataType="decimal"/>
    </xmlCellPr>
  </singleXmlCell>
  <singleXmlCell id="1980" xr6:uid="{41450EA9-97E5-47FB-BDDB-670D2927C9AC}" r="W27" connectionId="0">
    <xmlCellPr id="1" xr6:uid="{239D2483-DEFC-4B54-8B72-7879ADBF0F9A}" uniqueName="F1">
      <xmlPr mapId="7" xpath="/MAKE/PP/PPLowerLegform/Lower_Legform/Minus_9/@F1" xmlDataType="decimal"/>
    </xmlCellPr>
  </singleXmlCell>
  <singleXmlCell id="1981" xr6:uid="{AB214B76-CD71-4A2F-86BE-88B4DF549689}" r="Y27" connectionId="0">
    <xmlCellPr id="1" xr6:uid="{CE58D671-C478-4F52-B5FE-2E73712D90BB}" uniqueName="F2">
      <xmlPr mapId="7" xpath="/MAKE/PP/PPLowerLegform/Lower_Legform/Minus_9/@F2" xmlDataType="decimal"/>
    </xmlCellPr>
  </singleXmlCell>
  <singleXmlCell id="1982" xr6:uid="{3E8B8703-B878-4B84-9AED-061B1649A18C}" r="AA27" connectionId="0">
    <xmlCellPr id="1" xr6:uid="{BBFCBDD8-ED3C-4210-996F-3787FEDF0D6D}" uniqueName="F3">
      <xmlPr mapId="7" xpath="/MAKE/PP/PPLowerLegform/Lower_Legform/Minus_9/@F3" xmlDataType="decimal"/>
    </xmlCellPr>
  </singleXmlCell>
  <singleXmlCell id="1983" xr6:uid="{AA3207BA-4984-4B92-9CC8-0273ABF5556A}" r="AC27" connectionId="0">
    <xmlCellPr id="1" xr6:uid="{F7F5EE8C-90C4-47D8-9442-E46359A0FCCB}" uniqueName="Femur_Moment_Points">
      <xmlPr mapId="7" xpath="/MAKE/PP/PPLowerLegform/Lower_Legform/Minus_9/@Femur_Moment_Points" xmlDataType="decimal"/>
    </xmlCellPr>
  </singleXmlCell>
  <singleXmlCell id="1984" xr6:uid="{4B80B677-E5E4-4D7C-88A6-07356DE019A1}" r="AE27" connectionId="0">
    <xmlCellPr id="1" xr6:uid="{702C29D9-BCB1-41ED-A874-6AE003DB5BF9}" uniqueName="Acceleration">
      <xmlPr mapId="7" xpath="/MAKE/PP/PPLowerLegform/Lower_Legform/Minus_9/@Acceleration" xmlDataType="decimal"/>
    </xmlCellPr>
  </singleXmlCell>
  <singleXmlCell id="1985" xr6:uid="{9AA651AB-827F-4EEA-BA37-8C2657776D68}" r="AF27" connectionId="0">
    <xmlCellPr id="1" xr6:uid="{339722FA-AF57-4CEB-8F82-C2EB80EBC0EC}" uniqueName="Total_Tibia_MCL_Points">
      <xmlPr mapId="7" xpath="/MAKE/PP/PPLowerLegform/Lower_Legform/Minus_9/@Total_Tibia_MCL_Points" xmlDataType="decimal"/>
    </xmlCellPr>
  </singleXmlCell>
  <singleXmlCell id="1986" xr6:uid="{75EFCCFC-E99A-4B1E-9EDC-913799AF390F}" r="AG27" connectionId="0">
    <xmlCellPr id="1" xr6:uid="{30A6A7E6-5812-43A5-A9E3-1783401CF97C}" uniqueName="Total_Femur_Points">
      <xmlPr mapId="7" xpath="/MAKE/PP/PPLowerLegform/Lower_Legform/Minus_9/@Total_Femur_Points" xmlDataType="decimal"/>
    </xmlCellPr>
  </singleXmlCell>
  <singleXmlCell id="1989" xr6:uid="{23E4D233-CF60-4F0E-84AD-9059B4A6BE6D}" r="D28" connectionId="0">
    <xmlCellPr id="1" xr6:uid="{2DD41B77-976D-4C37-9F61-101C05933A81}" uniqueName="Description">
      <xmlPr mapId="7" xpath="/MAKE/PP/PPLowerLegform/Lower_Legform/Minus_10/@Description" xmlDataType="string"/>
    </xmlCellPr>
  </singleXmlCell>
  <singleXmlCell id="1990" xr6:uid="{79FA19C7-CE76-4627-87C3-0E0F04A7640F}" r="E28" connectionId="0">
    <xmlCellPr id="1" xr6:uid="{A94E242B-EEBD-4C1B-B1E2-B4DE3B1C69CD}" uniqueName="T4">
      <xmlPr mapId="7" xpath="/MAKE/PP/PPLowerLegform/Lower_Legform/Minus_10/@T4" xmlDataType="decimal"/>
    </xmlCellPr>
  </singleXmlCell>
  <singleXmlCell id="1991" xr6:uid="{3C21986F-916C-488E-AABE-F1EA4F3A35A9}" r="G28" connectionId="0">
    <xmlCellPr id="1" xr6:uid="{F295B0C5-B196-4F00-9943-A55ECE9AD17E}" uniqueName="T3">
      <xmlPr mapId="7" xpath="/MAKE/PP/PPLowerLegform/Lower_Legform/Minus_10/@T3" xmlDataType="decimal"/>
    </xmlCellPr>
  </singleXmlCell>
  <singleXmlCell id="1992" xr6:uid="{745A8227-21AA-42C3-B817-E0AB85D1F459}" r="I28" connectionId="0">
    <xmlCellPr id="1" xr6:uid="{14CD6EBA-4FA5-43E8-A44E-EA3549F7CDCD}" uniqueName="T2">
      <xmlPr mapId="7" xpath="/MAKE/PP/PPLowerLegform/Lower_Legform/Minus_10/@T2" xmlDataType="decimal"/>
    </xmlCellPr>
  </singleXmlCell>
  <singleXmlCell id="1993" xr6:uid="{619A5E6D-3CDE-4556-9F03-1F19C72E3EFA}" r="K28" connectionId="0">
    <xmlCellPr id="1" xr6:uid="{E4DEE38F-075B-46E0-893A-701394E5F345}" uniqueName="T1">
      <xmlPr mapId="7" xpath="/MAKE/PP/PPLowerLegform/Lower_Legform/Minus_10/@T1" xmlDataType="decimal"/>
    </xmlCellPr>
  </singleXmlCell>
  <singleXmlCell id="1994" xr6:uid="{484CAC51-58B7-46F4-9D5E-09F1A4788983}" r="M28" connectionId="0">
    <xmlCellPr id="1" xr6:uid="{F821E812-1D92-4DF8-B642-4C8AD7FBB3B1}" uniqueName="Points">
      <xmlPr mapId="7" xpath="/MAKE/PP/PPLowerLegform/Lower_Legform/Minus_10/@Points" xmlDataType="decimal"/>
    </xmlCellPr>
  </singleXmlCell>
  <singleXmlCell id="1995" xr6:uid="{7FF379CA-9966-4FF3-A9D6-F1F50B8D2A5B}" r="O28" connectionId="0">
    <xmlCellPr id="1" xr6:uid="{B5632E30-4CB1-4481-8D9A-0360B81B6493}" uniqueName="ACL">
      <xmlPr mapId="7" xpath="/MAKE/PP/PPLowerLegform/Lower_Legform/Minus_10/@ACL" xmlDataType="decimal"/>
    </xmlCellPr>
  </singleXmlCell>
  <singleXmlCell id="1996" xr6:uid="{E23B110C-B8F7-449E-B468-E2D247A2AFF7}" r="Q28" connectionId="0">
    <xmlCellPr id="1" xr6:uid="{27DD07AB-B059-454F-AF66-BF9F3F019C7D}" uniqueName="PCL">
      <xmlPr mapId="7" xpath="/MAKE/PP/PPLowerLegform/Lower_Legform/Minus_10/@PCL" xmlDataType="decimal"/>
    </xmlCellPr>
  </singleXmlCell>
  <singleXmlCell id="1997" xr6:uid="{2EF364B8-6D2C-4443-AD0C-C20E1C8F5BF2}" r="S28" connectionId="0">
    <xmlCellPr id="1" xr6:uid="{A935BCEC-753E-4472-8773-633DB84A4023}" uniqueName="MCL_Value">
      <xmlPr mapId="7" xpath="/MAKE/PP/PPLowerLegform/Lower_Legform/Minus_10/@MCL_Value" xmlDataType="decimal"/>
    </xmlCellPr>
  </singleXmlCell>
  <singleXmlCell id="1998" xr6:uid="{E2EC9EC5-47C2-4BD8-9869-707F4722C986}" r="U28" connectionId="0">
    <xmlCellPr id="1" xr6:uid="{97FE0E1A-5125-46AC-A904-DBB5E6D9265D}" uniqueName="MCL_Points">
      <xmlPr mapId="7" xpath="/MAKE/PP/PPLowerLegform/Lower_Legform/Minus_10/@MCL_Points" xmlDataType="decimal"/>
    </xmlCellPr>
  </singleXmlCell>
  <singleXmlCell id="1999" xr6:uid="{A3CDEB9E-64B9-43FB-86D3-DDBFDEBA9657}" r="W28" connectionId="0">
    <xmlCellPr id="1" xr6:uid="{E97B70A2-3C3B-43C3-BCD2-2A47D7C396A4}" uniqueName="F1">
      <xmlPr mapId="7" xpath="/MAKE/PP/PPLowerLegform/Lower_Legform/Minus_10/@F1" xmlDataType="decimal"/>
    </xmlCellPr>
  </singleXmlCell>
  <singleXmlCell id="2000" xr6:uid="{838CAEF4-E9EE-4CD7-BAFE-3AAF57B355B8}" r="Y28" connectionId="0">
    <xmlCellPr id="1" xr6:uid="{653AC8DA-2178-4A38-8A69-89AABA21EE55}" uniqueName="F2">
      <xmlPr mapId="7" xpath="/MAKE/PP/PPLowerLegform/Lower_Legform/Minus_10/@F2" xmlDataType="decimal"/>
    </xmlCellPr>
  </singleXmlCell>
  <singleXmlCell id="2001" xr6:uid="{750CEE66-9584-43C1-98D2-ACA365272EF4}" r="AA28" connectionId="0">
    <xmlCellPr id="1" xr6:uid="{F4D2D3ED-E392-48AD-AE1B-E72311AEBCEE}" uniqueName="F3">
      <xmlPr mapId="7" xpath="/MAKE/PP/PPLowerLegform/Lower_Legform/Minus_10/@F3" xmlDataType="decimal"/>
    </xmlCellPr>
  </singleXmlCell>
  <singleXmlCell id="2002" xr6:uid="{778F3C1A-404A-4A6F-84FC-819AEAA95A50}" r="AC28" connectionId="0">
    <xmlCellPr id="1" xr6:uid="{406DC29E-2676-4D44-A0C1-3B5CFCECA589}" uniqueName="Femur_Moment_Points">
      <xmlPr mapId="7" xpath="/MAKE/PP/PPLowerLegform/Lower_Legform/Minus_10/@Femur_Moment_Points" xmlDataType="decimal"/>
    </xmlCellPr>
  </singleXmlCell>
  <singleXmlCell id="2003" xr6:uid="{DB313095-F70B-408D-9973-A7EC87AC3850}" r="AE28" connectionId="0">
    <xmlCellPr id="1" xr6:uid="{FC9CBE37-EAD6-4BA4-ABF6-ED0E7BC78B36}" uniqueName="Acceleration">
      <xmlPr mapId="7" xpath="/MAKE/PP/PPLowerLegform/Lower_Legform/Minus_10/@Acceleration" xmlDataType="decimal"/>
    </xmlCellPr>
  </singleXmlCell>
  <singleXmlCell id="2004" xr6:uid="{256EDBD6-5920-4A94-8575-EEAFEE34E1E0}" r="AF28" connectionId="0">
    <xmlCellPr id="1" xr6:uid="{65B8FDE9-17E5-4DA0-A9F0-E65AB7255D19}" uniqueName="Total_Tibia_MCL_Points">
      <xmlPr mapId="7" xpath="/MAKE/PP/PPLowerLegform/Lower_Legform/Minus_10/@Total_Tibia_MCL_Points" xmlDataType="decimal"/>
    </xmlCellPr>
  </singleXmlCell>
  <singleXmlCell id="2005" xr6:uid="{498C50F8-1624-47A1-99E4-C8CB22CB5560}" r="AG28" connectionId="0">
    <xmlCellPr id="1" xr6:uid="{E07D910F-54CD-4A4D-8B46-5A8C19E7A91E}" uniqueName="Total_Femur_Points">
      <xmlPr mapId="7" xpath="/MAKE/PP/PPLowerLegform/Lower_Legform/Minus_10/@Total_Femur_Points" xmlDataType="decimal"/>
    </xmlCellPr>
  </singleXmlCell>
  <singleXmlCell id="2012" xr6:uid="{7ABD8AB7-98E5-41B5-B057-ED6E09339C7C}" r="E36" connectionId="0">
    <xmlCellPr id="1" xr6:uid="{B8845217-0B36-4C3A-A876-9C4F213083F5}" uniqueName="TOTAL_PED_KNEE_TIBIA">
      <xmlPr mapId="7" xpath="/MAKE/PP/PPLowerLegform/@TOTAL_PED_KNEE_TIBIA" xmlDataType="decimal"/>
    </xmlCellPr>
  </singleXmlCell>
  <singleXmlCell id="1626" xr6:uid="{514EFA6E-95A7-4F92-B0D9-4BCA0102C446}" r="E32" connectionId="0">
    <xmlCellPr id="1" xr6:uid="{2140B697-E8BA-4A0E-ACAE-96CAA17E0265}" uniqueName="TOTAL_PED_FEMUR">
      <xmlPr mapId="7" xpath="/MAKE/PP/PPLowerLegform/@TOTAL_PED_FEMUR" xmlDataType="decimal"/>
    </xmlCellPr>
  </singleXmlCell>
</singleXmlCells>
</file>

<file path=xl/tables/tableSingleCells16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4110" xr6:uid="{E093090F-151F-4FB0-8400-6B1062757CEA}" r="D94" connectionId="0">
    <xmlCellPr id="1" xr6:uid="{E9BDBDB0-003E-4176-BAE5-58CC0807ECEE}" uniqueName="TOTAL_SCORE">
      <xmlPr mapId="7" xpath="/MAKE/PP/AEB_VRU/Pedestrian/@TOTAL_SCORE" xmlDataType="decimal"/>
    </xmlCellPr>
  </singleXmlCell>
  <singleXmlCell id="4119" xr6:uid="{3C579A55-B263-4EA9-9F0B-1AAFE4BAAC10}" r="D6" connectionId="0">
    <xmlCellPr id="1" xr6:uid="{42C21B3F-D85E-447A-8297-93DD0FD0D52A}" uniqueName="Name">
      <xmlPr mapId="7" xpath="/MAKE/PP/AEB_VRU/Pedestrian/@Name" xmlDataType="string"/>
    </xmlCellPr>
  </singleXmlCell>
  <singleXmlCell id="4328" xr6:uid="{217DAC26-368B-45FE-BEAB-D27FAAE6B42A}" r="D7" connectionId="0">
    <xmlCellPr id="1" xr6:uid="{46F44F98-B002-4366-AA5E-8A4CE82D094A}" uniqueName="Functionality">
      <xmlPr mapId="7" xpath="/MAKE/PP/AEB_VRU/Pedestrian/@Functionality" xmlDataType="string"/>
    </xmlCellPr>
  </singleXmlCell>
  <singleXmlCell id="4329" xr6:uid="{EA6AB2C9-CB9A-4019-8420-854FF0B75921}" r="D8" connectionId="0">
    <xmlCellPr id="1" xr6:uid="{0196D68F-D3EC-4C32-890C-290A13DC0702}" uniqueName="Min_Speed">
      <xmlPr mapId="7" xpath="/MAKE/PP/AEB_VRU/Pedestrian/@Min_Speed" xmlDataType="integer"/>
    </xmlCellPr>
  </singleXmlCell>
  <singleXmlCell id="4330" xr6:uid="{9CEA56E4-1FD6-4D0A-BA27-4439FCE5842B}" r="D9" connectionId="0">
    <xmlCellPr id="1" xr6:uid="{722E45F0-26BD-4AF8-872D-4CF53E1AE240}" uniqueName="Max_Speed">
      <xmlPr mapId="7" xpath="/MAKE/PP/AEB_VRU/Pedestrian/@Max_Speed" xmlDataType="decimal"/>
    </xmlCellPr>
  </singleXmlCell>
  <singleXmlCell id="4331" xr6:uid="{6D2D5157-BE9A-4E60-8C83-60AEAA206B18}" r="D13" connectionId="0">
    <xmlCellPr id="1" xr6:uid="{268DEDB0-350F-4DDD-AE8A-B9382FDC0645}" uniqueName="Day_Slow_Ped">
      <xmlPr mapId="7" xpath="/MAKE/PP/AEB_VRU/Pedestrian/Prerequisites/@Day_Slow_Ped" xmlDataType="string"/>
    </xmlCellPr>
  </singleXmlCell>
  <singleXmlCell id="4332" xr6:uid="{B102F681-84CF-462E-B4F1-B4E2F986129B}" r="J13" connectionId="0">
    <xmlCellPr id="1" xr6:uid="{58A67FFA-6165-4C60-9C3A-EB412BDE5385}" uniqueName="Night_Slow_Ped">
      <xmlPr mapId="7" xpath="/MAKE/PP/AEB_VRU/Pedestrian/Prerequisites/@Night_Slow_Ped" xmlDataType="string"/>
    </xmlCellPr>
  </singleXmlCell>
  <singleXmlCell id="4369" xr6:uid="{0F236C9F-C994-43B0-B8EB-B0FA52A3ED36}" r="D14" connectionId="0">
    <xmlCellPr id="1" xr6:uid="{DC785EFF-9417-476B-AB06-ACC7C36D83DD}" uniqueName="Default_On">
      <xmlPr mapId="7" xpath="/MAKE/PP/AEB_VRU/Pedestrian/Prerequisites/@Default_On" xmlDataType="string"/>
    </xmlCellPr>
  </singleXmlCell>
  <singleXmlCell id="4384" xr6:uid="{03FC8CA3-777E-468C-A559-ECBC6F46A524}" r="D15" connectionId="0">
    <xmlCellPr id="1" xr6:uid="{8503CB1A-D08A-4BD1-B4FC-EF744FCCF00D}" uniqueName="Off_Below_80">
      <xmlPr mapId="7" xpath="/MAKE/PP/AEB_VRU/Pedestrian/Prerequisites/@Off_Below_80" xmlDataType="string"/>
    </xmlCellPr>
  </singleXmlCell>
  <singleXmlCell id="4386" xr6:uid="{7D9B2723-BED7-4CBB-9026-2763E8E3A9FF}" r="D21" connectionId="0">
    <xmlCellPr id="1" xr6:uid="{B79B43C3-FF99-4281-A910-3B94141B5086}" uniqueName="OEM_Predict">
      <xmlPr mapId="7" xpath="/MAKE/PP/AEB_VRU/Pedestrian/CROSSING/Daytime/CPFA_50/_10km_h/@OEM_Predict" xmlDataType="string"/>
    </xmlCellPr>
  </singleXmlCell>
  <singleXmlCell id="4387" xr6:uid="{744B2733-8C65-4DC5-A637-69C090966528}" r="E21" connectionId="0">
    <xmlCellPr id="1" xr6:uid="{DE6AD044-B50F-4060-ADB5-5A250AD63D9D}" uniqueName="Vimpact">
      <xmlPr mapId="7" xpath="/MAKE/PP/AEB_VRU/Pedestrian/CROSSING/Daytime/CPFA_50/_10km_h/@Vimpact" xmlDataType="decimal"/>
    </xmlCellPr>
  </singleXmlCell>
  <singleXmlCell id="4388" xr6:uid="{7357F055-952C-407F-8FA8-0327FBCA991A}" r="F21" connectionId="0">
    <xmlCellPr id="1" xr6:uid="{341909BF-83BE-486E-8BB2-A884A04D99E9}" uniqueName="Points">
      <xmlPr mapId="7" xpath="/MAKE/PP/AEB_VRU/Pedestrian/CROSSING/Daytime/CPFA_50/_10km_h/@Points" xmlDataType="decimal"/>
    </xmlCellPr>
  </singleXmlCell>
  <singleXmlCell id="4389" xr6:uid="{23418606-F8B3-42FF-B87D-30BCEC1FF7B8}" r="D22" connectionId="0">
    <xmlCellPr id="1" xr6:uid="{65FDCFE8-E04A-4A7C-9730-C24F864EDEA0}" uniqueName="OEM_Predict">
      <xmlPr mapId="7" xpath="/MAKE/PP/AEB_VRU/Pedestrian/CROSSING/Daytime/CPFA_50/_15km_h/@OEM_Predict" xmlDataType="string"/>
    </xmlCellPr>
  </singleXmlCell>
  <singleXmlCell id="4390" xr6:uid="{84AC5E0F-8819-4A18-9F97-F1CEA489E295}" r="E22" connectionId="0">
    <xmlCellPr id="1" xr6:uid="{3C887235-6599-4179-B03C-733ED79F0F2E}" uniqueName="Vimpact">
      <xmlPr mapId="7" xpath="/MAKE/PP/AEB_VRU/Pedestrian/CROSSING/Daytime/CPFA_50/_15km_h/@Vimpact" xmlDataType="decimal"/>
    </xmlCellPr>
  </singleXmlCell>
  <singleXmlCell id="4391" xr6:uid="{04B04383-46F6-4ADC-A9E9-C1F18AC0DD86}" r="F22" connectionId="0">
    <xmlCellPr id="1" xr6:uid="{FB7F8F83-02F6-4897-9A58-D03C26B5469D}" uniqueName="Points">
      <xmlPr mapId="7" xpath="/MAKE/PP/AEB_VRU/Pedestrian/CROSSING/Daytime/CPFA_50/_15km_h/@Points" xmlDataType="decimal"/>
    </xmlCellPr>
  </singleXmlCell>
  <singleXmlCell id="4392" xr6:uid="{94E7BA11-7475-403B-806C-738582209B12}" r="D23" connectionId="0">
    <xmlCellPr id="1" xr6:uid="{4094182A-6690-492A-80B1-B0B0E6A9EFF3}" uniqueName="OEM_Predict">
      <xmlPr mapId="7" xpath="/MAKE/PP/AEB_VRU/Pedestrian/CROSSING/Daytime/CPFA_50/_20km_h/@OEM_Predict" xmlDataType="string"/>
    </xmlCellPr>
  </singleXmlCell>
  <singleXmlCell id="4393" xr6:uid="{C6E3BFC0-FBDB-4258-AF44-EC236A8DEDFE}" r="E23" connectionId="0">
    <xmlCellPr id="1" xr6:uid="{459A53E3-C45D-4D2F-A8AE-1FEC444128CB}" uniqueName="Vimpact">
      <xmlPr mapId="7" xpath="/MAKE/PP/AEB_VRU/Pedestrian/CROSSING/Daytime/CPFA_50/_20km_h/@Vimpact" xmlDataType="decimal"/>
    </xmlCellPr>
  </singleXmlCell>
  <singleXmlCell id="4394" xr6:uid="{9EF45D15-DE81-4A23-A957-19F379845FAA}" r="F23" connectionId="0">
    <xmlCellPr id="1" xr6:uid="{26B1F38D-CCE7-4ABB-B23E-42C4B16DD4D6}" uniqueName="Points">
      <xmlPr mapId="7" xpath="/MAKE/PP/AEB_VRU/Pedestrian/CROSSING/Daytime/CPFA_50/_20km_h/@Points" xmlDataType="decimal"/>
    </xmlCellPr>
  </singleXmlCell>
  <singleXmlCell id="4395" xr6:uid="{7A040748-1C8C-4AC4-8A9F-C5AD9E534D40}" r="D24" connectionId="0">
    <xmlCellPr id="1" xr6:uid="{D62C72F0-3DF8-4086-BD09-17D2B8B26B9A}" uniqueName="OEM_Predict">
      <xmlPr mapId="7" xpath="/MAKE/PP/AEB_VRU/Pedestrian/CROSSING/Daytime/CPFA_50/_25km_h/@OEM_Predict" xmlDataType="string"/>
    </xmlCellPr>
  </singleXmlCell>
  <singleXmlCell id="4396" xr6:uid="{FADAAD6C-54F9-469E-9490-51128829D96B}" r="E24" connectionId="0">
    <xmlCellPr id="1" xr6:uid="{39A5A5C0-D4F6-4258-B10D-9B8475F0E831}" uniqueName="Vimpact">
      <xmlPr mapId="7" xpath="/MAKE/PP/AEB_VRU/Pedestrian/CROSSING/Daytime/CPFA_50/_25km_h/@Vimpact" xmlDataType="decimal"/>
    </xmlCellPr>
  </singleXmlCell>
  <singleXmlCell id="4397" xr6:uid="{9EBA20E9-B3DC-4A27-B766-362FA0E18C91}" r="F24" connectionId="0">
    <xmlCellPr id="1" xr6:uid="{272BD3DD-F490-40DB-85E9-BDF31FB3ABB3}" uniqueName="Points">
      <xmlPr mapId="7" xpath="/MAKE/PP/AEB_VRU/Pedestrian/CROSSING/Daytime/CPFA_50/_25km_h/@Points" xmlDataType="decimal"/>
    </xmlCellPr>
  </singleXmlCell>
  <singleXmlCell id="4398" xr6:uid="{1060AA33-2751-462F-AF70-960F6034C134}" r="D25" connectionId="0">
    <xmlCellPr id="1" xr6:uid="{F986B71F-D0EB-4989-8876-A35CFE982455}" uniqueName="OEM_Predict">
      <xmlPr mapId="7" xpath="/MAKE/PP/AEB_VRU/Pedestrian/CROSSING/Daytime/CPFA_50/_30km_h/@OEM_Predict" xmlDataType="string"/>
    </xmlCellPr>
  </singleXmlCell>
  <singleXmlCell id="4399" xr6:uid="{8C7C4533-EEA5-49B4-B763-8002137B3515}" r="E25" connectionId="0">
    <xmlCellPr id="1" xr6:uid="{1C47848F-C8D7-4F5B-9909-9EECAA8B3B3B}" uniqueName="Vimpact">
      <xmlPr mapId="7" xpath="/MAKE/PP/AEB_VRU/Pedestrian/CROSSING/Daytime/CPFA_50/_30km_h/@Vimpact" xmlDataType="decimal"/>
    </xmlCellPr>
  </singleXmlCell>
  <singleXmlCell id="4400" xr6:uid="{C6CA3A62-5963-474E-A524-6DCE53A42266}" r="F25" connectionId="0">
    <xmlCellPr id="1" xr6:uid="{FA969F4C-8DA9-4DE2-A45F-5A39BD9F0F39}" uniqueName="Points">
      <xmlPr mapId="7" xpath="/MAKE/PP/AEB_VRU/Pedestrian/CROSSING/Daytime/CPFA_50/_30km_h/@Points" xmlDataType="decimal"/>
    </xmlCellPr>
  </singleXmlCell>
  <singleXmlCell id="4401" xr6:uid="{BA3843D0-04A4-4277-B0F1-9FFEF5545126}" r="D26" connectionId="0">
    <xmlCellPr id="1" xr6:uid="{2432CC0F-327E-4FDA-A8E2-FD278D748C42}" uniqueName="OEM_Predict">
      <xmlPr mapId="7" xpath="/MAKE/PP/AEB_VRU/Pedestrian/CROSSING/Daytime/CPFA_50/_35km_h/@OEM_Predict" xmlDataType="string"/>
    </xmlCellPr>
  </singleXmlCell>
  <singleXmlCell id="4402" xr6:uid="{78E79A57-7729-484D-A2F9-FDF8659527A7}" r="E26" connectionId="0">
    <xmlCellPr id="1" xr6:uid="{D64A34BF-7303-4B5F-BA32-29A9854AFDFA}" uniqueName="Vimpact">
      <xmlPr mapId="7" xpath="/MAKE/PP/AEB_VRU/Pedestrian/CROSSING/Daytime/CPFA_50/_35km_h/@Vimpact" xmlDataType="decimal"/>
    </xmlCellPr>
  </singleXmlCell>
  <singleXmlCell id="4403" xr6:uid="{BB7D120C-B24E-4A98-9D48-AE79E6F975DC}" r="F26" connectionId="0">
    <xmlCellPr id="1" xr6:uid="{F00440E9-FFE0-4503-811D-D7F5E543BB6B}" uniqueName="Points">
      <xmlPr mapId="7" xpath="/MAKE/PP/AEB_VRU/Pedestrian/CROSSING/Daytime/CPFA_50/_35km_h/@Points" xmlDataType="decimal"/>
    </xmlCellPr>
  </singleXmlCell>
  <singleXmlCell id="4404" xr6:uid="{F31C5D7D-1EFE-4937-9ABC-1754E9C87B3C}" r="D27" connectionId="0">
    <xmlCellPr id="1" xr6:uid="{A54CA5F5-E294-4055-AF98-AC031656B86A}" uniqueName="OEM_Predict">
      <xmlPr mapId="7" xpath="/MAKE/PP/AEB_VRU/Pedestrian/CROSSING/Daytime/CPFA_50/_40km_h/@OEM_Predict" xmlDataType="string"/>
    </xmlCellPr>
  </singleXmlCell>
  <singleXmlCell id="4405" xr6:uid="{2FA331E4-9AD2-4A83-BC37-5B85C3ADFF8A}" r="E27" connectionId="0">
    <xmlCellPr id="1" xr6:uid="{F8E1ABBD-40EF-404C-8BB2-8E2AB0F8ADEA}" uniqueName="Vimpact">
      <xmlPr mapId="7" xpath="/MAKE/PP/AEB_VRU/Pedestrian/CROSSING/Daytime/CPFA_50/_40km_h/@Vimpact" xmlDataType="decimal"/>
    </xmlCellPr>
  </singleXmlCell>
  <singleXmlCell id="4406" xr6:uid="{86B9A6CF-C1E3-41FD-90F3-E179B39A38C0}" r="F27" connectionId="0">
    <xmlCellPr id="1" xr6:uid="{1EFF6959-769C-4409-82C8-31B15878BE7C}" uniqueName="Points">
      <xmlPr mapId="7" xpath="/MAKE/PP/AEB_VRU/Pedestrian/CROSSING/Daytime/CPFA_50/_40km_h/@Points" xmlDataType="decimal"/>
    </xmlCellPr>
  </singleXmlCell>
  <singleXmlCell id="4407" xr6:uid="{C98A6E52-E0FC-4AE0-9286-FC2C8C43C1B3}" r="D28" connectionId="0">
    <xmlCellPr id="1" xr6:uid="{E97AADE0-57A1-461D-9AAF-80F42D52457C}" uniqueName="OEM_Predict">
      <xmlPr mapId="7" xpath="/MAKE/PP/AEB_VRU/Pedestrian/CROSSING/Daytime/CPFA_50/_45km_h/@OEM_Predict" xmlDataType="string"/>
    </xmlCellPr>
  </singleXmlCell>
  <singleXmlCell id="4408" xr6:uid="{CBB2F414-0B46-46F8-A338-88A2F0C55C77}" r="E28" connectionId="0">
    <xmlCellPr id="1" xr6:uid="{0C490F56-6849-4F88-9AB1-5CBA2913F660}" uniqueName="Vimpact">
      <xmlPr mapId="7" xpath="/MAKE/PP/AEB_VRU/Pedestrian/CROSSING/Daytime/CPFA_50/_45km_h/@Vimpact" xmlDataType="decimal"/>
    </xmlCellPr>
  </singleXmlCell>
  <singleXmlCell id="4409" xr6:uid="{C32831C1-1CEE-453C-A6D4-304B881EB041}" r="F28" connectionId="0">
    <xmlCellPr id="1" xr6:uid="{8754B63E-2DD8-4E0F-96E5-1F7FD7C3100C}" uniqueName="Points">
      <xmlPr mapId="7" xpath="/MAKE/PP/AEB_VRU/Pedestrian/CROSSING/Daytime/CPFA_50/_45km_h/@Points" xmlDataType="decimal"/>
    </xmlCellPr>
  </singleXmlCell>
  <singleXmlCell id="4410" xr6:uid="{E26CE856-3537-4AF7-8E1F-8DAADC23D524}" r="D29" connectionId="0">
    <xmlCellPr id="1" xr6:uid="{687EC0E4-CAFF-4D34-9215-96E052BBEBFB}" uniqueName="OEM_Predict">
      <xmlPr mapId="7" xpath="/MAKE/PP/AEB_VRU/Pedestrian/CROSSING/Daytime/CPFA_50/_50km_h/@OEM_Predict" xmlDataType="string"/>
    </xmlCellPr>
  </singleXmlCell>
  <singleXmlCell id="4411" xr6:uid="{87075672-A281-4197-A169-373EAE2FFC4F}" r="E29" connectionId="0">
    <xmlCellPr id="1" xr6:uid="{6347010C-D53A-412A-BC06-24E99D89BCFB}" uniqueName="Vimpact">
      <xmlPr mapId="7" xpath="/MAKE/PP/AEB_VRU/Pedestrian/CROSSING/Daytime/CPFA_50/_50km_h/@Vimpact" xmlDataType="decimal"/>
    </xmlCellPr>
  </singleXmlCell>
  <singleXmlCell id="4412" xr6:uid="{4668C454-6D49-4E52-9130-34C2BE38AB48}" r="F29" connectionId="0">
    <xmlCellPr id="1" xr6:uid="{A7C0A961-67EF-4649-A28B-FDEFFB2C05AD}" uniqueName="Points">
      <xmlPr mapId="7" xpath="/MAKE/PP/AEB_VRU/Pedestrian/CROSSING/Daytime/CPFA_50/_50km_h/@Points" xmlDataType="decimal"/>
    </xmlCellPr>
  </singleXmlCell>
  <singleXmlCell id="4413" xr6:uid="{F3A5E9C8-C273-4885-9233-1B55836BF8E4}" r="D30" connectionId="0">
    <xmlCellPr id="1" xr6:uid="{9CB2E782-377F-4D33-AC08-42240295EB2F}" uniqueName="OEM_Predict">
      <xmlPr mapId="7" xpath="/MAKE/PP/AEB_VRU/Pedestrian/CROSSING/Daytime/CPFA_50/_55km_h/@OEM_Predict" xmlDataType="string"/>
    </xmlCellPr>
  </singleXmlCell>
  <singleXmlCell id="4414" xr6:uid="{9451822C-958C-4589-9D25-FDEE8F4AAEFE}" r="E30" connectionId="0">
    <xmlCellPr id="1" xr6:uid="{6FD17609-BCB8-48B8-B797-E6AF3E29394D}" uniqueName="Vimpact">
      <xmlPr mapId="7" xpath="/MAKE/PP/AEB_VRU/Pedestrian/CROSSING/Daytime/CPFA_50/_55km_h/@Vimpact" xmlDataType="decimal"/>
    </xmlCellPr>
  </singleXmlCell>
  <singleXmlCell id="4415" xr6:uid="{65482A82-B52B-4972-BBFB-21CDE0B909B8}" r="F30" connectionId="0">
    <xmlCellPr id="1" xr6:uid="{1104E894-E5AB-498C-9F92-26AA54BC78ED}" uniqueName="Points">
      <xmlPr mapId="7" xpath="/MAKE/PP/AEB_VRU/Pedestrian/CROSSING/Daytime/CPFA_50/_55km_h/@Points" xmlDataType="decimal"/>
    </xmlCellPr>
  </singleXmlCell>
  <singleXmlCell id="4416" xr6:uid="{D82548F2-1E8B-439D-B03D-2C9202169265}" r="D31" connectionId="0">
    <xmlCellPr id="1" xr6:uid="{84F862C3-5F80-4330-8B6E-BF6231F855CE}" uniqueName="OEM_Predict">
      <xmlPr mapId="7" xpath="/MAKE/PP/AEB_VRU/Pedestrian/CROSSING/Daytime/CPFA_50/_60km_h/@OEM_Predict" xmlDataType="string"/>
    </xmlCellPr>
  </singleXmlCell>
  <singleXmlCell id="4417" xr6:uid="{94DFE931-A566-4A59-8C02-F45AC87D01D4}" r="E31" connectionId="0">
    <xmlCellPr id="1" xr6:uid="{E62344E0-4D25-4638-9FD4-46E66BAB7274}" uniqueName="Vimpact">
      <xmlPr mapId="7" xpath="/MAKE/PP/AEB_VRU/Pedestrian/CROSSING/Daytime/CPFA_50/_60km_h/@Vimpact" xmlDataType="decimal"/>
    </xmlCellPr>
  </singleXmlCell>
  <singleXmlCell id="4418" xr6:uid="{191491B3-8C9F-487E-BE5A-02B43D79B8FC}" r="F31" connectionId="0">
    <xmlCellPr id="1" xr6:uid="{FF341B5F-D4C3-4232-A4C6-457EB4169113}" uniqueName="Points">
      <xmlPr mapId="7" xpath="/MAKE/PP/AEB_VRU/Pedestrian/CROSSING/Daytime/CPFA_50/_60km_h/@Points" xmlDataType="decimal"/>
    </xmlCellPr>
  </singleXmlCell>
  <singleXmlCell id="4421" xr6:uid="{B6E34B8F-49E1-4034-B3EB-D2453A59C08B}" r="G21" connectionId="0">
    <xmlCellPr id="1" xr6:uid="{33D951D8-E9DE-42CB-8783-621677A5CC31}" uniqueName="OEM_Predict">
      <xmlPr mapId="7" xpath="/MAKE/PP/AEB_VRU/Pedestrian/CROSSING/Daytime/CPNA_25/_10km_h/@OEM_Predict" xmlDataType="string"/>
    </xmlCellPr>
  </singleXmlCell>
  <singleXmlCell id="4422" xr6:uid="{8464AD4E-AAA5-432E-A39F-67467BEFED95}" r="H21" connectionId="0">
    <xmlCellPr id="1" xr6:uid="{001B0BEC-6B98-4964-B266-BA35BA726BE7}" uniqueName="Vimpact">
      <xmlPr mapId="7" xpath="/MAKE/PP/AEB_VRU/Pedestrian/CROSSING/Daytime/CPNA_25/_10km_h/@Vimpact" xmlDataType="decimal"/>
    </xmlCellPr>
  </singleXmlCell>
  <singleXmlCell id="4423" xr6:uid="{770A4158-4EC7-4B0B-B93C-119C4A52682A}" r="I21" connectionId="0">
    <xmlCellPr id="1" xr6:uid="{ADDE1BEE-CE8C-4443-8755-549F69B12651}" uniqueName="Points">
      <xmlPr mapId="7" xpath="/MAKE/PP/AEB_VRU/Pedestrian/CROSSING/Daytime/CPNA_25/_10km_h/@Points" xmlDataType="decimal"/>
    </xmlCellPr>
  </singleXmlCell>
  <singleXmlCell id="4424" xr6:uid="{D3D98E7B-4A57-452C-9190-5F4470F8D59C}" r="G22" connectionId="0">
    <xmlCellPr id="1" xr6:uid="{B0EDA66C-6A7D-4AF3-B0FB-332B091835D5}" uniqueName="OEM_Predict">
      <xmlPr mapId="7" xpath="/MAKE/PP/AEB_VRU/Pedestrian/CROSSING/Daytime/CPNA_25/_15km_h/@OEM_Predict" xmlDataType="string"/>
    </xmlCellPr>
  </singleXmlCell>
  <singleXmlCell id="4425" xr6:uid="{E6E9038D-3C00-4B09-B263-3C26D44E6EC0}" r="H22" connectionId="0">
    <xmlCellPr id="1" xr6:uid="{2A1FEBE0-A22D-4CC9-8D16-085A04F8C20E}" uniqueName="Vimpact">
      <xmlPr mapId="7" xpath="/MAKE/PP/AEB_VRU/Pedestrian/CROSSING/Daytime/CPNA_25/_15km_h/@Vimpact" xmlDataType="decimal"/>
    </xmlCellPr>
  </singleXmlCell>
  <singleXmlCell id="4426" xr6:uid="{E242C8F0-BCDE-4CB8-96B2-90CD5E9FB2CC}" r="I22" connectionId="0">
    <xmlCellPr id="1" xr6:uid="{61D48D70-18C1-4E08-8E98-4EEF4D5240C5}" uniqueName="Points">
      <xmlPr mapId="7" xpath="/MAKE/PP/AEB_VRU/Pedestrian/CROSSING/Daytime/CPNA_25/_15km_h/@Points" xmlDataType="decimal"/>
    </xmlCellPr>
  </singleXmlCell>
  <singleXmlCell id="4427" xr6:uid="{0B130F7B-7019-4953-B930-92938E7FDAF5}" r="G23" connectionId="0">
    <xmlCellPr id="1" xr6:uid="{39AFF180-A24C-47C6-85AF-B3FDBA2B5686}" uniqueName="OEM_Predict">
      <xmlPr mapId="7" xpath="/MAKE/PP/AEB_VRU/Pedestrian/CROSSING/Daytime/CPNA_25/_20km_h/@OEM_Predict" xmlDataType="string"/>
    </xmlCellPr>
  </singleXmlCell>
  <singleXmlCell id="4428" xr6:uid="{BD5A1F60-67D1-4D96-8555-34614390C648}" r="H23" connectionId="0">
    <xmlCellPr id="1" xr6:uid="{3509716F-FE28-43A4-BB8D-F4035AE12316}" uniqueName="Vimpact">
      <xmlPr mapId="7" xpath="/MAKE/PP/AEB_VRU/Pedestrian/CROSSING/Daytime/CPNA_25/_20km_h/@Vimpact" xmlDataType="decimal"/>
    </xmlCellPr>
  </singleXmlCell>
  <singleXmlCell id="4429" xr6:uid="{CD515F3C-BBF4-4D4E-801F-D2FF1C07FDE0}" r="I23" connectionId="0">
    <xmlCellPr id="1" xr6:uid="{E2B77AA6-C7F8-4BB3-8A9B-AEB7097F0623}" uniqueName="Points">
      <xmlPr mapId="7" xpath="/MAKE/PP/AEB_VRU/Pedestrian/CROSSING/Daytime/CPNA_25/_20km_h/@Points" xmlDataType="decimal"/>
    </xmlCellPr>
  </singleXmlCell>
  <singleXmlCell id="4430" xr6:uid="{1756B713-CA85-46AD-80D5-A056A06FA079}" r="G24" connectionId="0">
    <xmlCellPr id="1" xr6:uid="{E2129255-59E3-4080-843E-D72B094CF3A6}" uniqueName="OEM_Predict">
      <xmlPr mapId="7" xpath="/MAKE/PP/AEB_VRU/Pedestrian/CROSSING/Daytime/CPNA_25/_25km_h/@OEM_Predict" xmlDataType="string"/>
    </xmlCellPr>
  </singleXmlCell>
  <singleXmlCell id="4431" xr6:uid="{E92B37DF-829D-457F-A398-2494AFCF7298}" r="H24" connectionId="0">
    <xmlCellPr id="1" xr6:uid="{F5488247-DD7D-43CE-9157-8929C9616835}" uniqueName="Vimpact">
      <xmlPr mapId="7" xpath="/MAKE/PP/AEB_VRU/Pedestrian/CROSSING/Daytime/CPNA_25/_25km_h/@Vimpact" xmlDataType="decimal"/>
    </xmlCellPr>
  </singleXmlCell>
  <singleXmlCell id="4432" xr6:uid="{B72B9C5E-FB27-4DE6-ACE9-053AF59A8C1D}" r="I24" connectionId="0">
    <xmlCellPr id="1" xr6:uid="{19CC9E2E-D363-49DA-BB2E-68A04D272322}" uniqueName="Points">
      <xmlPr mapId="7" xpath="/MAKE/PP/AEB_VRU/Pedestrian/CROSSING/Daytime/CPNA_25/_25km_h/@Points" xmlDataType="decimal"/>
    </xmlCellPr>
  </singleXmlCell>
  <singleXmlCell id="4433" xr6:uid="{497AD4B8-0225-4383-BED8-978825547139}" r="G25" connectionId="0">
    <xmlCellPr id="1" xr6:uid="{07BDCBB7-0ABC-4B58-96BD-A4DC4EB53ED6}" uniqueName="OEM_Predict">
      <xmlPr mapId="7" xpath="/MAKE/PP/AEB_VRU/Pedestrian/CROSSING/Daytime/CPNA_25/_30km_h/@OEM_Predict" xmlDataType="string"/>
    </xmlCellPr>
  </singleXmlCell>
  <singleXmlCell id="4434" xr6:uid="{5DBA8094-B372-477B-AB07-8140D934A837}" r="H25" connectionId="0">
    <xmlCellPr id="1" xr6:uid="{CFF14A31-3CAD-4DD7-843B-E8A329086E90}" uniqueName="Vimpact">
      <xmlPr mapId="7" xpath="/MAKE/PP/AEB_VRU/Pedestrian/CROSSING/Daytime/CPNA_25/_30km_h/@Vimpact" xmlDataType="decimal"/>
    </xmlCellPr>
  </singleXmlCell>
  <singleXmlCell id="4435" xr6:uid="{BF89BA0C-4F4D-4513-BB3C-F985B017DFEF}" r="I25" connectionId="0">
    <xmlCellPr id="1" xr6:uid="{A88BB1A3-0B39-4158-A04B-B199BBAD2848}" uniqueName="Points">
      <xmlPr mapId="7" xpath="/MAKE/PP/AEB_VRU/Pedestrian/CROSSING/Daytime/CPNA_25/_30km_h/@Points" xmlDataType="decimal"/>
    </xmlCellPr>
  </singleXmlCell>
  <singleXmlCell id="4436" xr6:uid="{D9FF8BB2-C4D0-4986-86FF-F4B5BBA0B73E}" r="G26" connectionId="0">
    <xmlCellPr id="1" xr6:uid="{CF79DD15-E27B-4815-8565-C97A9CF95B90}" uniqueName="OEM_Predict">
      <xmlPr mapId="7" xpath="/MAKE/PP/AEB_VRU/Pedestrian/CROSSING/Daytime/CPNA_25/_35km_h/@OEM_Predict" xmlDataType="string"/>
    </xmlCellPr>
  </singleXmlCell>
  <singleXmlCell id="4437" xr6:uid="{CEFB5BCE-B93B-4F6F-93FF-41919B109D6E}" r="H26" connectionId="0">
    <xmlCellPr id="1" xr6:uid="{DDA1C137-8048-4580-8147-1A1F3071F5E3}" uniqueName="Vimpact">
      <xmlPr mapId="7" xpath="/MAKE/PP/AEB_VRU/Pedestrian/CROSSING/Daytime/CPNA_25/_35km_h/@Vimpact" xmlDataType="decimal"/>
    </xmlCellPr>
  </singleXmlCell>
  <singleXmlCell id="4438" xr6:uid="{0CF39BA3-32D2-4802-A957-EFAF25F6F960}" r="I26" connectionId="0">
    <xmlCellPr id="1" xr6:uid="{FB0530D6-1244-4473-A6C3-90BBC699024F}" uniqueName="Points">
      <xmlPr mapId="7" xpath="/MAKE/PP/AEB_VRU/Pedestrian/CROSSING/Daytime/CPNA_25/_35km_h/@Points" xmlDataType="decimal"/>
    </xmlCellPr>
  </singleXmlCell>
  <singleXmlCell id="4439" xr6:uid="{6ACA2061-A0F3-4BC8-B62E-563010E79DC5}" r="G27" connectionId="0">
    <xmlCellPr id="1" xr6:uid="{EFD40395-8344-416C-8F70-B8E55A225BC2}" uniqueName="OEM_Predict">
      <xmlPr mapId="7" xpath="/MAKE/PP/AEB_VRU/Pedestrian/CROSSING/Daytime/CPNA_25/_40km_h/@OEM_Predict" xmlDataType="string"/>
    </xmlCellPr>
  </singleXmlCell>
  <singleXmlCell id="4440" xr6:uid="{9A779CDE-DA9C-4EE2-A470-7AF1A8EE8D67}" r="H27" connectionId="0">
    <xmlCellPr id="1" xr6:uid="{B3B29525-BD4C-4AB4-9A53-1F6B914886A9}" uniqueName="Vimpact">
      <xmlPr mapId="7" xpath="/MAKE/PP/AEB_VRU/Pedestrian/CROSSING/Daytime/CPNA_25/_40km_h/@Vimpact" xmlDataType="decimal"/>
    </xmlCellPr>
  </singleXmlCell>
  <singleXmlCell id="4441" xr6:uid="{1298A396-E504-4793-B044-8813DA81D33B}" r="I27" connectionId="0">
    <xmlCellPr id="1" xr6:uid="{614AEDC5-3B69-416B-A984-FBFD867AE121}" uniqueName="Points">
      <xmlPr mapId="7" xpath="/MAKE/PP/AEB_VRU/Pedestrian/CROSSING/Daytime/CPNA_25/_40km_h/@Points" xmlDataType="decimal"/>
    </xmlCellPr>
  </singleXmlCell>
  <singleXmlCell id="4442" xr6:uid="{4F9C8AFA-CC6B-428D-900D-B96A1150A45D}" r="G28" connectionId="0">
    <xmlCellPr id="1" xr6:uid="{26B2B7E0-502A-4A46-BAEC-022915D72AE3}" uniqueName="OEM_Predict">
      <xmlPr mapId="7" xpath="/MAKE/PP/AEB_VRU/Pedestrian/CROSSING/Daytime/CPNA_25/_45km_h/@OEM_Predict" xmlDataType="string"/>
    </xmlCellPr>
  </singleXmlCell>
  <singleXmlCell id="4443" xr6:uid="{3BCC2029-96A2-45F5-AAA5-DF5B28A29DFC}" r="H28" connectionId="0">
    <xmlCellPr id="1" xr6:uid="{9FFE1FFE-6857-49C7-9840-BDB3EACDD115}" uniqueName="Vimpact">
      <xmlPr mapId="7" xpath="/MAKE/PP/AEB_VRU/Pedestrian/CROSSING/Daytime/CPNA_25/_45km_h/@Vimpact" xmlDataType="decimal"/>
    </xmlCellPr>
  </singleXmlCell>
  <singleXmlCell id="4444" xr6:uid="{6E382B03-640A-4122-B28A-3B1AC9CFB01E}" r="I28" connectionId="0">
    <xmlCellPr id="1" xr6:uid="{B13E917E-A22B-47A4-B293-A2D784B29866}" uniqueName="Points">
      <xmlPr mapId="7" xpath="/MAKE/PP/AEB_VRU/Pedestrian/CROSSING/Daytime/CPNA_25/_45km_h/@Points" xmlDataType="decimal"/>
    </xmlCellPr>
  </singleXmlCell>
  <singleXmlCell id="4445" xr6:uid="{C12BC6CE-0FC7-4A34-B277-C7E6C855440D}" r="G29" connectionId="0">
    <xmlCellPr id="1" xr6:uid="{11A01DE2-353C-4255-ACA5-36186B345424}" uniqueName="OEM_Predict">
      <xmlPr mapId="7" xpath="/MAKE/PP/AEB_VRU/Pedestrian/CROSSING/Daytime/CPNA_25/_50km_h/@OEM_Predict" xmlDataType="string"/>
    </xmlCellPr>
  </singleXmlCell>
  <singleXmlCell id="4446" xr6:uid="{C18F09CD-0360-41D4-9295-E92566A651E9}" r="H29" connectionId="0">
    <xmlCellPr id="1" xr6:uid="{D68ABCDE-094C-47A0-B97D-0FFC22E0E6F3}" uniqueName="Vimpact">
      <xmlPr mapId="7" xpath="/MAKE/PP/AEB_VRU/Pedestrian/CROSSING/Daytime/CPNA_25/_50km_h/@Vimpact" xmlDataType="decimal"/>
    </xmlCellPr>
  </singleXmlCell>
  <singleXmlCell id="4447" xr6:uid="{FE4417F7-C356-4FDB-82E6-184BE92FCA67}" r="I29" connectionId="0">
    <xmlCellPr id="1" xr6:uid="{AC8536D2-E4DC-4701-8BAC-67694B6C66D5}" uniqueName="Points">
      <xmlPr mapId="7" xpath="/MAKE/PP/AEB_VRU/Pedestrian/CROSSING/Daytime/CPNA_25/_50km_h/@Points" xmlDataType="decimal"/>
    </xmlCellPr>
  </singleXmlCell>
  <singleXmlCell id="4448" xr6:uid="{14F7F9FD-96FA-4C5B-A698-B46AEE3299D8}" r="G30" connectionId="0">
    <xmlCellPr id="1" xr6:uid="{F3E2E093-572A-4E21-A164-B63C6D1855C3}" uniqueName="OEM_Predict">
      <xmlPr mapId="7" xpath="/MAKE/PP/AEB_VRU/Pedestrian/CROSSING/Daytime/CPNA_25/_55km_h/@OEM_Predict" xmlDataType="string"/>
    </xmlCellPr>
  </singleXmlCell>
  <singleXmlCell id="4449" xr6:uid="{4F14705C-5F16-44C3-9ED7-A71C3A9BAFD6}" r="H30" connectionId="0">
    <xmlCellPr id="1" xr6:uid="{E24AC59E-C0FF-40AC-AECE-FEA595DCD572}" uniqueName="Vimpact">
      <xmlPr mapId="7" xpath="/MAKE/PP/AEB_VRU/Pedestrian/CROSSING/Daytime/CPNA_25/_55km_h/@Vimpact" xmlDataType="decimal"/>
    </xmlCellPr>
  </singleXmlCell>
  <singleXmlCell id="4450" xr6:uid="{954B0AF6-7AC1-4523-8631-F0EE7C40DCC0}" r="I30" connectionId="0">
    <xmlCellPr id="1" xr6:uid="{5887F520-31ED-47F8-9B49-39CC7A380F9E}" uniqueName="Points">
      <xmlPr mapId="7" xpath="/MAKE/PP/AEB_VRU/Pedestrian/CROSSING/Daytime/CPNA_25/_55km_h/@Points" xmlDataType="decimal"/>
    </xmlCellPr>
  </singleXmlCell>
  <singleXmlCell id="4451" xr6:uid="{F6806E4B-C401-4CBA-BAE8-60D6E2C71A6F}" r="G31" connectionId="0">
    <xmlCellPr id="1" xr6:uid="{F6B77AAB-8E9D-4D2F-99A1-4632A23C02E0}" uniqueName="OEM_Predict">
      <xmlPr mapId="7" xpath="/MAKE/PP/AEB_VRU/Pedestrian/CROSSING/Daytime/CPNA_25/_60km_h/@OEM_Predict" xmlDataType="string"/>
    </xmlCellPr>
  </singleXmlCell>
  <singleXmlCell id="4452" xr6:uid="{7243E9E8-4D0E-495F-BA69-A4308FA0BF50}" r="H31" connectionId="0">
    <xmlCellPr id="1" xr6:uid="{C884D0F6-904A-43DD-A741-8DE57F02C6C0}" uniqueName="Vimpact">
      <xmlPr mapId="7" xpath="/MAKE/PP/AEB_VRU/Pedestrian/CROSSING/Daytime/CPNA_25/_60km_h/@Vimpact" xmlDataType="decimal"/>
    </xmlCellPr>
  </singleXmlCell>
  <singleXmlCell id="4453" xr6:uid="{F5A57E45-170A-48A6-BDDA-FDB3CCF3A415}" r="I31" connectionId="0">
    <xmlCellPr id="1" xr6:uid="{5F854AB0-4B8E-49AB-9F9F-1284B0F09E74}" uniqueName="Points">
      <xmlPr mapId="7" xpath="/MAKE/PP/AEB_VRU/Pedestrian/CROSSING/Daytime/CPNA_25/_60km_h/@Points" xmlDataType="decimal"/>
    </xmlCellPr>
  </singleXmlCell>
  <singleXmlCell id="4454" xr6:uid="{46443979-EBD3-4D78-807B-27BC16AE2EB5}" r="J21" connectionId="0">
    <xmlCellPr id="1" xr6:uid="{126B4FD5-6380-4631-8D26-C88FE5C38DE2}" uniqueName="OEM_Predict">
      <xmlPr mapId="7" xpath="/MAKE/PP/AEB_VRU/Pedestrian/CROSSING/Daytime/CPNA_75/_10km_h/@OEM_Predict" xmlDataType="string"/>
    </xmlCellPr>
  </singleXmlCell>
  <singleXmlCell id="4455" xr6:uid="{E4E7627C-7234-4A7E-A83A-267042C97C3A}" r="K21" connectionId="0">
    <xmlCellPr id="1" xr6:uid="{11B404BC-FD0D-4555-8018-83E7A347C553}" uniqueName="Vimpact">
      <xmlPr mapId="7" xpath="/MAKE/PP/AEB_VRU/Pedestrian/CROSSING/Daytime/CPNA_75/_10km_h/@Vimpact" xmlDataType="decimal"/>
    </xmlCellPr>
  </singleXmlCell>
  <singleXmlCell id="4456" xr6:uid="{678D7B8A-88AC-410A-B10C-601EC159519A}" r="L21" connectionId="0">
    <xmlCellPr id="1" xr6:uid="{5D661F39-ABB3-4E3E-A0D2-EE86A8FA4B38}" uniqueName="Points">
      <xmlPr mapId="7" xpath="/MAKE/PP/AEB_VRU/Pedestrian/CROSSING/Daytime/CPNA_75/_10km_h/@Points" xmlDataType="decimal"/>
    </xmlCellPr>
  </singleXmlCell>
  <singleXmlCell id="4457" xr6:uid="{8952232B-9204-4A68-9AE9-B1E7865B262F}" r="J22" connectionId="0">
    <xmlCellPr id="1" xr6:uid="{B6FE1A47-6C77-40C8-B4E2-418FA7BA8F71}" uniqueName="OEM_Predict">
      <xmlPr mapId="7" xpath="/MAKE/PP/AEB_VRU/Pedestrian/CROSSING/Daytime/CPNA_75/_15km_h/@OEM_Predict" xmlDataType="string"/>
    </xmlCellPr>
  </singleXmlCell>
  <singleXmlCell id="4458" xr6:uid="{2E0CF587-7202-4D89-9EF2-A4426E8ECDA9}" r="K22" connectionId="0">
    <xmlCellPr id="1" xr6:uid="{B16734ED-489A-46EC-8B42-6A6ABD3217EF}" uniqueName="Vimpact">
      <xmlPr mapId="7" xpath="/MAKE/PP/AEB_VRU/Pedestrian/CROSSING/Daytime/CPNA_75/_15km_h/@Vimpact" xmlDataType="decimal"/>
    </xmlCellPr>
  </singleXmlCell>
  <singleXmlCell id="4459" xr6:uid="{3A83F2A3-7C13-4165-8EF6-EFF6551EE5A4}" r="L22" connectionId="0">
    <xmlCellPr id="1" xr6:uid="{65DC932A-B6E8-48B6-9E6D-7275833A275F}" uniqueName="Points">
      <xmlPr mapId="7" xpath="/MAKE/PP/AEB_VRU/Pedestrian/CROSSING/Daytime/CPNA_75/_15km_h/@Points" xmlDataType="decimal"/>
    </xmlCellPr>
  </singleXmlCell>
  <singleXmlCell id="4460" xr6:uid="{FDFCD337-677E-42E6-86AB-7B41B8059691}" r="J23" connectionId="0">
    <xmlCellPr id="1" xr6:uid="{A5A1C2B8-7FD5-42C4-9852-B03FC2C10C4F}" uniqueName="OEM_Predict">
      <xmlPr mapId="7" xpath="/MAKE/PP/AEB_VRU/Pedestrian/CROSSING/Daytime/CPNA_75/_20km_h/@OEM_Predict" xmlDataType="string"/>
    </xmlCellPr>
  </singleXmlCell>
  <singleXmlCell id="4461" xr6:uid="{CABA587F-7A70-4FAC-B235-313B90B54888}" r="K23" connectionId="0">
    <xmlCellPr id="1" xr6:uid="{F9C1979A-382C-40F6-A2D0-356728DA66FF}" uniqueName="Vimpact">
      <xmlPr mapId="7" xpath="/MAKE/PP/AEB_VRU/Pedestrian/CROSSING/Daytime/CPNA_75/_20km_h/@Vimpact" xmlDataType="decimal"/>
    </xmlCellPr>
  </singleXmlCell>
  <singleXmlCell id="4462" xr6:uid="{5D659D2B-7301-4E99-AD6A-6A90C71AF546}" r="L23" connectionId="0">
    <xmlCellPr id="1" xr6:uid="{DCF04BDE-E720-43B7-83C1-0CDC11B20742}" uniqueName="Points">
      <xmlPr mapId="7" xpath="/MAKE/PP/AEB_VRU/Pedestrian/CROSSING/Daytime/CPNA_75/_20km_h/@Points" xmlDataType="decimal"/>
    </xmlCellPr>
  </singleXmlCell>
  <singleXmlCell id="4463" xr6:uid="{6CB91E24-E3D2-4E1B-BFF2-6A6B8778329E}" r="J24" connectionId="0">
    <xmlCellPr id="1" xr6:uid="{D4896081-CED0-49F4-8823-5C5D584C78C1}" uniqueName="OEM_Predict">
      <xmlPr mapId="7" xpath="/MAKE/PP/AEB_VRU/Pedestrian/CROSSING/Daytime/CPNA_75/_25km_h/@OEM_Predict" xmlDataType="string"/>
    </xmlCellPr>
  </singleXmlCell>
  <singleXmlCell id="4464" xr6:uid="{882A2C16-89FE-4234-8849-CDD91C8D01B4}" r="K24" connectionId="0">
    <xmlCellPr id="1" xr6:uid="{48ADBA80-4BEC-4C63-B729-8A20C18E14ED}" uniqueName="Vimpact">
      <xmlPr mapId="7" xpath="/MAKE/PP/AEB_VRU/Pedestrian/CROSSING/Daytime/CPNA_75/_25km_h/@Vimpact" xmlDataType="decimal"/>
    </xmlCellPr>
  </singleXmlCell>
  <singleXmlCell id="4465" xr6:uid="{38BA3C41-9E4B-463D-823B-C3F9922AEABA}" r="L24" connectionId="0">
    <xmlCellPr id="1" xr6:uid="{93E1F344-23BD-425E-9D04-668A7C67B905}" uniqueName="Points">
      <xmlPr mapId="7" xpath="/MAKE/PP/AEB_VRU/Pedestrian/CROSSING/Daytime/CPNA_75/_25km_h/@Points" xmlDataType="decimal"/>
    </xmlCellPr>
  </singleXmlCell>
  <singleXmlCell id="4466" xr6:uid="{677178BF-4FCA-4039-9868-F6CBE40EFCCD}" r="J25" connectionId="0">
    <xmlCellPr id="1" xr6:uid="{2BF48BCD-1318-43C2-87DE-9799788E61D7}" uniqueName="OEM_Predict">
      <xmlPr mapId="7" xpath="/MAKE/PP/AEB_VRU/Pedestrian/CROSSING/Daytime/CPNA_75/_30km_h/@OEM_Predict" xmlDataType="string"/>
    </xmlCellPr>
  </singleXmlCell>
  <singleXmlCell id="4467" xr6:uid="{D0B2D53C-A31B-432E-A73E-21A7127ACF49}" r="K25" connectionId="0">
    <xmlCellPr id="1" xr6:uid="{E5BE56E4-2791-4515-8869-35B4026EB88E}" uniqueName="Vimpact">
      <xmlPr mapId="7" xpath="/MAKE/PP/AEB_VRU/Pedestrian/CROSSING/Daytime/CPNA_75/_30km_h/@Vimpact" xmlDataType="decimal"/>
    </xmlCellPr>
  </singleXmlCell>
  <singleXmlCell id="4468" xr6:uid="{A31893A4-E9A8-4266-A409-4D8046F0673F}" r="L25" connectionId="0">
    <xmlCellPr id="1" xr6:uid="{DA557F7B-2A74-415A-A652-EF5168A9A8B9}" uniqueName="Points">
      <xmlPr mapId="7" xpath="/MAKE/PP/AEB_VRU/Pedestrian/CROSSING/Daytime/CPNA_75/_30km_h/@Points" xmlDataType="decimal"/>
    </xmlCellPr>
  </singleXmlCell>
  <singleXmlCell id="4469" xr6:uid="{66CC4A9A-A3B6-4B2B-AA56-38B98DCBE121}" r="J26" connectionId="0">
    <xmlCellPr id="1" xr6:uid="{CE328889-7B29-4E55-9C01-D10C7D13AFFC}" uniqueName="OEM_Predict">
      <xmlPr mapId="7" xpath="/MAKE/PP/AEB_VRU/Pedestrian/CROSSING/Daytime/CPNA_75/_35km_h/@OEM_Predict" xmlDataType="string"/>
    </xmlCellPr>
  </singleXmlCell>
  <singleXmlCell id="4470" xr6:uid="{AF57BBC9-AF0B-4AF3-AFB9-FC89E718A174}" r="K26" connectionId="0">
    <xmlCellPr id="1" xr6:uid="{765AF286-EC54-4A05-800A-BB8DE084DD55}" uniqueName="Vimpact">
      <xmlPr mapId="7" xpath="/MAKE/PP/AEB_VRU/Pedestrian/CROSSING/Daytime/CPNA_75/_35km_h/@Vimpact" xmlDataType="decimal"/>
    </xmlCellPr>
  </singleXmlCell>
  <singleXmlCell id="4471" xr6:uid="{1E5013CB-2579-4607-AB79-20A059612EA7}" r="L26" connectionId="0">
    <xmlCellPr id="1" xr6:uid="{560EB540-2F65-4104-9829-21E07F028494}" uniqueName="Points">
      <xmlPr mapId="7" xpath="/MAKE/PP/AEB_VRU/Pedestrian/CROSSING/Daytime/CPNA_75/_35km_h/@Points" xmlDataType="decimal"/>
    </xmlCellPr>
  </singleXmlCell>
  <singleXmlCell id="4472" xr6:uid="{DCB449B8-4F23-4E7A-AC00-35862167FF49}" r="J27" connectionId="0">
    <xmlCellPr id="1" xr6:uid="{7E9B3EFE-915E-4D99-A767-29B1B6294002}" uniqueName="OEM_Predict">
      <xmlPr mapId="7" xpath="/MAKE/PP/AEB_VRU/Pedestrian/CROSSING/Daytime/CPNA_75/_40km_h/@OEM_Predict" xmlDataType="string"/>
    </xmlCellPr>
  </singleXmlCell>
  <singleXmlCell id="4473" xr6:uid="{1EB8505B-B951-4F86-96E1-1154F0D91338}" r="K27" connectionId="0">
    <xmlCellPr id="1" xr6:uid="{8183AFB4-4691-48D3-973B-D7D1D6D36005}" uniqueName="Vimpact">
      <xmlPr mapId="7" xpath="/MAKE/PP/AEB_VRU/Pedestrian/CROSSING/Daytime/CPNA_75/_40km_h/@Vimpact" xmlDataType="decimal"/>
    </xmlCellPr>
  </singleXmlCell>
  <singleXmlCell id="4474" xr6:uid="{3698550E-CA08-46F9-9F79-0EF6E387AC11}" r="L27" connectionId="0">
    <xmlCellPr id="1" xr6:uid="{0818D2C2-FF16-4CB4-9685-460BDB45B728}" uniqueName="Points">
      <xmlPr mapId="7" xpath="/MAKE/PP/AEB_VRU/Pedestrian/CROSSING/Daytime/CPNA_75/_40km_h/@Points" xmlDataType="decimal"/>
    </xmlCellPr>
  </singleXmlCell>
  <singleXmlCell id="4475" xr6:uid="{99176378-7EC8-4273-9F58-BB42AC0D30AA}" r="J28" connectionId="0">
    <xmlCellPr id="1" xr6:uid="{657DB5C5-9F6F-49DA-8DA6-6FCFDF3F18A0}" uniqueName="OEM_Predict">
      <xmlPr mapId="7" xpath="/MAKE/PP/AEB_VRU/Pedestrian/CROSSING/Daytime/CPNA_75/_45km_h/@OEM_Predict" xmlDataType="string"/>
    </xmlCellPr>
  </singleXmlCell>
  <singleXmlCell id="4476" xr6:uid="{4D84C559-9686-4F8F-A8FD-D85D9A22B3B4}" r="K28" connectionId="0">
    <xmlCellPr id="1" xr6:uid="{680BFD16-4849-4161-86A1-BD7E8C95D0A7}" uniqueName="Vimpact">
      <xmlPr mapId="7" xpath="/MAKE/PP/AEB_VRU/Pedestrian/CROSSING/Daytime/CPNA_75/_45km_h/@Vimpact" xmlDataType="decimal"/>
    </xmlCellPr>
  </singleXmlCell>
  <singleXmlCell id="4477" xr6:uid="{8670C59E-4E9F-4B23-9226-C387DAC17730}" r="L28" connectionId="0">
    <xmlCellPr id="1" xr6:uid="{B24456B9-8306-4BB4-BA3D-936BF452FFBB}" uniqueName="Points">
      <xmlPr mapId="7" xpath="/MAKE/PP/AEB_VRU/Pedestrian/CROSSING/Daytime/CPNA_75/_45km_h/@Points" xmlDataType="decimal"/>
    </xmlCellPr>
  </singleXmlCell>
  <singleXmlCell id="4478" xr6:uid="{9A523745-8775-445D-A6C9-7EC015C9A967}" r="J29" connectionId="0">
    <xmlCellPr id="1" xr6:uid="{0A5CB5E5-4241-41B2-A250-FE7107EBEA8D}" uniqueName="OEM_Predict">
      <xmlPr mapId="7" xpath="/MAKE/PP/AEB_VRU/Pedestrian/CROSSING/Daytime/CPNA_75/_50km_h/@OEM_Predict" xmlDataType="string"/>
    </xmlCellPr>
  </singleXmlCell>
  <singleXmlCell id="4479" xr6:uid="{AC804754-2F92-4B38-8882-6A988C7EB56F}" r="K29" connectionId="0">
    <xmlCellPr id="1" xr6:uid="{D8722F7F-B849-4B1D-A8E7-093B686A3290}" uniqueName="Vimpact">
      <xmlPr mapId="7" xpath="/MAKE/PP/AEB_VRU/Pedestrian/CROSSING/Daytime/CPNA_75/_50km_h/@Vimpact" xmlDataType="decimal"/>
    </xmlCellPr>
  </singleXmlCell>
  <singleXmlCell id="4480" xr6:uid="{90B660CC-28FB-4BFA-BF0E-B8BAFBDC941C}" r="L29" connectionId="0">
    <xmlCellPr id="1" xr6:uid="{8EAC2EC3-39A0-4A93-8B72-90ACB50E52C4}" uniqueName="Points">
      <xmlPr mapId="7" xpath="/MAKE/PP/AEB_VRU/Pedestrian/CROSSING/Daytime/CPNA_75/_50km_h/@Points" xmlDataType="decimal"/>
    </xmlCellPr>
  </singleXmlCell>
  <singleXmlCell id="4481" xr6:uid="{559183B9-51D7-466F-8554-4A2BDC97E169}" r="J30" connectionId="0">
    <xmlCellPr id="1" xr6:uid="{5AB04CD4-A769-4CFE-8932-05C8C00EFD49}" uniqueName="OEM_Predict">
      <xmlPr mapId="7" xpath="/MAKE/PP/AEB_VRU/Pedestrian/CROSSING/Daytime/CPNA_75/_55km_h/@OEM_Predict" xmlDataType="string"/>
    </xmlCellPr>
  </singleXmlCell>
  <singleXmlCell id="4482" xr6:uid="{357B2378-3F4B-47FE-8BC0-D90EF952052C}" r="K30" connectionId="0">
    <xmlCellPr id="1" xr6:uid="{5DBF7902-3CE2-4A94-AABE-09464C93B7FB}" uniqueName="Vimpact">
      <xmlPr mapId="7" xpath="/MAKE/PP/AEB_VRU/Pedestrian/CROSSING/Daytime/CPNA_75/_55km_h/@Vimpact" xmlDataType="decimal"/>
    </xmlCellPr>
  </singleXmlCell>
  <singleXmlCell id="4483" xr6:uid="{6714F093-2631-4B14-81E9-7952E0825D6E}" r="L30" connectionId="0">
    <xmlCellPr id="1" xr6:uid="{E7C4D87E-871B-4194-B4C5-BA0EFA5C012A}" uniqueName="Points">
      <xmlPr mapId="7" xpath="/MAKE/PP/AEB_VRU/Pedestrian/CROSSING/Daytime/CPNA_75/_55km_h/@Points" xmlDataType="decimal"/>
    </xmlCellPr>
  </singleXmlCell>
  <singleXmlCell id="4484" xr6:uid="{AA3B032D-680C-4C47-B57F-B0DBA589E254}" r="J31" connectionId="0">
    <xmlCellPr id="1" xr6:uid="{6E9C6F2A-861A-40B8-8113-E8209C3CD3AD}" uniqueName="OEM_Predict">
      <xmlPr mapId="7" xpath="/MAKE/PP/AEB_VRU/Pedestrian/CROSSING/Daytime/CPNA_75/_60km_h/@OEM_Predict" xmlDataType="string"/>
    </xmlCellPr>
  </singleXmlCell>
  <singleXmlCell id="4485" xr6:uid="{AB6298A2-7ED7-4627-ABC7-A54A6FF5F998}" r="K31" connectionId="0">
    <xmlCellPr id="1" xr6:uid="{E7C1E201-346C-4ABB-A8C9-B438729952E7}" uniqueName="Vimpact">
      <xmlPr mapId="7" xpath="/MAKE/PP/AEB_VRU/Pedestrian/CROSSING/Daytime/CPNA_75/_60km_h/@Vimpact" xmlDataType="decimal"/>
    </xmlCellPr>
  </singleXmlCell>
  <singleXmlCell id="4486" xr6:uid="{FDDFFE09-1F95-4053-81E2-C4235A45B777}" r="L31" connectionId="0">
    <xmlCellPr id="1" xr6:uid="{24816257-6496-447C-AEE0-16F60E2F7122}" uniqueName="Points">
      <xmlPr mapId="7" xpath="/MAKE/PP/AEB_VRU/Pedestrian/CROSSING/Daytime/CPNA_75/_60km_h/@Points" xmlDataType="decimal"/>
    </xmlCellPr>
  </singleXmlCell>
  <singleXmlCell id="4487" xr6:uid="{62053C8B-D0C5-4708-AE29-92D0530B4F33}" r="M21" connectionId="0">
    <xmlCellPr id="1" xr6:uid="{FD3DE40B-1FE7-46D5-BB62-05360C718710}" uniqueName="OEM_Predict">
      <xmlPr mapId="7" xpath="/MAKE/PP/AEB_VRU/Pedestrian/CROSSING/Daytime/CPNCO_50/_10km_h/@OEM_Predict" xmlDataType="string"/>
    </xmlCellPr>
  </singleXmlCell>
  <singleXmlCell id="4488" xr6:uid="{797129F1-8728-4889-834E-4661CA17CCE1}" r="N21" connectionId="0">
    <xmlCellPr id="1" xr6:uid="{B6D9278B-4F23-475A-B830-43C4336E1193}" uniqueName="Vimpact">
      <xmlPr mapId="7" xpath="/MAKE/PP/AEB_VRU/Pedestrian/CROSSING/Daytime/CPNCO_50/_10km_h/@Vimpact" xmlDataType="decimal"/>
    </xmlCellPr>
  </singleXmlCell>
  <singleXmlCell id="4489" xr6:uid="{73187497-2FA4-42B6-BFA4-2B844093381B}" r="O21" connectionId="0">
    <xmlCellPr id="1" xr6:uid="{1E9EB424-1368-4210-A12F-41078E98C1AE}" uniqueName="Points">
      <xmlPr mapId="7" xpath="/MAKE/PP/AEB_VRU/Pedestrian/CROSSING/Daytime/CPNCO_50/_10km_h/@Points" xmlDataType="decimal"/>
    </xmlCellPr>
  </singleXmlCell>
  <singleXmlCell id="4490" xr6:uid="{40924465-2DF0-4524-AAAC-8E49A56C6D78}" r="M22" connectionId="0">
    <xmlCellPr id="1" xr6:uid="{53BFF265-48A1-4081-82EB-7E422FC6732D}" uniqueName="OEM_Predict">
      <xmlPr mapId="7" xpath="/MAKE/PP/AEB_VRU/Pedestrian/CROSSING/Daytime/CPNCO_50/_15km_h/@OEM_Predict" xmlDataType="string"/>
    </xmlCellPr>
  </singleXmlCell>
  <singleXmlCell id="4491" xr6:uid="{55F940EE-09BB-4D97-B3C8-0B4EF12034D2}" r="N22" connectionId="0">
    <xmlCellPr id="1" xr6:uid="{B8BAC5FE-471B-4C67-816A-E4EDBC581894}" uniqueName="Vimpact">
      <xmlPr mapId="7" xpath="/MAKE/PP/AEB_VRU/Pedestrian/CROSSING/Daytime/CPNCO_50/_15km_h/@Vimpact" xmlDataType="decimal"/>
    </xmlCellPr>
  </singleXmlCell>
  <singleXmlCell id="4492" xr6:uid="{4598FFBD-54A9-411A-8876-C2417735F90D}" r="O22" connectionId="0">
    <xmlCellPr id="1" xr6:uid="{D0D32E8B-67D6-4E04-9D0D-E6A7FA97B988}" uniqueName="Points">
      <xmlPr mapId="7" xpath="/MAKE/PP/AEB_VRU/Pedestrian/CROSSING/Daytime/CPNCO_50/_15km_h/@Points" xmlDataType="decimal"/>
    </xmlCellPr>
  </singleXmlCell>
  <singleXmlCell id="4493" xr6:uid="{1140D40E-4C24-4152-A336-565D61378112}" r="M23" connectionId="0">
    <xmlCellPr id="1" xr6:uid="{01C17DAB-654F-47C8-A1A9-603376827EF1}" uniqueName="OEM_Predict">
      <xmlPr mapId="7" xpath="/MAKE/PP/AEB_VRU/Pedestrian/CROSSING/Daytime/CPNCO_50/_20km_h/@OEM_Predict" xmlDataType="string"/>
    </xmlCellPr>
  </singleXmlCell>
  <singleXmlCell id="4494" xr6:uid="{61E83F93-CE77-4696-9C2B-C24F0B1518EA}" r="N23" connectionId="0">
    <xmlCellPr id="1" xr6:uid="{27417C95-60F8-4975-90F2-84E3D0D81D47}" uniqueName="Vimpact">
      <xmlPr mapId="7" xpath="/MAKE/PP/AEB_VRU/Pedestrian/CROSSING/Daytime/CPNCO_50/_20km_h/@Vimpact" xmlDataType="decimal"/>
    </xmlCellPr>
  </singleXmlCell>
  <singleXmlCell id="4495" xr6:uid="{AA7CE883-B365-422A-9297-909C8BD84387}" r="O23" connectionId="0">
    <xmlCellPr id="1" xr6:uid="{479B8AE8-AD72-4AFC-86E9-8A2C3E36EFE7}" uniqueName="Points">
      <xmlPr mapId="7" xpath="/MAKE/PP/AEB_VRU/Pedestrian/CROSSING/Daytime/CPNCO_50/_20km_h/@Points" xmlDataType="decimal"/>
    </xmlCellPr>
  </singleXmlCell>
  <singleXmlCell id="4496" xr6:uid="{966912E2-F692-4211-9A3B-1BFA5595FF01}" r="M24" connectionId="0">
    <xmlCellPr id="1" xr6:uid="{6F4BE425-9BED-463A-A59D-960AA9ACDB68}" uniqueName="OEM_Predict">
      <xmlPr mapId="7" xpath="/MAKE/PP/AEB_VRU/Pedestrian/CROSSING/Daytime/CPNCO_50/_25km_h/@OEM_Predict" xmlDataType="string"/>
    </xmlCellPr>
  </singleXmlCell>
  <singleXmlCell id="4497" xr6:uid="{8DDB0BB4-825D-40CC-80CB-7E25F2831739}" r="N24" connectionId="0">
    <xmlCellPr id="1" xr6:uid="{19BA9551-B826-4145-B7E0-AE4D44919847}" uniqueName="Vimpact">
      <xmlPr mapId="7" xpath="/MAKE/PP/AEB_VRU/Pedestrian/CROSSING/Daytime/CPNCO_50/_25km_h/@Vimpact" xmlDataType="decimal"/>
    </xmlCellPr>
  </singleXmlCell>
  <singleXmlCell id="4498" xr6:uid="{BA0125B0-6675-4483-9FE2-01C3A22A8DFD}" r="O24" connectionId="0">
    <xmlCellPr id="1" xr6:uid="{F547FB5B-F9A6-4961-A52B-3B4A326B9AAA}" uniqueName="Points">
      <xmlPr mapId="7" xpath="/MAKE/PP/AEB_VRU/Pedestrian/CROSSING/Daytime/CPNCO_50/_25km_h/@Points" xmlDataType="decimal"/>
    </xmlCellPr>
  </singleXmlCell>
  <singleXmlCell id="4499" xr6:uid="{6D0674FB-EC40-48D5-8029-A0A9A7457177}" r="M25" connectionId="0">
    <xmlCellPr id="1" xr6:uid="{CCA84395-D6CB-41D8-A28D-2BB99C29570A}" uniqueName="OEM_Predict">
      <xmlPr mapId="7" xpath="/MAKE/PP/AEB_VRU/Pedestrian/CROSSING/Daytime/CPNCO_50/_30km_h/@OEM_Predict" xmlDataType="string"/>
    </xmlCellPr>
  </singleXmlCell>
  <singleXmlCell id="4500" xr6:uid="{5C00FA0C-0F46-419C-A0B4-F1B3DEA745D3}" r="N25" connectionId="0">
    <xmlCellPr id="1" xr6:uid="{2886D2DF-A202-4D6F-97D0-B876AF6F9CEB}" uniqueName="Vimpact">
      <xmlPr mapId="7" xpath="/MAKE/PP/AEB_VRU/Pedestrian/CROSSING/Daytime/CPNCO_50/_30km_h/@Vimpact" xmlDataType="decimal"/>
    </xmlCellPr>
  </singleXmlCell>
  <singleXmlCell id="4501" xr6:uid="{2C75D351-F2CB-4D7A-A35F-5AEAA9503985}" r="O25" connectionId="0">
    <xmlCellPr id="1" xr6:uid="{B340AB94-4E57-4B34-AFDB-5166EC80412F}" uniqueName="Points">
      <xmlPr mapId="7" xpath="/MAKE/PP/AEB_VRU/Pedestrian/CROSSING/Daytime/CPNCO_50/_30km_h/@Points" xmlDataType="decimal"/>
    </xmlCellPr>
  </singleXmlCell>
  <singleXmlCell id="4502" xr6:uid="{FD05A0EC-530E-4DD0-B968-A9B365131191}" r="M26" connectionId="0">
    <xmlCellPr id="1" xr6:uid="{C9C87A31-E18C-4121-8957-1B7764A98224}" uniqueName="OEM_Predict">
      <xmlPr mapId="7" xpath="/MAKE/PP/AEB_VRU/Pedestrian/CROSSING/Daytime/CPNCO_50/_35km_h/@OEM_Predict" xmlDataType="string"/>
    </xmlCellPr>
  </singleXmlCell>
  <singleXmlCell id="4503" xr6:uid="{5CB3BEDF-16B1-4C71-B5AD-2BFA066923EC}" r="N26" connectionId="0">
    <xmlCellPr id="1" xr6:uid="{6DBCB92D-93D2-46F8-8859-5634F17B0E76}" uniqueName="Vimpact">
      <xmlPr mapId="7" xpath="/MAKE/PP/AEB_VRU/Pedestrian/CROSSING/Daytime/CPNCO_50/_35km_h/@Vimpact" xmlDataType="decimal"/>
    </xmlCellPr>
  </singleXmlCell>
  <singleXmlCell id="4504" xr6:uid="{F76920A7-7ADE-47FF-B0EE-4D70CF2F98D7}" r="O26" connectionId="0">
    <xmlCellPr id="1" xr6:uid="{03D5A3DA-C6A1-42EA-BDE2-BC48E928EF9A}" uniqueName="Points">
      <xmlPr mapId="7" xpath="/MAKE/PP/AEB_VRU/Pedestrian/CROSSING/Daytime/CPNCO_50/_35km_h/@Points" xmlDataType="decimal"/>
    </xmlCellPr>
  </singleXmlCell>
  <singleXmlCell id="4505" xr6:uid="{0D9ABC46-CBFD-4084-80AE-9E09166D9561}" r="M27" connectionId="0">
    <xmlCellPr id="1" xr6:uid="{9434A2DC-0827-42D8-B410-7CF62002BFA1}" uniqueName="OEM_Predict">
      <xmlPr mapId="7" xpath="/MAKE/PP/AEB_VRU/Pedestrian/CROSSING/Daytime/CPNCO_50/_40km_h/@OEM_Predict" xmlDataType="string"/>
    </xmlCellPr>
  </singleXmlCell>
  <singleXmlCell id="4506" xr6:uid="{6A71DA59-CC05-4D68-9FDB-70186DA3D602}" r="N27" connectionId="0">
    <xmlCellPr id="1" xr6:uid="{69C6E202-F775-47D2-8326-E369BA9E09EA}" uniqueName="Vimpact">
      <xmlPr mapId="7" xpath="/MAKE/PP/AEB_VRU/Pedestrian/CROSSING/Daytime/CPNCO_50/_40km_h/@Vimpact" xmlDataType="decimal"/>
    </xmlCellPr>
  </singleXmlCell>
  <singleXmlCell id="4507" xr6:uid="{1D9D6531-0C08-4F8A-9DF0-F79DFDFE42DE}" r="O27" connectionId="0">
    <xmlCellPr id="1" xr6:uid="{AB52EF64-20E3-4D59-AFB2-B877522B71BB}" uniqueName="Points">
      <xmlPr mapId="7" xpath="/MAKE/PP/AEB_VRU/Pedestrian/CROSSING/Daytime/CPNCO_50/_40km_h/@Points" xmlDataType="decimal"/>
    </xmlCellPr>
  </singleXmlCell>
  <singleXmlCell id="4508" xr6:uid="{8D48A3BC-B53E-466D-B4C7-1DB3DB701DC3}" r="M28" connectionId="0">
    <xmlCellPr id="1" xr6:uid="{4B80E5F5-9D15-4161-B2A7-76289A1680C3}" uniqueName="OEM_Predict">
      <xmlPr mapId="7" xpath="/MAKE/PP/AEB_VRU/Pedestrian/CROSSING/Daytime/CPNCO_50/_45km_h/@OEM_Predict" xmlDataType="string"/>
    </xmlCellPr>
  </singleXmlCell>
  <singleXmlCell id="4509" xr6:uid="{217FF53E-A4CE-4B5C-AA80-66ECF35115AD}" r="N28" connectionId="0">
    <xmlCellPr id="1" xr6:uid="{BAE4A518-8331-47EE-BE98-4F912E26500D}" uniqueName="Vimpact">
      <xmlPr mapId="7" xpath="/MAKE/PP/AEB_VRU/Pedestrian/CROSSING/Daytime/CPNCO_50/_45km_h/@Vimpact" xmlDataType="decimal"/>
    </xmlCellPr>
  </singleXmlCell>
  <singleXmlCell id="4510" xr6:uid="{A568DFDC-C188-466D-853C-C1DAAFF419AF}" r="O28" connectionId="0">
    <xmlCellPr id="1" xr6:uid="{A4B335C8-1DAE-4D6D-B1D4-A0882000CA0E}" uniqueName="Points">
      <xmlPr mapId="7" xpath="/MAKE/PP/AEB_VRU/Pedestrian/CROSSING/Daytime/CPNCO_50/_45km_h/@Points" xmlDataType="decimal"/>
    </xmlCellPr>
  </singleXmlCell>
  <singleXmlCell id="4511" xr6:uid="{F1ED5F3F-462B-4B3C-9386-D7D3FD9BE24D}" r="M29" connectionId="0">
    <xmlCellPr id="1" xr6:uid="{E889F212-54F4-4E91-89F6-B3D1FED72AD8}" uniqueName="OEM_Predict">
      <xmlPr mapId="7" xpath="/MAKE/PP/AEB_VRU/Pedestrian/CROSSING/Daytime/CPNCO_50/_50km_h/@OEM_Predict" xmlDataType="string"/>
    </xmlCellPr>
  </singleXmlCell>
  <singleXmlCell id="4512" xr6:uid="{5FDAEDFB-2BA0-4895-A30C-D238F91A6898}" r="N29" connectionId="0">
    <xmlCellPr id="1" xr6:uid="{13FA57BF-9CB8-4321-BA98-B67C62724D9B}" uniqueName="Vimpact">
      <xmlPr mapId="7" xpath="/MAKE/PP/AEB_VRU/Pedestrian/CROSSING/Daytime/CPNCO_50/_50km_h/@Vimpact" xmlDataType="decimal"/>
    </xmlCellPr>
  </singleXmlCell>
  <singleXmlCell id="4513" xr6:uid="{A752E997-5581-4BE1-AECC-7214553CEB51}" r="O29" connectionId="0">
    <xmlCellPr id="1" xr6:uid="{7FD53410-A9E0-48F0-87F5-6585CB0FD25A}" uniqueName="Points">
      <xmlPr mapId="7" xpath="/MAKE/PP/AEB_VRU/Pedestrian/CROSSING/Daytime/CPNCO_50/_50km_h/@Points" xmlDataType="decimal"/>
    </xmlCellPr>
  </singleXmlCell>
  <singleXmlCell id="4514" xr6:uid="{69474409-13A8-4DC7-A342-5EBD8951BC3D}" r="M30" connectionId="0">
    <xmlCellPr id="1" xr6:uid="{79B3FC3D-BE01-45BC-BDF4-8673971F9246}" uniqueName="OEM_Predict">
      <xmlPr mapId="7" xpath="/MAKE/PP/AEB_VRU/Pedestrian/CROSSING/Daytime/CPNCO_50/_55km_h/@OEM_Predict" xmlDataType="string"/>
    </xmlCellPr>
  </singleXmlCell>
  <singleXmlCell id="4515" xr6:uid="{09C164E7-927A-4111-B516-01F5FD17CB07}" r="N30" connectionId="0">
    <xmlCellPr id="1" xr6:uid="{2633C999-D7BD-441E-BD83-7425784E7310}" uniqueName="Vimpact">
      <xmlPr mapId="7" xpath="/MAKE/PP/AEB_VRU/Pedestrian/CROSSING/Daytime/CPNCO_50/_55km_h/@Vimpact" xmlDataType="decimal"/>
    </xmlCellPr>
  </singleXmlCell>
  <singleXmlCell id="4516" xr6:uid="{04C8143E-048F-4130-B33D-D78FDB3F794C}" r="O30" connectionId="0">
    <xmlCellPr id="1" xr6:uid="{63B7310A-3A19-41D5-A89E-67795C032F8F}" uniqueName="Points">
      <xmlPr mapId="7" xpath="/MAKE/PP/AEB_VRU/Pedestrian/CROSSING/Daytime/CPNCO_50/_55km_h/@Points" xmlDataType="decimal"/>
    </xmlCellPr>
  </singleXmlCell>
  <singleXmlCell id="4517" xr6:uid="{53D0D06A-714F-410C-922D-B69F1A491025}" r="M31" connectionId="0">
    <xmlCellPr id="1" xr6:uid="{CDB53A7D-9AB9-4902-A6B8-332B9C4B8A5B}" uniqueName="OEM_Predict">
      <xmlPr mapId="7" xpath="/MAKE/PP/AEB_VRU/Pedestrian/CROSSING/Daytime/CPNCO_50/_60km_h/@OEM_Predict" xmlDataType="string"/>
    </xmlCellPr>
  </singleXmlCell>
  <singleXmlCell id="4518" xr6:uid="{C65FE970-2E6E-4768-A3ED-F9FB30A457E8}" r="N31" connectionId="0">
    <xmlCellPr id="1" xr6:uid="{5C111DE4-D202-4F1F-9516-E3641D35CB6C}" uniqueName="Vimpact">
      <xmlPr mapId="7" xpath="/MAKE/PP/AEB_VRU/Pedestrian/CROSSING/Daytime/CPNCO_50/_60km_h/@Vimpact" xmlDataType="decimal"/>
    </xmlCellPr>
  </singleXmlCell>
  <singleXmlCell id="4519" xr6:uid="{12F62194-B54D-497C-B451-7A57E70D8699}" r="O31" connectionId="0">
    <xmlCellPr id="1" xr6:uid="{40507074-A8F0-4DB9-A611-EF2620031C96}" uniqueName="Points">
      <xmlPr mapId="7" xpath="/MAKE/PP/AEB_VRU/Pedestrian/CROSSING/Daytime/CPNCO_50/_60km_h/@Points" xmlDataType="decimal"/>
    </xmlCellPr>
  </singleXmlCell>
  <singleXmlCell id="4520" xr6:uid="{842ECFE3-939B-4851-960E-3AD35257CEB4}" r="D36" connectionId="0">
    <xmlCellPr id="1" xr6:uid="{08A18D76-4944-4F58-B2C0-91A0EFA5B5D5}" uniqueName="OEM_Predict">
      <xmlPr mapId="7" xpath="/MAKE/PP/AEB_VRU/Pedestrian/CROSSING/Night-Time/CPFA_50/_10km_h/@OEM_Predict" xmlDataType="string"/>
    </xmlCellPr>
  </singleXmlCell>
  <singleXmlCell id="4521" xr6:uid="{1D262918-2BE1-49AC-85C9-7F040D3612BF}" r="E36" connectionId="0">
    <xmlCellPr id="1" xr6:uid="{31DC3200-5BD1-4EEB-9A75-1F42EC28BCD9}" uniqueName="Vimpact">
      <xmlPr mapId="7" xpath="/MAKE/PP/AEB_VRU/Pedestrian/CROSSING/Night-Time/CPFA_50/_10km_h/@Vimpact" xmlDataType="decimal"/>
    </xmlCellPr>
  </singleXmlCell>
  <singleXmlCell id="4522" xr6:uid="{48F45BF2-78C3-4936-BC77-FED8CF65F342}" r="F36" connectionId="0">
    <xmlCellPr id="1" xr6:uid="{415B62DC-FB9B-4DA8-B70E-390AE3D54549}" uniqueName="Points">
      <xmlPr mapId="7" xpath="/MAKE/PP/AEB_VRU/Pedestrian/CROSSING/Night-Time/CPFA_50/_10km_h/@Points" xmlDataType="decimal"/>
    </xmlCellPr>
  </singleXmlCell>
  <singleXmlCell id="4523" xr6:uid="{33ECCC7A-3DF8-4848-88E5-7124B20EF9C9}" r="D37" connectionId="0">
    <xmlCellPr id="1" xr6:uid="{CA2D56A2-7A49-4C82-8DFF-652E709AD855}" uniqueName="OEM_Predict">
      <xmlPr mapId="7" xpath="/MAKE/PP/AEB_VRU/Pedestrian/CROSSING/Night-Time/CPFA_50/_15km_h/@OEM_Predict" xmlDataType="string"/>
    </xmlCellPr>
  </singleXmlCell>
  <singleXmlCell id="4524" xr6:uid="{731D7ADE-5607-418B-BCD0-ACB29AD411EC}" r="E37" connectionId="0">
    <xmlCellPr id="1" xr6:uid="{FE4A1407-A4FD-45A9-A71E-078F3876B4CE}" uniqueName="Vimpact">
      <xmlPr mapId="7" xpath="/MAKE/PP/AEB_VRU/Pedestrian/CROSSING/Night-Time/CPFA_50/_15km_h/@Vimpact" xmlDataType="decimal"/>
    </xmlCellPr>
  </singleXmlCell>
  <singleXmlCell id="4525" xr6:uid="{8D4D5754-2A40-425A-9C4A-BF2828F83DCA}" r="F37" connectionId="0">
    <xmlCellPr id="1" xr6:uid="{864A9E68-EE5D-4A9C-BC43-565A56879D3F}" uniqueName="Points">
      <xmlPr mapId="7" xpath="/MAKE/PP/AEB_VRU/Pedestrian/CROSSING/Night-Time/CPFA_50/_15km_h/@Points" xmlDataType="decimal"/>
    </xmlCellPr>
  </singleXmlCell>
  <singleXmlCell id="4526" xr6:uid="{37A1D755-F202-40D9-BE03-3F3DF65FFFF4}" r="D38" connectionId="0">
    <xmlCellPr id="1" xr6:uid="{768FE88B-FF6A-42B0-A00A-910D8D0F4355}" uniqueName="OEM_Predict">
      <xmlPr mapId="7" xpath="/MAKE/PP/AEB_VRU/Pedestrian/CROSSING/Night-Time/CPFA_50/_20km_h/@OEM_Predict" xmlDataType="string"/>
    </xmlCellPr>
  </singleXmlCell>
  <singleXmlCell id="4527" xr6:uid="{3678BCC6-CE9C-4B7C-9678-155D09067E14}" r="E38" connectionId="0">
    <xmlCellPr id="1" xr6:uid="{BE2E0996-5DD7-4400-A3E2-2136A9D20410}" uniqueName="Vimpact">
      <xmlPr mapId="7" xpath="/MAKE/PP/AEB_VRU/Pedestrian/CROSSING/Night-Time/CPFA_50/_20km_h/@Vimpact" xmlDataType="decimal"/>
    </xmlCellPr>
  </singleXmlCell>
  <singleXmlCell id="4528" xr6:uid="{9D842803-4BAA-4C71-83BD-ED9DFBD1C336}" r="F38" connectionId="0">
    <xmlCellPr id="1" xr6:uid="{C19EEE78-FA38-4B89-9320-3D537E98989E}" uniqueName="Points">
      <xmlPr mapId="7" xpath="/MAKE/PP/AEB_VRU/Pedestrian/CROSSING/Night-Time/CPFA_50/_20km_h/@Points" xmlDataType="decimal"/>
    </xmlCellPr>
  </singleXmlCell>
  <singleXmlCell id="4529" xr6:uid="{A309E299-D2F4-45B2-9124-4E1D29992C35}" r="D39" connectionId="0">
    <xmlCellPr id="1" xr6:uid="{01CC1968-D9A3-4F4D-840E-EA37ABD630C5}" uniqueName="OEM_Predict">
      <xmlPr mapId="7" xpath="/MAKE/PP/AEB_VRU/Pedestrian/CROSSING/Night-Time/CPFA_50/_25km_h/@OEM_Predict" xmlDataType="string"/>
    </xmlCellPr>
  </singleXmlCell>
  <singleXmlCell id="4530" xr6:uid="{269EF552-102F-4712-823F-92DEAFDBEF84}" r="E39" connectionId="0">
    <xmlCellPr id="1" xr6:uid="{358943A3-0704-489F-B2C0-4FEAF7A81F29}" uniqueName="Vimpact">
      <xmlPr mapId="7" xpath="/MAKE/PP/AEB_VRU/Pedestrian/CROSSING/Night-Time/CPFA_50/_25km_h/@Vimpact" xmlDataType="decimal"/>
    </xmlCellPr>
  </singleXmlCell>
  <singleXmlCell id="4531" xr6:uid="{5DF0801F-761A-4E7F-A04F-FDD0E4BD7454}" r="F39" connectionId="0">
    <xmlCellPr id="1" xr6:uid="{9A4201D3-7C53-44E7-870F-04DA217F57EA}" uniqueName="Points">
      <xmlPr mapId="7" xpath="/MAKE/PP/AEB_VRU/Pedestrian/CROSSING/Night-Time/CPFA_50/_25km_h/@Points" xmlDataType="decimal"/>
    </xmlCellPr>
  </singleXmlCell>
  <singleXmlCell id="4532" xr6:uid="{5D1AAA5B-0D80-48AE-AC88-99FA9A9256EB}" r="D40" connectionId="0">
    <xmlCellPr id="1" xr6:uid="{B72E9687-6AAF-4A2B-A2EB-0D5C2C70B484}" uniqueName="OEM_Predict">
      <xmlPr mapId="7" xpath="/MAKE/PP/AEB_VRU/Pedestrian/CROSSING/Night-Time/CPFA_50/_30km_h/@OEM_Predict" xmlDataType="string"/>
    </xmlCellPr>
  </singleXmlCell>
  <singleXmlCell id="4533" xr6:uid="{47C18A50-2D23-4D39-A83F-45FDC870011E}" r="E40" connectionId="0">
    <xmlCellPr id="1" xr6:uid="{068A62F2-00E4-40F4-9530-B3ABA3E3768A}" uniqueName="Vimpact">
      <xmlPr mapId="7" xpath="/MAKE/PP/AEB_VRU/Pedestrian/CROSSING/Night-Time/CPFA_50/_30km_h/@Vimpact" xmlDataType="decimal"/>
    </xmlCellPr>
  </singleXmlCell>
  <singleXmlCell id="4534" xr6:uid="{6CBB2E48-791F-4582-A44F-B8D6ED38CD93}" r="F40" connectionId="0">
    <xmlCellPr id="1" xr6:uid="{870E1C27-3DCB-4514-B7E1-D3D107E53C11}" uniqueName="Points">
      <xmlPr mapId="7" xpath="/MAKE/PP/AEB_VRU/Pedestrian/CROSSING/Night-Time/CPFA_50/_30km_h/@Points" xmlDataType="decimal"/>
    </xmlCellPr>
  </singleXmlCell>
  <singleXmlCell id="4535" xr6:uid="{31610A91-6E98-4241-B722-812994BBD420}" r="D41" connectionId="0">
    <xmlCellPr id="1" xr6:uid="{E983F89C-AEE8-41B8-82EC-7A453027DF00}" uniqueName="OEM_Predict">
      <xmlPr mapId="7" xpath="/MAKE/PP/AEB_VRU/Pedestrian/CROSSING/Night-Time/CPFA_50/_35km_h/@OEM_Predict" xmlDataType="string"/>
    </xmlCellPr>
  </singleXmlCell>
  <singleXmlCell id="4536" xr6:uid="{411EC8BA-1F4E-4D68-8482-50E948DBFE2B}" r="E41" connectionId="0">
    <xmlCellPr id="1" xr6:uid="{BC30C3C0-EDCF-4234-8ECD-92E8CF79A319}" uniqueName="Vimpact">
      <xmlPr mapId="7" xpath="/MAKE/PP/AEB_VRU/Pedestrian/CROSSING/Night-Time/CPFA_50/_35km_h/@Vimpact" xmlDataType="decimal"/>
    </xmlCellPr>
  </singleXmlCell>
  <singleXmlCell id="4537" xr6:uid="{C6A5175E-6372-474B-A8FD-15419B6562A1}" r="F41" connectionId="0">
    <xmlCellPr id="1" xr6:uid="{9FF6E56F-37A0-4A7E-AE29-1668A8DED7C6}" uniqueName="Points">
      <xmlPr mapId="7" xpath="/MAKE/PP/AEB_VRU/Pedestrian/CROSSING/Night-Time/CPFA_50/_35km_h/@Points" xmlDataType="decimal"/>
    </xmlCellPr>
  </singleXmlCell>
  <singleXmlCell id="4538" xr6:uid="{9D35CE8F-6E94-4576-8384-6284AAE7A4B5}" r="D42" connectionId="0">
    <xmlCellPr id="1" xr6:uid="{D9DF5D41-53ED-4034-A862-49FB32468F1B}" uniqueName="OEM_Predict">
      <xmlPr mapId="7" xpath="/MAKE/PP/AEB_VRU/Pedestrian/CROSSING/Night-Time/CPFA_50/_40km_h/@OEM_Predict" xmlDataType="string"/>
    </xmlCellPr>
  </singleXmlCell>
  <singleXmlCell id="4539" xr6:uid="{368382C7-81D2-4C59-B368-E2D78FE761B9}" r="E42" connectionId="0">
    <xmlCellPr id="1" xr6:uid="{53CC32C3-6203-4E1B-A5BD-818408F5D6D5}" uniqueName="Vimpact">
      <xmlPr mapId="7" xpath="/MAKE/PP/AEB_VRU/Pedestrian/CROSSING/Night-Time/CPFA_50/_40km_h/@Vimpact" xmlDataType="decimal"/>
    </xmlCellPr>
  </singleXmlCell>
  <singleXmlCell id="4540" xr6:uid="{F5FF1237-1E06-4343-8EFE-F339CC58904A}" r="F42" connectionId="0">
    <xmlCellPr id="1" xr6:uid="{D61A9B56-C60F-452F-88A2-6C8C7A2B32C2}" uniqueName="Points">
      <xmlPr mapId="7" xpath="/MAKE/PP/AEB_VRU/Pedestrian/CROSSING/Night-Time/CPFA_50/_40km_h/@Points" xmlDataType="decimal"/>
    </xmlCellPr>
  </singleXmlCell>
  <singleXmlCell id="4541" xr6:uid="{716F5AB2-208F-414A-9DA5-A64D0D57E2B1}" r="D43" connectionId="0">
    <xmlCellPr id="1" xr6:uid="{F3C5CBB9-3AA4-4C4B-B7F9-B65079702EF0}" uniqueName="OEM_Predict">
      <xmlPr mapId="7" xpath="/MAKE/PP/AEB_VRU/Pedestrian/CROSSING/Night-Time/CPFA_50/_45km_h/@OEM_Predict" xmlDataType="string"/>
    </xmlCellPr>
  </singleXmlCell>
  <singleXmlCell id="4542" xr6:uid="{B1B06608-19EB-4CCB-B5E8-427FCF49CED7}" r="E43" connectionId="0">
    <xmlCellPr id="1" xr6:uid="{BB248228-391E-4973-BBE7-A5A930E2B495}" uniqueName="Vimpact">
      <xmlPr mapId="7" xpath="/MAKE/PP/AEB_VRU/Pedestrian/CROSSING/Night-Time/CPFA_50/_45km_h/@Vimpact" xmlDataType="decimal"/>
    </xmlCellPr>
  </singleXmlCell>
  <singleXmlCell id="4543" xr6:uid="{49545BC8-1620-415A-9F97-4631CA5187A8}" r="F43" connectionId="0">
    <xmlCellPr id="1" xr6:uid="{419B2F29-D53B-44B4-9461-07484233BCC9}" uniqueName="Points">
      <xmlPr mapId="7" xpath="/MAKE/PP/AEB_VRU/Pedestrian/CROSSING/Night-Time/CPFA_50/_45km_h/@Points" xmlDataType="decimal"/>
    </xmlCellPr>
  </singleXmlCell>
  <singleXmlCell id="4544" xr6:uid="{9FBFEE6C-E70C-46FB-8E7C-6C05BF27EB98}" r="D44" connectionId="0">
    <xmlCellPr id="1" xr6:uid="{A91455B4-794D-46B1-A6C1-62211CC4BEE7}" uniqueName="OEM_Predict">
      <xmlPr mapId="7" xpath="/MAKE/PP/AEB_VRU/Pedestrian/CROSSING/Night-Time/CPFA_50/_50km_h/@OEM_Predict" xmlDataType="string"/>
    </xmlCellPr>
  </singleXmlCell>
  <singleXmlCell id="4545" xr6:uid="{496DDF61-5C1F-407C-8ECE-46A6F51B5232}" r="E44" connectionId="0">
    <xmlCellPr id="1" xr6:uid="{D45E34CE-E36A-4967-9132-6CAAE2A8F238}" uniqueName="Vimpact">
      <xmlPr mapId="7" xpath="/MAKE/PP/AEB_VRU/Pedestrian/CROSSING/Night-Time/CPFA_50/_50km_h/@Vimpact" xmlDataType="decimal"/>
    </xmlCellPr>
  </singleXmlCell>
  <singleXmlCell id="4546" xr6:uid="{54D72270-7340-4E99-BA46-282275F08C33}" r="F44" connectionId="0">
    <xmlCellPr id="1" xr6:uid="{FED47EC8-1489-4DE3-AED7-38DB5F4591DE}" uniqueName="Points">
      <xmlPr mapId="7" xpath="/MAKE/PP/AEB_VRU/Pedestrian/CROSSING/Night-Time/CPFA_50/_50km_h/@Points" xmlDataType="decimal"/>
    </xmlCellPr>
  </singleXmlCell>
  <singleXmlCell id="4547" xr6:uid="{138D685A-EE83-4848-A5B2-C1D07FA872F7}" r="D45" connectionId="0">
    <xmlCellPr id="1" xr6:uid="{6F9EA1C7-0CF5-48D1-A0A4-C2BBD660FD83}" uniqueName="OEM_Predict">
      <xmlPr mapId="7" xpath="/MAKE/PP/AEB_VRU/Pedestrian/CROSSING/Night-Time/CPFA_50/_55km_h/@OEM_Predict" xmlDataType="string"/>
    </xmlCellPr>
  </singleXmlCell>
  <singleXmlCell id="4548" xr6:uid="{21846A99-FD4B-4727-AE3F-28F376E32539}" r="E45" connectionId="0">
    <xmlCellPr id="1" xr6:uid="{726016BA-9C70-450B-9F9E-C7101CE14ECB}" uniqueName="Vimpact">
      <xmlPr mapId="7" xpath="/MAKE/PP/AEB_VRU/Pedestrian/CROSSING/Night-Time/CPFA_50/_55km_h/@Vimpact" xmlDataType="decimal"/>
    </xmlCellPr>
  </singleXmlCell>
  <singleXmlCell id="4549" xr6:uid="{B51907A5-6635-4D12-B5A4-011420BEA15F}" r="F45" connectionId="0">
    <xmlCellPr id="1" xr6:uid="{41F3BDFD-EC93-4C25-AEA7-7A028FCDFDC6}" uniqueName="Points">
      <xmlPr mapId="7" xpath="/MAKE/PP/AEB_VRU/Pedestrian/CROSSING/Night-Time/CPFA_50/_55km_h/@Points" xmlDataType="decimal"/>
    </xmlCellPr>
  </singleXmlCell>
  <singleXmlCell id="4550" xr6:uid="{B27F0794-64D4-4575-ACEE-2DE8D0999A53}" r="D46" connectionId="0">
    <xmlCellPr id="1" xr6:uid="{2DC4C4D8-8662-402C-A677-44350DF9C50B}" uniqueName="OEM_Predict">
      <xmlPr mapId="7" xpath="/MAKE/PP/AEB_VRU/Pedestrian/CROSSING/Night-Time/CPFA_50/_60km_h/@OEM_Predict" xmlDataType="string"/>
    </xmlCellPr>
  </singleXmlCell>
  <singleXmlCell id="4551" xr6:uid="{D116B138-F608-493F-960C-FAE78F6DD71C}" r="E46" connectionId="0">
    <xmlCellPr id="1" xr6:uid="{2E28135B-6BE6-455C-BC1E-1E558E4EED22}" uniqueName="Vimpact">
      <xmlPr mapId="7" xpath="/MAKE/PP/AEB_VRU/Pedestrian/CROSSING/Night-Time/CPFA_50/_60km_h/@Vimpact" xmlDataType="decimal"/>
    </xmlCellPr>
  </singleXmlCell>
  <singleXmlCell id="4552" xr6:uid="{9196F938-D422-4C6E-B956-82CAA3A60C6A}" r="F46" connectionId="0">
    <xmlCellPr id="1" xr6:uid="{AB97BC28-5670-4C34-8BC3-B796F9C66B62}" uniqueName="Points">
      <xmlPr mapId="7" xpath="/MAKE/PP/AEB_VRU/Pedestrian/CROSSING/Night-Time/CPFA_50/_60km_h/@Points" xmlDataType="decimal"/>
    </xmlCellPr>
  </singleXmlCell>
  <singleXmlCell id="4554" xr6:uid="{B0D6C5C4-62F0-4F17-9588-C1F3C2783B56}" r="G36" connectionId="0">
    <xmlCellPr id="1" xr6:uid="{16D3EB09-FBCB-434A-AF94-2B48C3501AF6}" uniqueName="OEM_Predict">
      <xmlPr mapId="7" xpath="/MAKE/PP/AEB_VRU/Pedestrian/CROSSING/Night-Time/CPNA_25/_10km_h/@OEM_Predict" xmlDataType="string"/>
    </xmlCellPr>
  </singleXmlCell>
  <singleXmlCell id="4555" xr6:uid="{9BF9F28E-4A28-4484-8046-F0BD1D36607C}" r="H36" connectionId="0">
    <xmlCellPr id="1" xr6:uid="{3A95153E-0869-4FBF-AB29-A736E969172C}" uniqueName="Vimpact">
      <xmlPr mapId="7" xpath="/MAKE/PP/AEB_VRU/Pedestrian/CROSSING/Night-Time/CPNA_25/_10km_h/@Vimpact" xmlDataType="decimal"/>
    </xmlCellPr>
  </singleXmlCell>
  <singleXmlCell id="4556" xr6:uid="{4F672AFF-A2E1-41F8-9C51-33AA426A4E2C}" r="I36" connectionId="0">
    <xmlCellPr id="1" xr6:uid="{1EDDFF3C-F466-447C-8BAF-A63CC38BFF8B}" uniqueName="Points">
      <xmlPr mapId="7" xpath="/MAKE/PP/AEB_VRU/Pedestrian/CROSSING/Night-Time/CPNA_25/_10km_h/@Points" xmlDataType="decimal"/>
    </xmlCellPr>
  </singleXmlCell>
  <singleXmlCell id="4557" xr6:uid="{0D966BE2-4BED-472B-96ED-F8CB1ECA2DA6}" r="G37" connectionId="0">
    <xmlCellPr id="1" xr6:uid="{105E4F51-CEE7-499F-AEEF-C1F25811BF8A}" uniqueName="OEM_Predict">
      <xmlPr mapId="7" xpath="/MAKE/PP/AEB_VRU/Pedestrian/CROSSING/Night-Time/CPNA_25/_15km_h/@OEM_Predict" xmlDataType="string"/>
    </xmlCellPr>
  </singleXmlCell>
  <singleXmlCell id="4558" xr6:uid="{C1D8680B-EA70-4120-905A-2A04182E77D2}" r="H37" connectionId="0">
    <xmlCellPr id="1" xr6:uid="{F724523F-D651-4B28-BFE7-33B8C64D5B59}" uniqueName="Vimpact">
      <xmlPr mapId="7" xpath="/MAKE/PP/AEB_VRU/Pedestrian/CROSSING/Night-Time/CPNA_25/_15km_h/@Vimpact" xmlDataType="decimal"/>
    </xmlCellPr>
  </singleXmlCell>
  <singleXmlCell id="4559" xr6:uid="{FD84A07A-AC44-4416-A9AD-4C20545D8E0A}" r="I37" connectionId="0">
    <xmlCellPr id="1" xr6:uid="{6E7E3C8F-359F-4958-AB98-B543CB27DAC3}" uniqueName="Points">
      <xmlPr mapId="7" xpath="/MAKE/PP/AEB_VRU/Pedestrian/CROSSING/Night-Time/CPNA_25/_15km_h/@Points" xmlDataType="decimal"/>
    </xmlCellPr>
  </singleXmlCell>
  <singleXmlCell id="4560" xr6:uid="{236D7380-B0D4-4019-ACF2-4BDCCEEC806A}" r="G38" connectionId="0">
    <xmlCellPr id="1" xr6:uid="{3E20C09F-1C30-4C6C-93D0-CBBD5D071AA4}" uniqueName="OEM_Predict">
      <xmlPr mapId="7" xpath="/MAKE/PP/AEB_VRU/Pedestrian/CROSSING/Night-Time/CPNA_25/_20km_h/@OEM_Predict" xmlDataType="string"/>
    </xmlCellPr>
  </singleXmlCell>
  <singleXmlCell id="4561" xr6:uid="{4CC56B05-FEFA-42F6-BCCC-5D056C74AF17}" r="H38" connectionId="0">
    <xmlCellPr id="1" xr6:uid="{700BD11D-5BED-4E13-8435-B207D4F3DB8B}" uniqueName="Vimpact">
      <xmlPr mapId="7" xpath="/MAKE/PP/AEB_VRU/Pedestrian/CROSSING/Night-Time/CPNA_25/_20km_h/@Vimpact" xmlDataType="decimal"/>
    </xmlCellPr>
  </singleXmlCell>
  <singleXmlCell id="4562" xr6:uid="{82D2E7C8-0C3E-44AC-BCE1-C52FE756D43C}" r="I38" connectionId="0">
    <xmlCellPr id="1" xr6:uid="{639626DC-3550-48B9-A2B4-21B0D01C805D}" uniqueName="Points">
      <xmlPr mapId="7" xpath="/MAKE/PP/AEB_VRU/Pedestrian/CROSSING/Night-Time/CPNA_25/_20km_h/@Points" xmlDataType="decimal"/>
    </xmlCellPr>
  </singleXmlCell>
  <singleXmlCell id="4563" xr6:uid="{B7D4661A-0F10-4260-BD7F-5B2C1AAE2892}" r="G39" connectionId="0">
    <xmlCellPr id="1" xr6:uid="{18FCB7D8-D472-4FD4-97FC-A72CF9D1CFAB}" uniqueName="OEM_Predict">
      <xmlPr mapId="7" xpath="/MAKE/PP/AEB_VRU/Pedestrian/CROSSING/Night-Time/CPNA_25/_25km_h/@OEM_Predict" xmlDataType="string"/>
    </xmlCellPr>
  </singleXmlCell>
  <singleXmlCell id="4564" xr6:uid="{F50373D4-3FD6-4F8C-80F1-DCD4219F9C57}" r="H39" connectionId="0">
    <xmlCellPr id="1" xr6:uid="{FE60B30C-7F49-4277-87CF-4BD388287850}" uniqueName="Vimpact">
      <xmlPr mapId="7" xpath="/MAKE/PP/AEB_VRU/Pedestrian/CROSSING/Night-Time/CPNA_25/_25km_h/@Vimpact" xmlDataType="decimal"/>
    </xmlCellPr>
  </singleXmlCell>
  <singleXmlCell id="4565" xr6:uid="{FB0BB51E-40E6-4231-BA95-1EF581EF9BFE}" r="I39" connectionId="0">
    <xmlCellPr id="1" xr6:uid="{5A862A23-8723-4424-B157-C475A292C3C8}" uniqueName="Points">
      <xmlPr mapId="7" xpath="/MAKE/PP/AEB_VRU/Pedestrian/CROSSING/Night-Time/CPNA_25/_25km_h/@Points" xmlDataType="decimal"/>
    </xmlCellPr>
  </singleXmlCell>
  <singleXmlCell id="4566" xr6:uid="{834868C1-E9F0-4DC4-A25F-11AA9F211A57}" r="G40" connectionId="0">
    <xmlCellPr id="1" xr6:uid="{C0E85A04-2AAF-437D-A005-709E6257F9EB}" uniqueName="OEM_Predict">
      <xmlPr mapId="7" xpath="/MAKE/PP/AEB_VRU/Pedestrian/CROSSING/Night-Time/CPNA_25/_30km_h/@OEM_Predict" xmlDataType="string"/>
    </xmlCellPr>
  </singleXmlCell>
  <singleXmlCell id="4567" xr6:uid="{6D56F192-01DC-497F-A689-531DA5A13C54}" r="H40" connectionId="0">
    <xmlCellPr id="1" xr6:uid="{B9BE1581-38FC-4023-AEBA-E85E800B37E3}" uniqueName="Vimpact">
      <xmlPr mapId="7" xpath="/MAKE/PP/AEB_VRU/Pedestrian/CROSSING/Night-Time/CPNA_25/_30km_h/@Vimpact" xmlDataType="decimal"/>
    </xmlCellPr>
  </singleXmlCell>
  <singleXmlCell id="4568" xr6:uid="{932A1999-EA4B-48DD-BE29-168E193A20E0}" r="I40" connectionId="0">
    <xmlCellPr id="1" xr6:uid="{3E1C12AE-876A-4B4B-BA67-8FD742CA1ED3}" uniqueName="Points">
      <xmlPr mapId="7" xpath="/MAKE/PP/AEB_VRU/Pedestrian/CROSSING/Night-Time/CPNA_25/_30km_h/@Points" xmlDataType="decimal"/>
    </xmlCellPr>
  </singleXmlCell>
  <singleXmlCell id="4569" xr6:uid="{0DD3CE8C-1228-439D-A713-4ABAAB53AE0C}" r="G41" connectionId="0">
    <xmlCellPr id="1" xr6:uid="{418925D3-AC3C-43D2-9E97-7F382E801B31}" uniqueName="OEM_Predict">
      <xmlPr mapId="7" xpath="/MAKE/PP/AEB_VRU/Pedestrian/CROSSING/Night-Time/CPNA_25/_35km_h/@OEM_Predict" xmlDataType="string"/>
    </xmlCellPr>
  </singleXmlCell>
  <singleXmlCell id="4570" xr6:uid="{9B646E08-EC1A-4AA7-AD10-368A00897909}" r="H41" connectionId="0">
    <xmlCellPr id="1" xr6:uid="{5ADA3E52-5B30-46B4-A38C-618A7C75CCC3}" uniqueName="Vimpact">
      <xmlPr mapId="7" xpath="/MAKE/PP/AEB_VRU/Pedestrian/CROSSING/Night-Time/CPNA_25/_35km_h/@Vimpact" xmlDataType="decimal"/>
    </xmlCellPr>
  </singleXmlCell>
  <singleXmlCell id="4571" xr6:uid="{8AF3BD79-4503-41C3-8311-46D9A7043F21}" r="I41" connectionId="0">
    <xmlCellPr id="1" xr6:uid="{690EB52B-3262-4B64-9E98-3EDBE53280F8}" uniqueName="Points">
      <xmlPr mapId="7" xpath="/MAKE/PP/AEB_VRU/Pedestrian/CROSSING/Night-Time/CPNA_25/_35km_h/@Points" xmlDataType="decimal"/>
    </xmlCellPr>
  </singleXmlCell>
  <singleXmlCell id="4572" xr6:uid="{6E7A1666-CA9A-4D24-AA43-F09A706F96C9}" r="G42" connectionId="0">
    <xmlCellPr id="1" xr6:uid="{9249908A-858E-469F-B0A3-619C6BFCAE6C}" uniqueName="OEM_Predict">
      <xmlPr mapId="7" xpath="/MAKE/PP/AEB_VRU/Pedestrian/CROSSING/Night-Time/CPNA_25/_40km_h/@OEM_Predict" xmlDataType="string"/>
    </xmlCellPr>
  </singleXmlCell>
  <singleXmlCell id="4573" xr6:uid="{23D42480-BD27-483D-9D5E-DE47F7A05D77}" r="H42" connectionId="0">
    <xmlCellPr id="1" xr6:uid="{EF8083E7-448B-487D-9811-225089EC6B05}" uniqueName="Vimpact">
      <xmlPr mapId="7" xpath="/MAKE/PP/AEB_VRU/Pedestrian/CROSSING/Night-Time/CPNA_25/_40km_h/@Vimpact" xmlDataType="decimal"/>
    </xmlCellPr>
  </singleXmlCell>
  <singleXmlCell id="4574" xr6:uid="{75691D7C-F3B1-4E05-962A-C068035016F9}" r="I42" connectionId="0">
    <xmlCellPr id="1" xr6:uid="{6A66BE15-A868-4528-9007-05A7F391EA07}" uniqueName="Points">
      <xmlPr mapId="7" xpath="/MAKE/PP/AEB_VRU/Pedestrian/CROSSING/Night-Time/CPNA_25/_40km_h/@Points" xmlDataType="decimal"/>
    </xmlCellPr>
  </singleXmlCell>
  <singleXmlCell id="4575" xr6:uid="{AEC2827B-9E4D-4951-BB2A-76A88B27A28D}" r="G43" connectionId="0">
    <xmlCellPr id="1" xr6:uid="{2D31B09D-EF45-4C6F-BCC7-CFDDA49E2EA6}" uniqueName="OEM_Predict">
      <xmlPr mapId="7" xpath="/MAKE/PP/AEB_VRU/Pedestrian/CROSSING/Night-Time/CPNA_25/_45km_h/@OEM_Predict" xmlDataType="string"/>
    </xmlCellPr>
  </singleXmlCell>
  <singleXmlCell id="4576" xr6:uid="{AECA86F9-09E5-4D65-B058-AE213E1F43AD}" r="H43" connectionId="0">
    <xmlCellPr id="1" xr6:uid="{97EBE731-00B0-4DDB-B58D-29437766A496}" uniqueName="Vimpact">
      <xmlPr mapId="7" xpath="/MAKE/PP/AEB_VRU/Pedestrian/CROSSING/Night-Time/CPNA_25/_45km_h/@Vimpact" xmlDataType="decimal"/>
    </xmlCellPr>
  </singleXmlCell>
  <singleXmlCell id="4577" xr6:uid="{3A2556AD-5E1C-4B55-8584-D8D686937BC1}" r="I43" connectionId="0">
    <xmlCellPr id="1" xr6:uid="{9332353A-0A6E-49A0-97C4-CAF686E021BA}" uniqueName="Points">
      <xmlPr mapId="7" xpath="/MAKE/PP/AEB_VRU/Pedestrian/CROSSING/Night-Time/CPNA_25/_45km_h/@Points" xmlDataType="decimal"/>
    </xmlCellPr>
  </singleXmlCell>
  <singleXmlCell id="4578" xr6:uid="{D924D692-E868-4DA5-9C8F-38D538838E7B}" r="G44" connectionId="0">
    <xmlCellPr id="1" xr6:uid="{7176981F-3761-4D27-8D66-06C79F204162}" uniqueName="OEM_Predict">
      <xmlPr mapId="7" xpath="/MAKE/PP/AEB_VRU/Pedestrian/CROSSING/Night-Time/CPNA_25/_50km_h/@OEM_Predict" xmlDataType="string"/>
    </xmlCellPr>
  </singleXmlCell>
  <singleXmlCell id="4579" xr6:uid="{DF247BCE-CE73-450F-93D7-86C197DF39B4}" r="H44" connectionId="0">
    <xmlCellPr id="1" xr6:uid="{6F5554A6-01A3-4E84-AB9A-48EA6AD793C5}" uniqueName="Vimpact">
      <xmlPr mapId="7" xpath="/MAKE/PP/AEB_VRU/Pedestrian/CROSSING/Night-Time/CPNA_25/_50km_h/@Vimpact" xmlDataType="decimal"/>
    </xmlCellPr>
  </singleXmlCell>
  <singleXmlCell id="4580" xr6:uid="{EADB30FB-407D-4AED-96B2-EC24B1BB5AA9}" r="I44" connectionId="0">
    <xmlCellPr id="1" xr6:uid="{E8FB6546-2FF1-4566-9533-594A7ADB4D9D}" uniqueName="Points">
      <xmlPr mapId="7" xpath="/MAKE/PP/AEB_VRU/Pedestrian/CROSSING/Night-Time/CPNA_25/_50km_h/@Points" xmlDataType="decimal"/>
    </xmlCellPr>
  </singleXmlCell>
  <singleXmlCell id="4581" xr6:uid="{C5207ABC-C02B-4B1E-9EC4-EC5C5FF61EE5}" r="G45" connectionId="0">
    <xmlCellPr id="1" xr6:uid="{4F68188F-2D43-4DF9-A2D3-734B684468BA}" uniqueName="OEM_Predict">
      <xmlPr mapId="7" xpath="/MAKE/PP/AEB_VRU/Pedestrian/CROSSING/Night-Time/CPNA_25/_55km_h/@OEM_Predict" xmlDataType="string"/>
    </xmlCellPr>
  </singleXmlCell>
  <singleXmlCell id="4582" xr6:uid="{F3E84EA0-A9A3-499D-8967-D8C6731E17FE}" r="H45" connectionId="0">
    <xmlCellPr id="1" xr6:uid="{D186A66A-777A-4404-96AC-AEB06F3E7705}" uniqueName="Vimpact">
      <xmlPr mapId="7" xpath="/MAKE/PP/AEB_VRU/Pedestrian/CROSSING/Night-Time/CPNA_25/_55km_h/@Vimpact" xmlDataType="decimal"/>
    </xmlCellPr>
  </singleXmlCell>
  <singleXmlCell id="4583" xr6:uid="{11E0ED2E-1C74-4C75-9ACD-98474FC214BB}" r="I45" connectionId="0">
    <xmlCellPr id="1" xr6:uid="{D77D8DCB-60EC-4450-B882-F3C58E599CF0}" uniqueName="Points">
      <xmlPr mapId="7" xpath="/MAKE/PP/AEB_VRU/Pedestrian/CROSSING/Night-Time/CPNA_25/_55km_h/@Points" xmlDataType="decimal"/>
    </xmlCellPr>
  </singleXmlCell>
  <singleXmlCell id="4584" xr6:uid="{E5385341-F572-4502-9C24-193E1B61C353}" r="G46" connectionId="0">
    <xmlCellPr id="1" xr6:uid="{9410F98F-B664-446B-BCBA-D1792E89A56E}" uniqueName="OEM_Predict">
      <xmlPr mapId="7" xpath="/MAKE/PP/AEB_VRU/Pedestrian/CROSSING/Night-Time/CPNA_25/_60km_h/@OEM_Predict" xmlDataType="string"/>
    </xmlCellPr>
  </singleXmlCell>
  <singleXmlCell id="4585" xr6:uid="{6433DA07-20A7-42AE-B8ED-EB4C94F69106}" r="H46" connectionId="0">
    <xmlCellPr id="1" xr6:uid="{5561CF25-E711-4712-BABB-3504CDC3F715}" uniqueName="Vimpact">
      <xmlPr mapId="7" xpath="/MAKE/PP/AEB_VRU/Pedestrian/CROSSING/Night-Time/CPNA_25/_60km_h/@Vimpact" xmlDataType="decimal"/>
    </xmlCellPr>
  </singleXmlCell>
  <singleXmlCell id="4586" xr6:uid="{0E4DCCFA-525B-4D5E-9B9A-7FF6EB615658}" r="I46" connectionId="0">
    <xmlCellPr id="1" xr6:uid="{5DE497D0-B5E1-45F6-9CD0-FA21E72501EB}" uniqueName="Points">
      <xmlPr mapId="7" xpath="/MAKE/PP/AEB_VRU/Pedestrian/CROSSING/Night-Time/CPNA_25/_60km_h/@Points" xmlDataType="decimal"/>
    </xmlCellPr>
  </singleXmlCell>
  <singleXmlCell id="4587" xr6:uid="{B5F615F4-300D-4A40-AA6C-A6D835A85D57}" r="J36" connectionId="0">
    <xmlCellPr id="1" xr6:uid="{B40007B1-B3ED-4741-83E9-61850D08FC1E}" uniqueName="OEM_Predict">
      <xmlPr mapId="7" xpath="/MAKE/PP/AEB_VRU/Pedestrian/CROSSING/Night-Time/CPNA_75/_10km_h/@OEM_Predict" xmlDataType="string"/>
    </xmlCellPr>
  </singleXmlCell>
  <singleXmlCell id="4588" xr6:uid="{1F833137-479D-4277-85E4-14E7372C6DCD}" r="K36" connectionId="0">
    <xmlCellPr id="1" xr6:uid="{1A552D7D-35EA-4117-8BAA-3C74ED74361D}" uniqueName="Vimpact">
      <xmlPr mapId="7" xpath="/MAKE/PP/AEB_VRU/Pedestrian/CROSSING/Night-Time/CPNA_75/_10km_h/@Vimpact" xmlDataType="decimal"/>
    </xmlCellPr>
  </singleXmlCell>
  <singleXmlCell id="4589" xr6:uid="{E54C0B76-6614-4876-9CE9-8159BF601AB5}" r="L36" connectionId="0">
    <xmlCellPr id="1" xr6:uid="{5CD7801A-5C83-4F4E-A487-50223940AB43}" uniqueName="Points">
      <xmlPr mapId="7" xpath="/MAKE/PP/AEB_VRU/Pedestrian/CROSSING/Night-Time/CPNA_75/_10km_h/@Points" xmlDataType="decimal"/>
    </xmlCellPr>
  </singleXmlCell>
  <singleXmlCell id="4590" xr6:uid="{AE3C543E-6A59-403D-BAF4-B3C1BE5FFFCB}" r="J37" connectionId="0">
    <xmlCellPr id="1" xr6:uid="{003D4E6C-088F-4929-BA7A-CE03A9BCEF0A}" uniqueName="OEM_Predict">
      <xmlPr mapId="7" xpath="/MAKE/PP/AEB_VRU/Pedestrian/CROSSING/Night-Time/CPNA_75/_15km_h/@OEM_Predict" xmlDataType="string"/>
    </xmlCellPr>
  </singleXmlCell>
  <singleXmlCell id="4591" xr6:uid="{E7FE0C62-90F3-40CF-A5F4-8DAE9D5E40A7}" r="K37" connectionId="0">
    <xmlCellPr id="1" xr6:uid="{03A31072-CFCB-410C-A407-6A1DC1FE8894}" uniqueName="Vimpact">
      <xmlPr mapId="7" xpath="/MAKE/PP/AEB_VRU/Pedestrian/CROSSING/Night-Time/CPNA_75/_15km_h/@Vimpact" xmlDataType="decimal"/>
    </xmlCellPr>
  </singleXmlCell>
  <singleXmlCell id="4592" xr6:uid="{7D62F9C3-4CB3-49CD-8CF5-EE9D27CFCE2C}" r="L37" connectionId="0">
    <xmlCellPr id="1" xr6:uid="{9B465F42-CF3A-4F04-907F-FED7B498511F}" uniqueName="Points">
      <xmlPr mapId="7" xpath="/MAKE/PP/AEB_VRU/Pedestrian/CROSSING/Night-Time/CPNA_75/_15km_h/@Points" xmlDataType="decimal"/>
    </xmlCellPr>
  </singleXmlCell>
  <singleXmlCell id="4593" xr6:uid="{EBD0A51A-3957-41E8-8E15-F343EFA0621B}" r="J38" connectionId="0">
    <xmlCellPr id="1" xr6:uid="{1323888B-7708-4457-B321-80573E053F8F}" uniqueName="OEM_Predict">
      <xmlPr mapId="7" xpath="/MAKE/PP/AEB_VRU/Pedestrian/CROSSING/Night-Time/CPNA_75/_20km_h/@OEM_Predict" xmlDataType="string"/>
    </xmlCellPr>
  </singleXmlCell>
  <singleXmlCell id="4594" xr6:uid="{6615ADEA-BDA1-4189-9222-BF94366BBE35}" r="K38" connectionId="0">
    <xmlCellPr id="1" xr6:uid="{2A11142F-4145-499D-A754-453DA8EEBEAF}" uniqueName="Vimpact">
      <xmlPr mapId="7" xpath="/MAKE/PP/AEB_VRU/Pedestrian/CROSSING/Night-Time/CPNA_75/_20km_h/@Vimpact" xmlDataType="decimal"/>
    </xmlCellPr>
  </singleXmlCell>
  <singleXmlCell id="4595" xr6:uid="{F806EFAB-C33B-4701-A507-AE6E1C957BC2}" r="L38" connectionId="0">
    <xmlCellPr id="1" xr6:uid="{0044AE51-9ABA-429D-BA4A-E1DFE0938839}" uniqueName="Points">
      <xmlPr mapId="7" xpath="/MAKE/PP/AEB_VRU/Pedestrian/CROSSING/Night-Time/CPNA_75/_20km_h/@Points" xmlDataType="decimal"/>
    </xmlCellPr>
  </singleXmlCell>
  <singleXmlCell id="4596" xr6:uid="{D84886FC-BAFE-4D57-914B-6787AD222F19}" r="J39" connectionId="0">
    <xmlCellPr id="1" xr6:uid="{FB2852E2-5326-4DC4-AE39-19B6FB02ED79}" uniqueName="OEM_Predict">
      <xmlPr mapId="7" xpath="/MAKE/PP/AEB_VRU/Pedestrian/CROSSING/Night-Time/CPNA_75/_25km_h/@OEM_Predict" xmlDataType="string"/>
    </xmlCellPr>
  </singleXmlCell>
  <singleXmlCell id="4597" xr6:uid="{92D64DAE-BFBF-4F42-A249-6A3608956FDF}" r="K39" connectionId="0">
    <xmlCellPr id="1" xr6:uid="{1588E205-74B3-4C4A-8E68-23124E483D15}" uniqueName="Vimpact">
      <xmlPr mapId="7" xpath="/MAKE/PP/AEB_VRU/Pedestrian/CROSSING/Night-Time/CPNA_75/_25km_h/@Vimpact" xmlDataType="decimal"/>
    </xmlCellPr>
  </singleXmlCell>
  <singleXmlCell id="4598" xr6:uid="{DEA07C78-3CDB-41D6-8C1E-3C310991FCCE}" r="L39" connectionId="0">
    <xmlCellPr id="1" xr6:uid="{B5686C7F-35D3-4054-BBC3-C6ECAB3572A5}" uniqueName="Points">
      <xmlPr mapId="7" xpath="/MAKE/PP/AEB_VRU/Pedestrian/CROSSING/Night-Time/CPNA_75/_25km_h/@Points" xmlDataType="decimal"/>
    </xmlCellPr>
  </singleXmlCell>
  <singleXmlCell id="4599" xr6:uid="{2D8606AC-0F81-4E58-A4D7-D5359AB4E2BE}" r="J40" connectionId="0">
    <xmlCellPr id="1" xr6:uid="{C6DF37F4-578F-497C-9851-D03B0AF18890}" uniqueName="OEM_Predict">
      <xmlPr mapId="7" xpath="/MAKE/PP/AEB_VRU/Pedestrian/CROSSING/Night-Time/CPNA_75/_30km_h/@OEM_Predict" xmlDataType="string"/>
    </xmlCellPr>
  </singleXmlCell>
  <singleXmlCell id="4600" xr6:uid="{9ED9569D-2582-43BE-BD91-2AEB726C94DE}" r="K40" connectionId="0">
    <xmlCellPr id="1" xr6:uid="{670A5FDF-34D0-45D7-9ACC-3496C4B7B633}" uniqueName="Vimpact">
      <xmlPr mapId="7" xpath="/MAKE/PP/AEB_VRU/Pedestrian/CROSSING/Night-Time/CPNA_75/_30km_h/@Vimpact" xmlDataType="decimal"/>
    </xmlCellPr>
  </singleXmlCell>
  <singleXmlCell id="4601" xr6:uid="{4377B0DF-F00C-4FE4-B923-166F372CAFEC}" r="L40" connectionId="0">
    <xmlCellPr id="1" xr6:uid="{7E082620-EE31-4FD2-8825-1DBE11E668E3}" uniqueName="Points">
      <xmlPr mapId="7" xpath="/MAKE/PP/AEB_VRU/Pedestrian/CROSSING/Night-Time/CPNA_75/_30km_h/@Points" xmlDataType="decimal"/>
    </xmlCellPr>
  </singleXmlCell>
  <singleXmlCell id="4602" xr6:uid="{DC443522-21C1-4FC6-AF3F-5C92F55D7EE3}" r="J41" connectionId="0">
    <xmlCellPr id="1" xr6:uid="{E94E22F8-3655-4247-946A-D301139ED4CB}" uniqueName="OEM_Predict">
      <xmlPr mapId="7" xpath="/MAKE/PP/AEB_VRU/Pedestrian/CROSSING/Night-Time/CPNA_75/_35km_h/@OEM_Predict" xmlDataType="string"/>
    </xmlCellPr>
  </singleXmlCell>
  <singleXmlCell id="4603" xr6:uid="{05AAFB55-0235-46BE-9993-CF6B18F0E161}" r="K41" connectionId="0">
    <xmlCellPr id="1" xr6:uid="{FA2D637F-BFE8-447C-A3EA-95BB500E9859}" uniqueName="Vimpact">
      <xmlPr mapId="7" xpath="/MAKE/PP/AEB_VRU/Pedestrian/CROSSING/Night-Time/CPNA_75/_35km_h/@Vimpact" xmlDataType="decimal"/>
    </xmlCellPr>
  </singleXmlCell>
  <singleXmlCell id="4604" xr6:uid="{5AC649DE-7B94-4E45-80FA-011F81F71802}" r="L41" connectionId="0">
    <xmlCellPr id="1" xr6:uid="{54EA7101-0992-4707-884B-826DD40B0451}" uniqueName="Points">
      <xmlPr mapId="7" xpath="/MAKE/PP/AEB_VRU/Pedestrian/CROSSING/Night-Time/CPNA_75/_35km_h/@Points" xmlDataType="decimal"/>
    </xmlCellPr>
  </singleXmlCell>
  <singleXmlCell id="4605" xr6:uid="{AC9D2FA0-4E25-4FE1-8302-172A0341F045}" r="J42" connectionId="0">
    <xmlCellPr id="1" xr6:uid="{DBF4E160-A797-4F80-BC6B-9D37C53D75AC}" uniqueName="OEM_Predict">
      <xmlPr mapId="7" xpath="/MAKE/PP/AEB_VRU/Pedestrian/CROSSING/Night-Time/CPNA_75/_40km_h/@OEM_Predict" xmlDataType="string"/>
    </xmlCellPr>
  </singleXmlCell>
  <singleXmlCell id="4606" xr6:uid="{1B59D0E5-A5B9-482A-BE4A-6F752E9FE017}" r="K42" connectionId="0">
    <xmlCellPr id="1" xr6:uid="{30A21E0D-62E9-4A37-946A-31041651DF1E}" uniqueName="Vimpact">
      <xmlPr mapId="7" xpath="/MAKE/PP/AEB_VRU/Pedestrian/CROSSING/Night-Time/CPNA_75/_40km_h/@Vimpact" xmlDataType="decimal"/>
    </xmlCellPr>
  </singleXmlCell>
  <singleXmlCell id="4607" xr6:uid="{9008ECEE-ADD5-49EB-8F0A-5E323A02B7BB}" r="L42" connectionId="0">
    <xmlCellPr id="1" xr6:uid="{4EE9D2D6-EA22-4F31-BA2C-170E5AC3381A}" uniqueName="Points">
      <xmlPr mapId="7" xpath="/MAKE/PP/AEB_VRU/Pedestrian/CROSSING/Night-Time/CPNA_75/_40km_h/@Points" xmlDataType="decimal"/>
    </xmlCellPr>
  </singleXmlCell>
  <singleXmlCell id="4608" xr6:uid="{BB13D819-2A20-426E-A550-824E9BA67D5E}" r="J43" connectionId="0">
    <xmlCellPr id="1" xr6:uid="{96A1800B-7A2E-4C29-A037-1A9093492A3A}" uniqueName="OEM_Predict">
      <xmlPr mapId="7" xpath="/MAKE/PP/AEB_VRU/Pedestrian/CROSSING/Night-Time/CPNA_75/_45km_h/@OEM_Predict" xmlDataType="string"/>
    </xmlCellPr>
  </singleXmlCell>
  <singleXmlCell id="4609" xr6:uid="{40161B53-5386-49B4-B295-C69F381D4503}" r="K43" connectionId="0">
    <xmlCellPr id="1" xr6:uid="{22DDC730-5C60-46F4-A0F8-D3911ECF9457}" uniqueName="Vimpact">
      <xmlPr mapId="7" xpath="/MAKE/PP/AEB_VRU/Pedestrian/CROSSING/Night-Time/CPNA_75/_45km_h/@Vimpact" xmlDataType="decimal"/>
    </xmlCellPr>
  </singleXmlCell>
  <singleXmlCell id="4610" xr6:uid="{4ED22430-759C-4223-A785-C289616324C2}" r="L43" connectionId="0">
    <xmlCellPr id="1" xr6:uid="{469FFCE8-48E8-4A34-8E81-A449FA637076}" uniqueName="Points">
      <xmlPr mapId="7" xpath="/MAKE/PP/AEB_VRU/Pedestrian/CROSSING/Night-Time/CPNA_75/_45km_h/@Points" xmlDataType="decimal"/>
    </xmlCellPr>
  </singleXmlCell>
  <singleXmlCell id="4611" xr6:uid="{DC59CF41-F5C2-4A7A-9679-19D1D1F4200C}" r="J44" connectionId="0">
    <xmlCellPr id="1" xr6:uid="{5B30789F-3AE8-40D4-9332-F4BCEECAA181}" uniqueName="OEM_Predict">
      <xmlPr mapId="7" xpath="/MAKE/PP/AEB_VRU/Pedestrian/CROSSING/Night-Time/CPNA_75/_50km_h/@OEM_Predict" xmlDataType="string"/>
    </xmlCellPr>
  </singleXmlCell>
  <singleXmlCell id="4612" xr6:uid="{4EC61BD6-752D-42E6-B1E6-CB0A9A88F0DF}" r="K44" connectionId="0">
    <xmlCellPr id="1" xr6:uid="{06071055-BFA7-4AD7-91BE-75868724A547}" uniqueName="Vimpact">
      <xmlPr mapId="7" xpath="/MAKE/PP/AEB_VRU/Pedestrian/CROSSING/Night-Time/CPNA_75/_50km_h/@Vimpact" xmlDataType="decimal"/>
    </xmlCellPr>
  </singleXmlCell>
  <singleXmlCell id="4613" xr6:uid="{1D297F25-1266-4C8B-9DBC-C6ED833AC4C6}" r="L44" connectionId="0">
    <xmlCellPr id="1" xr6:uid="{E9DF5AFF-0DDE-40BC-8935-B9040F72F503}" uniqueName="Points">
      <xmlPr mapId="7" xpath="/MAKE/PP/AEB_VRU/Pedestrian/CROSSING/Night-Time/CPNA_75/_50km_h/@Points" xmlDataType="decimal"/>
    </xmlCellPr>
  </singleXmlCell>
  <singleXmlCell id="4614" xr6:uid="{B56E2480-B849-4AA5-BA1C-ECE78E5EC84D}" r="J45" connectionId="0">
    <xmlCellPr id="1" xr6:uid="{838077E5-3AC2-4893-AD78-19D25FF164D4}" uniqueName="OEM_Predict">
      <xmlPr mapId="7" xpath="/MAKE/PP/AEB_VRU/Pedestrian/CROSSING/Night-Time/CPNA_75/_55km_h/@OEM_Predict" xmlDataType="string"/>
    </xmlCellPr>
  </singleXmlCell>
  <singleXmlCell id="4615" xr6:uid="{D2A99B3A-058F-45E4-B770-29B1053840D1}" r="K45" connectionId="0">
    <xmlCellPr id="1" xr6:uid="{F16B60A5-1D04-4EE4-A883-52CF0CA2D771}" uniqueName="Vimpact">
      <xmlPr mapId="7" xpath="/MAKE/PP/AEB_VRU/Pedestrian/CROSSING/Night-Time/CPNA_75/_55km_h/@Vimpact" xmlDataType="decimal"/>
    </xmlCellPr>
  </singleXmlCell>
  <singleXmlCell id="4616" xr6:uid="{2B41AE55-1954-493B-82D1-1208CA13EB60}" r="L45" connectionId="0">
    <xmlCellPr id="1" xr6:uid="{0AC1E80D-104C-491D-BE3E-E6F12B8724C8}" uniqueName="Points">
      <xmlPr mapId="7" xpath="/MAKE/PP/AEB_VRU/Pedestrian/CROSSING/Night-Time/CPNA_75/_55km_h/@Points" xmlDataType="decimal"/>
    </xmlCellPr>
  </singleXmlCell>
  <singleXmlCell id="4617" xr6:uid="{214CAEA5-DA91-4176-9753-131D1CC1316C}" r="J46" connectionId="0">
    <xmlCellPr id="1" xr6:uid="{5C318A11-C83E-4321-8590-EE3725CA064D}" uniqueName="OEM_Predict">
      <xmlPr mapId="7" xpath="/MAKE/PP/AEB_VRU/Pedestrian/CROSSING/Night-Time/CPNA_75/_60km_h/@OEM_Predict" xmlDataType="string"/>
    </xmlCellPr>
  </singleXmlCell>
  <singleXmlCell id="4618" xr6:uid="{6424E232-DA55-443D-89FD-AE795A0F1BE9}" r="K46" connectionId="0">
    <xmlCellPr id="1" xr6:uid="{350BB470-C539-4DDA-9D35-75E34878DD79}" uniqueName="Vimpact">
      <xmlPr mapId="7" xpath="/MAKE/PP/AEB_VRU/Pedestrian/CROSSING/Night-Time/CPNA_75/_60km_h/@Vimpact" xmlDataType="decimal"/>
    </xmlCellPr>
  </singleXmlCell>
  <singleXmlCell id="4619" xr6:uid="{DD8FA946-B916-47C6-B4FC-42C07BEDAB7A}" r="L46" connectionId="0">
    <xmlCellPr id="1" xr6:uid="{AD0EF206-766D-47BC-986A-6453A52D9715}" uniqueName="Points">
      <xmlPr mapId="7" xpath="/MAKE/PP/AEB_VRU/Pedestrian/CROSSING/Night-Time/CPNA_75/_60km_h/@Points" xmlDataType="decimal"/>
    </xmlCellPr>
  </singleXmlCell>
  <singleXmlCell id="4620" xr6:uid="{73919D25-369E-4A61-97E3-33769193D9F8}" r="M36" connectionId="0">
    <xmlCellPr id="1" xr6:uid="{D64BFCCD-4B0B-4CEF-AF47-DEDDBFE7372F}" uniqueName="OEM_Predict">
      <xmlPr mapId="7" xpath="/MAKE/PP/AEB_VRU/Pedestrian/CROSSING/Night-Time/CPNCO_50/_10km_h/@OEM_Predict" xmlDataType="string"/>
    </xmlCellPr>
  </singleXmlCell>
  <singleXmlCell id="4621" xr6:uid="{61A44242-B0CA-46EF-B4B4-A40457F1A829}" r="N36" connectionId="0">
    <xmlCellPr id="1" xr6:uid="{5235366D-C197-46FC-B61D-0884AF547141}" uniqueName="Vimpact">
      <xmlPr mapId="7" xpath="/MAKE/PP/AEB_VRU/Pedestrian/CROSSING/Night-Time/CPNCO_50/_10km_h/@Vimpact" xmlDataType="decimal"/>
    </xmlCellPr>
  </singleXmlCell>
  <singleXmlCell id="4622" xr6:uid="{C6A6EC05-944B-4673-9510-AA5682C39D2D}" r="O36" connectionId="0">
    <xmlCellPr id="1" xr6:uid="{38DA6FD7-1271-4B71-80DD-4B77307E72B5}" uniqueName="Points">
      <xmlPr mapId="7" xpath="/MAKE/PP/AEB_VRU/Pedestrian/CROSSING/Night-Time/CPNCO_50/_10km_h/@Points" xmlDataType="decimal"/>
    </xmlCellPr>
  </singleXmlCell>
  <singleXmlCell id="4623" xr6:uid="{96A7EBE5-63A2-4801-BDFD-B39AF5C6ED39}" r="M37" connectionId="0">
    <xmlCellPr id="1" xr6:uid="{D955A92A-81A5-48C5-BF84-C3DF174002AB}" uniqueName="OEM_Predict">
      <xmlPr mapId="7" xpath="/MAKE/PP/AEB_VRU/Pedestrian/CROSSING/Night-Time/CPNCO_50/_15km_h/@OEM_Predict" xmlDataType="string"/>
    </xmlCellPr>
  </singleXmlCell>
  <singleXmlCell id="4624" xr6:uid="{93B3B094-D514-4DEB-ABEC-2B0D48A651B2}" r="N37" connectionId="0">
    <xmlCellPr id="1" xr6:uid="{6C1BB2DB-0FC7-4ADB-A73D-3EFE23603D02}" uniqueName="Vimpact">
      <xmlPr mapId="7" xpath="/MAKE/PP/AEB_VRU/Pedestrian/CROSSING/Night-Time/CPNCO_50/_15km_h/@Vimpact" xmlDataType="decimal"/>
    </xmlCellPr>
  </singleXmlCell>
  <singleXmlCell id="4625" xr6:uid="{7608D487-F83A-42AD-B476-229A1E44BF2F}" r="O37" connectionId="0">
    <xmlCellPr id="1" xr6:uid="{86AC1CD5-DE0F-4898-AD65-D0ACFA6DEC83}" uniqueName="Points">
      <xmlPr mapId="7" xpath="/MAKE/PP/AEB_VRU/Pedestrian/CROSSING/Night-Time/CPNCO_50/_15km_h/@Points" xmlDataType="decimal"/>
    </xmlCellPr>
  </singleXmlCell>
  <singleXmlCell id="4626" xr6:uid="{ECBDC01E-C2F6-4C73-B95B-509C37BCF31E}" r="M38" connectionId="0">
    <xmlCellPr id="1" xr6:uid="{80B452FD-DC07-456F-8449-D8682A9B1D2E}" uniqueName="OEM_Predict">
      <xmlPr mapId="7" xpath="/MAKE/PP/AEB_VRU/Pedestrian/CROSSING/Night-Time/CPNCO_50/_20km_h/@OEM_Predict" xmlDataType="string"/>
    </xmlCellPr>
  </singleXmlCell>
  <singleXmlCell id="4627" xr6:uid="{935E023B-34C9-4962-AD2F-F2D0081D0927}" r="N38" connectionId="0">
    <xmlCellPr id="1" xr6:uid="{376D8967-0757-4BC7-8B0E-1DFDECB02763}" uniqueName="Vimpact">
      <xmlPr mapId="7" xpath="/MAKE/PP/AEB_VRU/Pedestrian/CROSSING/Night-Time/CPNCO_50/_20km_h/@Vimpact" xmlDataType="decimal"/>
    </xmlCellPr>
  </singleXmlCell>
  <singleXmlCell id="4628" xr6:uid="{D3EEF44C-E1BA-4F96-B132-2510BC7A9A23}" r="O38" connectionId="0">
    <xmlCellPr id="1" xr6:uid="{DD513BBA-6DE0-4C22-A692-139EE1E99253}" uniqueName="Points">
      <xmlPr mapId="7" xpath="/MAKE/PP/AEB_VRU/Pedestrian/CROSSING/Night-Time/CPNCO_50/_20km_h/@Points" xmlDataType="decimal"/>
    </xmlCellPr>
  </singleXmlCell>
  <singleXmlCell id="4629" xr6:uid="{2D3BDCE0-6DCF-4FFF-8642-EADC27D42698}" r="M39" connectionId="0">
    <xmlCellPr id="1" xr6:uid="{78D72DBD-A0E1-4A1A-AAD8-6D5A46871B54}" uniqueName="OEM_Predict">
      <xmlPr mapId="7" xpath="/MAKE/PP/AEB_VRU/Pedestrian/CROSSING/Night-Time/CPNCO_50/_25km_h/@OEM_Predict" xmlDataType="string"/>
    </xmlCellPr>
  </singleXmlCell>
  <singleXmlCell id="4630" xr6:uid="{E98FB03F-5809-410F-BA94-28A4E7038ED3}" r="N39" connectionId="0">
    <xmlCellPr id="1" xr6:uid="{0AE8E3D5-DE52-4122-BF31-FFBAB416BB45}" uniqueName="Vimpact">
      <xmlPr mapId="7" xpath="/MAKE/PP/AEB_VRU/Pedestrian/CROSSING/Night-Time/CPNCO_50/_25km_h/@Vimpact" xmlDataType="decimal"/>
    </xmlCellPr>
  </singleXmlCell>
  <singleXmlCell id="4631" xr6:uid="{F97A1DE4-1574-46A0-9DFF-31FDDB59DFAE}" r="O39" connectionId="0">
    <xmlCellPr id="1" xr6:uid="{02C68D1F-2841-49D8-94E4-D7B0A9F91E25}" uniqueName="Points">
      <xmlPr mapId="7" xpath="/MAKE/PP/AEB_VRU/Pedestrian/CROSSING/Night-Time/CPNCO_50/_25km_h/@Points" xmlDataType="decimal"/>
    </xmlCellPr>
  </singleXmlCell>
  <singleXmlCell id="4632" xr6:uid="{396DAD81-9669-4428-9426-8CABF8F5E56F}" r="M40" connectionId="0">
    <xmlCellPr id="1" xr6:uid="{982E0E23-B40C-4F0D-BD37-0574FCE0E368}" uniqueName="OEM_Predict">
      <xmlPr mapId="7" xpath="/MAKE/PP/AEB_VRU/Pedestrian/CROSSING/Night-Time/CPNCO_50/_30km_h/@OEM_Predict" xmlDataType="string"/>
    </xmlCellPr>
  </singleXmlCell>
  <singleXmlCell id="4633" xr6:uid="{51B07E8F-FC37-4726-A02C-DBB5CEE2149E}" r="N40" connectionId="0">
    <xmlCellPr id="1" xr6:uid="{FD94315A-712B-4B49-A321-4B91FF323C12}" uniqueName="Vimpact">
      <xmlPr mapId="7" xpath="/MAKE/PP/AEB_VRU/Pedestrian/CROSSING/Night-Time/CPNCO_50/_30km_h/@Vimpact" xmlDataType="decimal"/>
    </xmlCellPr>
  </singleXmlCell>
  <singleXmlCell id="4634" xr6:uid="{88FB1E20-B30D-42FC-8AEE-1E3E108AA23D}" r="O40" connectionId="0">
    <xmlCellPr id="1" xr6:uid="{50F93FC2-CA57-4242-AD27-50DDF7303223}" uniqueName="Points">
      <xmlPr mapId="7" xpath="/MAKE/PP/AEB_VRU/Pedestrian/CROSSING/Night-Time/CPNCO_50/_30km_h/@Points" xmlDataType="decimal"/>
    </xmlCellPr>
  </singleXmlCell>
  <singleXmlCell id="4635" xr6:uid="{4A0901D4-2843-4221-A258-2BA6B3AFA2C3}" r="M41" connectionId="0">
    <xmlCellPr id="1" xr6:uid="{827EB1EE-D30E-4C31-AA52-A9EA8CF29A08}" uniqueName="OEM_Predict">
      <xmlPr mapId="7" xpath="/MAKE/PP/AEB_VRU/Pedestrian/CROSSING/Night-Time/CPNCO_50/_35km_h/@OEM_Predict" xmlDataType="string"/>
    </xmlCellPr>
  </singleXmlCell>
  <singleXmlCell id="4636" xr6:uid="{6B54BF2E-AADF-465D-A6B3-96433A9BA4B0}" r="N41" connectionId="0">
    <xmlCellPr id="1" xr6:uid="{77B30C89-C691-4F92-BDAC-8F2227E32C49}" uniqueName="Vimpact">
      <xmlPr mapId="7" xpath="/MAKE/PP/AEB_VRU/Pedestrian/CROSSING/Night-Time/CPNCO_50/_35km_h/@Vimpact" xmlDataType="decimal"/>
    </xmlCellPr>
  </singleXmlCell>
  <singleXmlCell id="4637" xr6:uid="{3F91F4B9-3993-439F-8315-5F42B8FC1642}" r="O41" connectionId="0">
    <xmlCellPr id="1" xr6:uid="{6B9BFEE7-511D-46E6-B020-EBC9FB1B7D70}" uniqueName="Points">
      <xmlPr mapId="7" xpath="/MAKE/PP/AEB_VRU/Pedestrian/CROSSING/Night-Time/CPNCO_50/_35km_h/@Points" xmlDataType="decimal"/>
    </xmlCellPr>
  </singleXmlCell>
  <singleXmlCell id="4638" xr6:uid="{03E845D8-C943-4C6F-A189-DC65A6DBFB78}" r="M42" connectionId="0">
    <xmlCellPr id="1" xr6:uid="{10360B95-BF8D-4179-B632-AF3F194BB597}" uniqueName="OEM_Predict">
      <xmlPr mapId="7" xpath="/MAKE/PP/AEB_VRU/Pedestrian/CROSSING/Night-Time/CPNCO_50/_40km_h/@OEM_Predict" xmlDataType="string"/>
    </xmlCellPr>
  </singleXmlCell>
  <singleXmlCell id="4639" xr6:uid="{5F3F0540-1DFB-4344-877F-D70E7D3242AE}" r="N42" connectionId="0">
    <xmlCellPr id="1" xr6:uid="{14B5356E-55AF-4B42-B1FC-C771CD86787F}" uniqueName="Vimpact">
      <xmlPr mapId="7" xpath="/MAKE/PP/AEB_VRU/Pedestrian/CROSSING/Night-Time/CPNCO_50/_40km_h/@Vimpact" xmlDataType="decimal"/>
    </xmlCellPr>
  </singleXmlCell>
  <singleXmlCell id="4640" xr6:uid="{C977AD8E-D130-43CB-8491-2D16EA5DF313}" r="O42" connectionId="0">
    <xmlCellPr id="1" xr6:uid="{11BC89C8-A4E9-4166-9508-F5F5E1472AA1}" uniqueName="Points">
      <xmlPr mapId="7" xpath="/MAKE/PP/AEB_VRU/Pedestrian/CROSSING/Night-Time/CPNCO_50/_40km_h/@Points" xmlDataType="decimal"/>
    </xmlCellPr>
  </singleXmlCell>
  <singleXmlCell id="4641" xr6:uid="{7D63F58D-DD0F-446A-8BED-371722E4B0EB}" r="M43" connectionId="0">
    <xmlCellPr id="1" xr6:uid="{014ECBF3-6784-4B18-AD70-E196C41789B8}" uniqueName="OEM_Predict">
      <xmlPr mapId="7" xpath="/MAKE/PP/AEB_VRU/Pedestrian/CROSSING/Night-Time/CPNCO_50/_45km_h/@OEM_Predict" xmlDataType="string"/>
    </xmlCellPr>
  </singleXmlCell>
  <singleXmlCell id="4642" xr6:uid="{BFEAA4EE-49E1-4774-A234-98C508731E8E}" r="N43" connectionId="0">
    <xmlCellPr id="1" xr6:uid="{5155CCB3-E1F2-4B23-8714-3B48C0DCD7AE}" uniqueName="Vimpact">
      <xmlPr mapId="7" xpath="/MAKE/PP/AEB_VRU/Pedestrian/CROSSING/Night-Time/CPNCO_50/_45km_h/@Vimpact" xmlDataType="decimal"/>
    </xmlCellPr>
  </singleXmlCell>
  <singleXmlCell id="4643" xr6:uid="{1434C5D9-4CA0-412C-9AF1-45A3C887A7DC}" r="O43" connectionId="0">
    <xmlCellPr id="1" xr6:uid="{E97C54BB-6F76-4E37-9056-AAF146F2E2D2}" uniqueName="Points">
      <xmlPr mapId="7" xpath="/MAKE/PP/AEB_VRU/Pedestrian/CROSSING/Night-Time/CPNCO_50/_45km_h/@Points" xmlDataType="decimal"/>
    </xmlCellPr>
  </singleXmlCell>
  <singleXmlCell id="4644" xr6:uid="{6869374C-C65F-40D5-9320-0A0C149E9F82}" r="M44" connectionId="0">
    <xmlCellPr id="1" xr6:uid="{9BC088E2-0A9D-4415-83BB-C340375BE0F0}" uniqueName="OEM_Predict">
      <xmlPr mapId="7" xpath="/MAKE/PP/AEB_VRU/Pedestrian/CROSSING/Night-Time/CPNCO_50/_50km_h/@OEM_Predict" xmlDataType="string"/>
    </xmlCellPr>
  </singleXmlCell>
  <singleXmlCell id="4645" xr6:uid="{5B17D585-4231-42CE-B061-763E8C0C50F8}" r="N44" connectionId="0">
    <xmlCellPr id="1" xr6:uid="{CDE31E46-E09F-4D48-966C-15272FE8E881}" uniqueName="Vimpact">
      <xmlPr mapId="7" xpath="/MAKE/PP/AEB_VRU/Pedestrian/CROSSING/Night-Time/CPNCO_50/_50km_h/@Vimpact" xmlDataType="decimal"/>
    </xmlCellPr>
  </singleXmlCell>
  <singleXmlCell id="4646" xr6:uid="{451724F5-9859-4663-851D-AADB1EB0F5C3}" r="O44" connectionId="0">
    <xmlCellPr id="1" xr6:uid="{135D21DB-7EB6-4AB5-A3AB-7504D410CF7F}" uniqueName="Points">
      <xmlPr mapId="7" xpath="/MAKE/PP/AEB_VRU/Pedestrian/CROSSING/Night-Time/CPNCO_50/_50km_h/@Points" xmlDataType="decimal"/>
    </xmlCellPr>
  </singleXmlCell>
  <singleXmlCell id="4647" xr6:uid="{8655C061-6156-40C0-9DCC-96373779E2B3}" r="M45" connectionId="0">
    <xmlCellPr id="1" xr6:uid="{5120FD31-491C-40B8-84E8-5628B05DC345}" uniqueName="OEM_Predict">
      <xmlPr mapId="7" xpath="/MAKE/PP/AEB_VRU/Pedestrian/CROSSING/Night-Time/CPNCO_50/_55km_h/@OEM_Predict" xmlDataType="string"/>
    </xmlCellPr>
  </singleXmlCell>
  <singleXmlCell id="4648" xr6:uid="{26362DEE-5A6A-4F95-8751-03245DBF00EE}" r="N45" connectionId="0">
    <xmlCellPr id="1" xr6:uid="{CDB03981-0FDA-400D-AEBE-B0925A41958C}" uniqueName="Vimpact">
      <xmlPr mapId="7" xpath="/MAKE/PP/AEB_VRU/Pedestrian/CROSSING/Night-Time/CPNCO_50/_55km_h/@Vimpact" xmlDataType="decimal"/>
    </xmlCellPr>
  </singleXmlCell>
  <singleXmlCell id="4649" xr6:uid="{933452DF-4525-4FDE-96DA-2598BE051CBA}" r="O45" connectionId="0">
    <xmlCellPr id="1" xr6:uid="{C71EC36C-D25D-48F2-A832-DDEAC83FD93C}" uniqueName="Points">
      <xmlPr mapId="7" xpath="/MAKE/PP/AEB_VRU/Pedestrian/CROSSING/Night-Time/CPNCO_50/_55km_h/@Points" xmlDataType="decimal"/>
    </xmlCellPr>
  </singleXmlCell>
  <singleXmlCell id="4650" xr6:uid="{7B68A3B8-FA58-4B89-8BFF-3307D5C0500F}" r="M46" connectionId="0">
    <xmlCellPr id="1" xr6:uid="{EE98FB06-73EA-4C6C-ACF0-BBBCB4D31FB1}" uniqueName="OEM_Predict">
      <xmlPr mapId="7" xpath="/MAKE/PP/AEB_VRU/Pedestrian/CROSSING/Night-Time/CPNCO_50/_60km_h/@OEM_Predict" xmlDataType="string"/>
    </xmlCellPr>
  </singleXmlCell>
  <singleXmlCell id="4651" xr6:uid="{9EE56763-96AA-4EC3-A809-C05D54511AB1}" r="N46" connectionId="0">
    <xmlCellPr id="1" xr6:uid="{F57CFB1F-F0C7-4F0A-AD82-DFBD374D40D4}" uniqueName="Vimpact">
      <xmlPr mapId="7" xpath="/MAKE/PP/AEB_VRU/Pedestrian/CROSSING/Night-Time/CPNCO_50/_60km_h/@Vimpact" xmlDataType="decimal"/>
    </xmlCellPr>
  </singleXmlCell>
  <singleXmlCell id="4652" xr6:uid="{F12C171C-7E72-4344-B55A-8224047BE3B9}" r="O46" connectionId="0">
    <xmlCellPr id="1" xr6:uid="{49A60954-B8CE-4982-B36D-2EC4908B45DA}" uniqueName="Points">
      <xmlPr mapId="7" xpath="/MAKE/PP/AEB_VRU/Pedestrian/CROSSING/Night-Time/CPNCO_50/_60km_h/@Points" xmlDataType="decimal"/>
    </xmlCellPr>
  </singleXmlCell>
  <singleXmlCell id="4653" xr6:uid="{64D19B62-B5A4-4529-922E-F921D75FE55C}" r="D52" connectionId="0">
    <xmlCellPr id="1" xr6:uid="{37414A1A-018C-4A14-9B34-FB5440A13C76}" uniqueName="OEM_Predict">
      <xmlPr mapId="7" xpath="/MAKE/PP/AEB_VRU/Pedestrian/LONGITUDINAL/Daytime/CPLA_50/_20km_h/@OEM_Predict" xmlDataType="string"/>
    </xmlCellPr>
  </singleXmlCell>
  <singleXmlCell id="4654" xr6:uid="{CFBA50CC-6EEB-4119-A7C8-C4BD16D132D8}" r="E52" connectionId="0">
    <xmlCellPr id="1" xr6:uid="{5B5BF0EC-3545-4FE9-BEF5-432064E1A7C1}" uniqueName="Vimpact">
      <xmlPr mapId="7" xpath="/MAKE/PP/AEB_VRU/Pedestrian/LONGITUDINAL/Daytime/CPLA_50/_20km_h/@Vimpact" xmlDataType="decimal"/>
    </xmlCellPr>
  </singleXmlCell>
  <singleXmlCell id="4655" xr6:uid="{FC8287DB-D70C-45CD-8C27-C899B5483CE3}" r="F52" connectionId="0">
    <xmlCellPr id="1" xr6:uid="{28DF7FDD-11AD-4360-A50B-2022238666A3}" uniqueName="Points">
      <xmlPr mapId="7" xpath="/MAKE/PP/AEB_VRU/Pedestrian/LONGITUDINAL/Daytime/CPLA_50/_20km_h/@Points" xmlDataType="decimal"/>
    </xmlCellPr>
  </singleXmlCell>
  <singleXmlCell id="4656" xr6:uid="{DCC3FC0B-6882-43E2-98E9-AA69D7F24375}" r="D53" connectionId="0">
    <xmlCellPr id="1" xr6:uid="{C6AE8E92-A0C2-42A6-BF04-67DDDC16E22D}" uniqueName="OEM_Predict">
      <xmlPr mapId="7" xpath="/MAKE/PP/AEB_VRU/Pedestrian/LONGITUDINAL/Daytime/CPLA_50/_25km_h/@OEM_Predict" xmlDataType="string"/>
    </xmlCellPr>
  </singleXmlCell>
  <singleXmlCell id="4657" xr6:uid="{D26D525C-D69E-4F5D-991A-EB8679F4C9D1}" r="E53" connectionId="0">
    <xmlCellPr id="1" xr6:uid="{FFB9992D-9B19-4762-A2CA-F0EA311DEDFD}" uniqueName="Vimpact">
      <xmlPr mapId="7" xpath="/MAKE/PP/AEB_VRU/Pedestrian/LONGITUDINAL/Daytime/CPLA_50/_25km_h/@Vimpact" xmlDataType="decimal"/>
    </xmlCellPr>
  </singleXmlCell>
  <singleXmlCell id="4658" xr6:uid="{7C3C334A-B378-4D21-ABD1-480EBC9E8CEE}" r="F53" connectionId="0">
    <xmlCellPr id="1" xr6:uid="{2C939191-BB8A-46D6-93D1-0B1CA0EB2DDF}" uniqueName="Points">
      <xmlPr mapId="7" xpath="/MAKE/PP/AEB_VRU/Pedestrian/LONGITUDINAL/Daytime/CPLA_50/_25km_h/@Points" xmlDataType="decimal"/>
    </xmlCellPr>
  </singleXmlCell>
  <singleXmlCell id="4659" xr6:uid="{58A69572-6CCA-4F10-9CA5-6CA2C89A240A}" r="D54" connectionId="0">
    <xmlCellPr id="1" xr6:uid="{35FA980B-B609-4B25-BFBD-9EB6DBEEDADD}" uniqueName="OEM_Predict">
      <xmlPr mapId="7" xpath="/MAKE/PP/AEB_VRU/Pedestrian/LONGITUDINAL/Daytime/CPLA_50/_30km_h/@OEM_Predict" xmlDataType="string"/>
    </xmlCellPr>
  </singleXmlCell>
  <singleXmlCell id="4660" xr6:uid="{FFCF7353-AA1C-440B-87AF-79EDA8AE6307}" r="E54" connectionId="0">
    <xmlCellPr id="1" xr6:uid="{9D4A3941-1DB3-4FC8-A992-172D9AD4D37E}" uniqueName="Vimpact">
      <xmlPr mapId="7" xpath="/MAKE/PP/AEB_VRU/Pedestrian/LONGITUDINAL/Daytime/CPLA_50/_30km_h/@Vimpact" xmlDataType="decimal"/>
    </xmlCellPr>
  </singleXmlCell>
  <singleXmlCell id="4661" xr6:uid="{3A87FE71-6E2D-4EE0-BA75-B94BCE46CFC1}" r="F54" connectionId="0">
    <xmlCellPr id="1" xr6:uid="{73E194D7-D7F1-44B8-8887-3D105C508630}" uniqueName="Points">
      <xmlPr mapId="7" xpath="/MAKE/PP/AEB_VRU/Pedestrian/LONGITUDINAL/Daytime/CPLA_50/_30km_h/@Points" xmlDataType="decimal"/>
    </xmlCellPr>
  </singleXmlCell>
  <singleXmlCell id="4662" xr6:uid="{6535E3EE-C2D7-4C74-9A06-5B7C3C84214B}" r="D55" connectionId="0">
    <xmlCellPr id="1" xr6:uid="{8256CF0E-7E49-4C64-B563-2011724D3224}" uniqueName="OEM_Predict">
      <xmlPr mapId="7" xpath="/MAKE/PP/AEB_VRU/Pedestrian/LONGITUDINAL/Daytime/CPLA_50/_35km_h/@OEM_Predict" xmlDataType="string"/>
    </xmlCellPr>
  </singleXmlCell>
  <singleXmlCell id="4663" xr6:uid="{8EB98F97-821E-4C39-91BE-1C0609CD2833}" r="E55" connectionId="0">
    <xmlCellPr id="1" xr6:uid="{7E9BACB9-2E31-49EC-980A-9B5E72584ACD}" uniqueName="Vimpact">
      <xmlPr mapId="7" xpath="/MAKE/PP/AEB_VRU/Pedestrian/LONGITUDINAL/Daytime/CPLA_50/_35km_h/@Vimpact" xmlDataType="decimal"/>
    </xmlCellPr>
  </singleXmlCell>
  <singleXmlCell id="4664" xr6:uid="{64BA0F1F-603B-4E0A-A320-043F20668C10}" r="F55" connectionId="0">
    <xmlCellPr id="1" xr6:uid="{9D237D6D-1CEE-40A4-950A-5B18125850DA}" uniqueName="Points">
      <xmlPr mapId="7" xpath="/MAKE/PP/AEB_VRU/Pedestrian/LONGITUDINAL/Daytime/CPLA_50/_35km_h/@Points" xmlDataType="decimal"/>
    </xmlCellPr>
  </singleXmlCell>
  <singleXmlCell id="4665" xr6:uid="{398DC82A-B046-430C-8FBA-C0443353F971}" r="D56" connectionId="0">
    <xmlCellPr id="1" xr6:uid="{B0F4081F-DFF3-4F64-9AFB-F8513E19CE91}" uniqueName="OEM_Predict">
      <xmlPr mapId="7" xpath="/MAKE/PP/AEB_VRU/Pedestrian/LONGITUDINAL/Daytime/CPLA_50/_40km_h/@OEM_Predict" xmlDataType="string"/>
    </xmlCellPr>
  </singleXmlCell>
  <singleXmlCell id="4666" xr6:uid="{D3D81316-476A-4F13-9282-90477A801C29}" r="E56" connectionId="0">
    <xmlCellPr id="1" xr6:uid="{9077DC83-095D-47FE-AA1F-E9DC4378C5F2}" uniqueName="Vimpact">
      <xmlPr mapId="7" xpath="/MAKE/PP/AEB_VRU/Pedestrian/LONGITUDINAL/Daytime/CPLA_50/_40km_h/@Vimpact" xmlDataType="decimal"/>
    </xmlCellPr>
  </singleXmlCell>
  <singleXmlCell id="4667" xr6:uid="{0773CD4B-F37A-4E04-9952-3AF6565BA611}" r="F56" connectionId="0">
    <xmlCellPr id="1" xr6:uid="{7A25733F-1415-491F-973F-F0893BA53B0B}" uniqueName="Points">
      <xmlPr mapId="7" xpath="/MAKE/PP/AEB_VRU/Pedestrian/LONGITUDINAL/Daytime/CPLA_50/_40km_h/@Points" xmlDataType="decimal"/>
    </xmlCellPr>
  </singleXmlCell>
  <singleXmlCell id="4668" xr6:uid="{76E77A55-959A-470B-8FF6-09617629DB85}" r="D57" connectionId="0">
    <xmlCellPr id="1" xr6:uid="{F7F742F5-44A3-473E-8BD2-D502647B88A2}" uniqueName="OEM_Predict">
      <xmlPr mapId="7" xpath="/MAKE/PP/AEB_VRU/Pedestrian/LONGITUDINAL/Daytime/CPLA_50/_45km_h/@OEM_Predict" xmlDataType="string"/>
    </xmlCellPr>
  </singleXmlCell>
  <singleXmlCell id="4669" xr6:uid="{5F66794E-DF96-496A-B173-D4552CBB510B}" r="E57" connectionId="0">
    <xmlCellPr id="1" xr6:uid="{B4C35D7C-6379-4432-8645-7E1FCC846C8B}" uniqueName="Vimpact">
      <xmlPr mapId="7" xpath="/MAKE/PP/AEB_VRU/Pedestrian/LONGITUDINAL/Daytime/CPLA_50/_45km_h/@Vimpact" xmlDataType="decimal"/>
    </xmlCellPr>
  </singleXmlCell>
  <singleXmlCell id="4670" xr6:uid="{CD34D9AB-102F-4BA3-A608-3B80289A6497}" r="F57" connectionId="0">
    <xmlCellPr id="1" xr6:uid="{E461A26E-976A-481C-AD5B-35A3B40770D4}" uniqueName="Points">
      <xmlPr mapId="7" xpath="/MAKE/PP/AEB_VRU/Pedestrian/LONGITUDINAL/Daytime/CPLA_50/_45km_h/@Points" xmlDataType="decimal"/>
    </xmlCellPr>
  </singleXmlCell>
  <singleXmlCell id="4671" xr6:uid="{8C55F8F4-64A7-496D-9351-38EA1A571CEF}" r="D58" connectionId="0">
    <xmlCellPr id="1" xr6:uid="{64F75838-A4B3-4B73-8F7D-AA02B6E357B4}" uniqueName="OEM_Predict">
      <xmlPr mapId="7" xpath="/MAKE/PP/AEB_VRU/Pedestrian/LONGITUDINAL/Daytime/CPLA_50/_50km_h/@OEM_Predict" xmlDataType="string"/>
    </xmlCellPr>
  </singleXmlCell>
  <singleXmlCell id="4672" xr6:uid="{70471D6F-B51A-4C93-9164-335DED6FD1C1}" r="E58" connectionId="0">
    <xmlCellPr id="1" xr6:uid="{A6CBD6BB-0E15-4F05-B060-D138C67E202D}" uniqueName="Vimpact">
      <xmlPr mapId="7" xpath="/MAKE/PP/AEB_VRU/Pedestrian/LONGITUDINAL/Daytime/CPLA_50/_50km_h/@Vimpact" xmlDataType="decimal"/>
    </xmlCellPr>
  </singleXmlCell>
  <singleXmlCell id="4673" xr6:uid="{4C9AB68B-D225-41A6-94C6-54342D71974A}" r="F58" connectionId="0">
    <xmlCellPr id="1" xr6:uid="{CF484A20-49A8-4E4B-9025-33151B7A353A}" uniqueName="Points">
      <xmlPr mapId="7" xpath="/MAKE/PP/AEB_VRU/Pedestrian/LONGITUDINAL/Daytime/CPLA_50/_50km_h/@Points" xmlDataType="decimal"/>
    </xmlCellPr>
  </singleXmlCell>
  <singleXmlCell id="4674" xr6:uid="{91BFDFF6-64D6-45BC-94EC-3FE0C37BF795}" r="D59" connectionId="0">
    <xmlCellPr id="1" xr6:uid="{176785F6-6615-462F-B2DF-39DD1F3AA8FE}" uniqueName="OEM_Predict">
      <xmlPr mapId="7" xpath="/MAKE/PP/AEB_VRU/Pedestrian/LONGITUDINAL/Daytime/CPLA_50/_55km_h/@OEM_Predict" xmlDataType="string"/>
    </xmlCellPr>
  </singleXmlCell>
  <singleXmlCell id="4675" xr6:uid="{BB881CEC-07E5-4C90-904D-DEEA78C4806D}" r="E59" connectionId="0">
    <xmlCellPr id="1" xr6:uid="{ABF224AB-D8BF-47FC-824C-903E206CF620}" uniqueName="Vimpact">
      <xmlPr mapId="7" xpath="/MAKE/PP/AEB_VRU/Pedestrian/LONGITUDINAL/Daytime/CPLA_50/_55km_h/@Vimpact" xmlDataType="decimal"/>
    </xmlCellPr>
  </singleXmlCell>
  <singleXmlCell id="4676" xr6:uid="{CA5A34E4-4C54-45AC-9CEE-33662B2AF7AD}" r="F59" connectionId="0">
    <xmlCellPr id="1" xr6:uid="{BD3C4352-FC53-414B-AFD0-BC9A4B6A7040}" uniqueName="Points">
      <xmlPr mapId="7" xpath="/MAKE/PP/AEB_VRU/Pedestrian/LONGITUDINAL/Daytime/CPLA_50/_55km_h/@Points" xmlDataType="decimal"/>
    </xmlCellPr>
  </singleXmlCell>
  <singleXmlCell id="4677" xr6:uid="{DEF11326-8EA0-4519-A69C-32CEACE6DFC2}" r="D60" connectionId="0">
    <xmlCellPr id="1" xr6:uid="{50556037-AB2B-4709-A357-3971C0986B6B}" uniqueName="OEM_Predict">
      <xmlPr mapId="7" xpath="/MAKE/PP/AEB_VRU/Pedestrian/LONGITUDINAL/Daytime/CPLA_50/_60km_h/@OEM_Predict" xmlDataType="string"/>
    </xmlCellPr>
  </singleXmlCell>
  <singleXmlCell id="4678" xr6:uid="{E3DE7764-6682-41BA-8142-2A1EC84AC783}" r="E60" connectionId="0">
    <xmlCellPr id="1" xr6:uid="{2AFD2C39-37AD-4606-81F9-6DC1A3B65637}" uniqueName="Vimpact">
      <xmlPr mapId="7" xpath="/MAKE/PP/AEB_VRU/Pedestrian/LONGITUDINAL/Daytime/CPLA_50/_60km_h/@Vimpact" xmlDataType="decimal"/>
    </xmlCellPr>
  </singleXmlCell>
  <singleXmlCell id="4679" xr6:uid="{FAA5AC98-DA53-4667-B616-92E4B890DBC1}" r="F60" connectionId="0">
    <xmlCellPr id="1" xr6:uid="{32C06416-CE51-41B0-9258-A7D4B56AD5E5}" uniqueName="Points">
      <xmlPr mapId="7" xpath="/MAKE/PP/AEB_VRU/Pedestrian/LONGITUDINAL/Daytime/CPLA_50/_60km_h/@Points" xmlDataType="decimal"/>
    </xmlCellPr>
  </singleXmlCell>
  <singleXmlCell id="4683" xr6:uid="{2ACE068A-7AB3-49A4-B627-4D8317CE7002}" r="J52" connectionId="0">
    <xmlCellPr id="1" xr6:uid="{45987586-D4CB-4C79-A3E6-F2EDF0743F17}" uniqueName="OEM_Predict">
      <xmlPr mapId="7" xpath="/MAKE/PP/AEB_VRU/Pedestrian/LONGITUDINAL/Night-Time/CPLA_50/_20km_h/@OEM_Predict" xmlDataType="string"/>
    </xmlCellPr>
  </singleXmlCell>
  <singleXmlCell id="4684" xr6:uid="{26B4C472-C89C-4EC3-9C1F-7304CD6A3CC9}" r="K52" connectionId="0">
    <xmlCellPr id="1" xr6:uid="{946B7003-F1C8-4B93-BE29-35945879345E}" uniqueName="Vimpact">
      <xmlPr mapId="7" xpath="/MAKE/PP/AEB_VRU/Pedestrian/LONGITUDINAL/Night-Time/CPLA_50/_20km_h/@Vimpact" xmlDataType="decimal"/>
    </xmlCellPr>
  </singleXmlCell>
  <singleXmlCell id="4685" xr6:uid="{29FC3AA6-F7B4-48D1-95E8-991C49A8FB69}" r="L52" connectionId="0">
    <xmlCellPr id="1" xr6:uid="{BDF5D1C8-8EFB-4F13-845F-64B89C1A0A8F}" uniqueName="Points">
      <xmlPr mapId="7" xpath="/MAKE/PP/AEB_VRU/Pedestrian/LONGITUDINAL/Night-Time/CPLA_50/_20km_h/@Points" xmlDataType="decimal"/>
    </xmlCellPr>
  </singleXmlCell>
  <singleXmlCell id="4686" xr6:uid="{2F8D3D18-17CE-457D-B444-269B84E4C11E}" r="J53" connectionId="0">
    <xmlCellPr id="1" xr6:uid="{4AB90847-CC25-4E16-82EB-97110F3FA019}" uniqueName="OEM_Predict">
      <xmlPr mapId="7" xpath="/MAKE/PP/AEB_VRU/Pedestrian/LONGITUDINAL/Night-Time/CPLA_50/_25km_h/@OEM_Predict" xmlDataType="string"/>
    </xmlCellPr>
  </singleXmlCell>
  <singleXmlCell id="4687" xr6:uid="{3DA36545-BDB0-4EEF-8C40-487D75C95F24}" r="K53" connectionId="0">
    <xmlCellPr id="1" xr6:uid="{D6BF766B-A90C-4662-8AF2-87701B93790D}" uniqueName="Vimpact">
      <xmlPr mapId="7" xpath="/MAKE/PP/AEB_VRU/Pedestrian/LONGITUDINAL/Night-Time/CPLA_50/_25km_h/@Vimpact" xmlDataType="decimal"/>
    </xmlCellPr>
  </singleXmlCell>
  <singleXmlCell id="4688" xr6:uid="{B7E75AFD-997D-408B-BBC8-70E239537F5B}" r="L53" connectionId="0">
    <xmlCellPr id="1" xr6:uid="{950D653C-FA64-4074-AFEE-CF772A96D366}" uniqueName="Points">
      <xmlPr mapId="7" xpath="/MAKE/PP/AEB_VRU/Pedestrian/LONGITUDINAL/Night-Time/CPLA_50/_25km_h/@Points" xmlDataType="decimal"/>
    </xmlCellPr>
  </singleXmlCell>
  <singleXmlCell id="4689" xr6:uid="{C3F16A0D-C5B8-4BCF-BC09-00A1CE133E74}" r="J54" connectionId="0">
    <xmlCellPr id="1" xr6:uid="{D7FD37B3-2DEA-4FE8-AE99-0B2C58A7ED6C}" uniqueName="OEM_Predict">
      <xmlPr mapId="7" xpath="/MAKE/PP/AEB_VRU/Pedestrian/LONGITUDINAL/Night-Time/CPLA_50/_30km_h/@OEM_Predict" xmlDataType="string"/>
    </xmlCellPr>
  </singleXmlCell>
  <singleXmlCell id="4690" xr6:uid="{86447973-8C2B-4DB0-ABD6-1646172FBFC6}" r="K54" connectionId="0">
    <xmlCellPr id="1" xr6:uid="{C8071F06-B29F-4F34-9B19-1611CFE08107}" uniqueName="Vimpact">
      <xmlPr mapId="7" xpath="/MAKE/PP/AEB_VRU/Pedestrian/LONGITUDINAL/Night-Time/CPLA_50/_30km_h/@Vimpact" xmlDataType="decimal"/>
    </xmlCellPr>
  </singleXmlCell>
  <singleXmlCell id="4691" xr6:uid="{E571AC55-9461-46A3-B709-9CB67D7542F0}" r="L54" connectionId="0">
    <xmlCellPr id="1" xr6:uid="{6020B2A0-AC2F-433D-8825-BAA0531A82E1}" uniqueName="Points">
      <xmlPr mapId="7" xpath="/MAKE/PP/AEB_VRU/Pedestrian/LONGITUDINAL/Night-Time/CPLA_50/_30km_h/@Points" xmlDataType="decimal"/>
    </xmlCellPr>
  </singleXmlCell>
  <singleXmlCell id="4692" xr6:uid="{6EDF614A-7BAA-40E3-A25B-2557E192E8CB}" r="J55" connectionId="0">
    <xmlCellPr id="1" xr6:uid="{4520C97F-D72F-4FB6-889F-5F3F524443D9}" uniqueName="OEM_Predict">
      <xmlPr mapId="7" xpath="/MAKE/PP/AEB_VRU/Pedestrian/LONGITUDINAL/Night-Time/CPLA_50/_35km_h/@OEM_Predict" xmlDataType="string"/>
    </xmlCellPr>
  </singleXmlCell>
  <singleXmlCell id="4693" xr6:uid="{8325F62E-06A4-4FE4-99AD-D10AD917AA54}" r="K55" connectionId="0">
    <xmlCellPr id="1" xr6:uid="{A3FC9843-E240-4B57-91ED-689B0615BB7D}" uniqueName="Vimpact">
      <xmlPr mapId="7" xpath="/MAKE/PP/AEB_VRU/Pedestrian/LONGITUDINAL/Night-Time/CPLA_50/_35km_h/@Vimpact" xmlDataType="decimal"/>
    </xmlCellPr>
  </singleXmlCell>
  <singleXmlCell id="4694" xr6:uid="{12E0F542-3D06-4442-98F8-80F1D924AD18}" r="L55" connectionId="0">
    <xmlCellPr id="1" xr6:uid="{3FE46B5E-629F-462A-9348-D00B3CA499FD}" uniqueName="Points">
      <xmlPr mapId="7" xpath="/MAKE/PP/AEB_VRU/Pedestrian/LONGITUDINAL/Night-Time/CPLA_50/_35km_h/@Points" xmlDataType="decimal"/>
    </xmlCellPr>
  </singleXmlCell>
  <singleXmlCell id="4695" xr6:uid="{EDE1FCCA-5B53-4370-A09D-2D8AD317945B}" r="J56" connectionId="0">
    <xmlCellPr id="1" xr6:uid="{4B0F4A11-1DE3-4996-ABD0-CF50B3FAA19A}" uniqueName="OEM_Predict">
      <xmlPr mapId="7" xpath="/MAKE/PP/AEB_VRU/Pedestrian/LONGITUDINAL/Night-Time/CPLA_50/_40km_h/@OEM_Predict" xmlDataType="string"/>
    </xmlCellPr>
  </singleXmlCell>
  <singleXmlCell id="4696" xr6:uid="{9B2CC307-48E3-4551-9A6B-F44F419B8A7B}" r="K56" connectionId="0">
    <xmlCellPr id="1" xr6:uid="{39FEAD96-E260-4AF6-B272-52AF9E99E55A}" uniqueName="Vimpact">
      <xmlPr mapId="7" xpath="/MAKE/PP/AEB_VRU/Pedestrian/LONGITUDINAL/Night-Time/CPLA_50/_40km_h/@Vimpact" xmlDataType="decimal"/>
    </xmlCellPr>
  </singleXmlCell>
  <singleXmlCell id="4697" xr6:uid="{14E43E20-9693-4DAC-8D04-A116AF65D4E7}" r="L56" connectionId="0">
    <xmlCellPr id="1" xr6:uid="{94AC2D3B-3155-4678-B148-AB0799413665}" uniqueName="Points">
      <xmlPr mapId="7" xpath="/MAKE/PP/AEB_VRU/Pedestrian/LONGITUDINAL/Night-Time/CPLA_50/_40km_h/@Points" xmlDataType="decimal"/>
    </xmlCellPr>
  </singleXmlCell>
  <singleXmlCell id="4698" xr6:uid="{43F0867A-7191-4393-85EB-E422FD180A87}" r="J57" connectionId="0">
    <xmlCellPr id="1" xr6:uid="{A3712507-DE80-4A20-9DB4-8A9E3954E89F}" uniqueName="OEM_Predict">
      <xmlPr mapId="7" xpath="/MAKE/PP/AEB_VRU/Pedestrian/LONGITUDINAL/Night-Time/CPLA_50/_45km_h/@OEM_Predict" xmlDataType="string"/>
    </xmlCellPr>
  </singleXmlCell>
  <singleXmlCell id="4699" xr6:uid="{9E064B1A-D65C-4E0A-8A75-B07F9FD1117B}" r="K57" connectionId="0">
    <xmlCellPr id="1" xr6:uid="{F1D7532E-9BC1-495E-B169-72B463BE1C7D}" uniqueName="Vimpact">
      <xmlPr mapId="7" xpath="/MAKE/PP/AEB_VRU/Pedestrian/LONGITUDINAL/Night-Time/CPLA_50/_45km_h/@Vimpact" xmlDataType="decimal"/>
    </xmlCellPr>
  </singleXmlCell>
  <singleXmlCell id="4700" xr6:uid="{AEE2C759-0639-424E-9D79-DC1DC5B7092F}" r="L57" connectionId="0">
    <xmlCellPr id="1" xr6:uid="{95E9A30B-A1DA-4C96-8263-A63E6A98FF42}" uniqueName="Points">
      <xmlPr mapId="7" xpath="/MAKE/PP/AEB_VRU/Pedestrian/LONGITUDINAL/Night-Time/CPLA_50/_45km_h/@Points" xmlDataType="decimal"/>
    </xmlCellPr>
  </singleXmlCell>
  <singleXmlCell id="4701" xr6:uid="{F1AE6BC5-46C2-4003-97F4-8C126F1262D0}" r="J58" connectionId="0">
    <xmlCellPr id="1" xr6:uid="{7ACBEF17-D94A-4D4C-BEEE-046D7588F868}" uniqueName="OEM_Predict">
      <xmlPr mapId="7" xpath="/MAKE/PP/AEB_VRU/Pedestrian/LONGITUDINAL/Night-Time/CPLA_50/_50km_h/@OEM_Predict" xmlDataType="string"/>
    </xmlCellPr>
  </singleXmlCell>
  <singleXmlCell id="4702" xr6:uid="{DAAD3293-F4C7-4619-8BB5-7532485C686E}" r="K58" connectionId="0">
    <xmlCellPr id="1" xr6:uid="{304A783E-295F-47B8-9477-A5BED08B9A36}" uniqueName="Vimpact">
      <xmlPr mapId="7" xpath="/MAKE/PP/AEB_VRU/Pedestrian/LONGITUDINAL/Night-Time/CPLA_50/_50km_h/@Vimpact" xmlDataType="decimal"/>
    </xmlCellPr>
  </singleXmlCell>
  <singleXmlCell id="4703" xr6:uid="{0FCF4EFE-FCF5-41B3-B1CC-6B766B8CE0FC}" r="L58" connectionId="0">
    <xmlCellPr id="1" xr6:uid="{E447A6C7-1862-4121-AFE8-DF3C62B8288F}" uniqueName="Points">
      <xmlPr mapId="7" xpath="/MAKE/PP/AEB_VRU/Pedestrian/LONGITUDINAL/Night-Time/CPLA_50/_50km_h/@Points" xmlDataType="decimal"/>
    </xmlCellPr>
  </singleXmlCell>
  <singleXmlCell id="4704" xr6:uid="{6F76B089-C6BD-4B8E-8A37-19B3FD2532CE}" r="J59" connectionId="0">
    <xmlCellPr id="1" xr6:uid="{49CD2D7A-97E4-4B60-9E7D-6C28878726DD}" uniqueName="OEM_Predict">
      <xmlPr mapId="7" xpath="/MAKE/PP/AEB_VRU/Pedestrian/LONGITUDINAL/Night-Time/CPLA_50/_55km_h/@OEM_Predict" xmlDataType="string"/>
    </xmlCellPr>
  </singleXmlCell>
  <singleXmlCell id="4705" xr6:uid="{702F5A8B-2847-4273-A977-35D61281F668}" r="K59" connectionId="0">
    <xmlCellPr id="1" xr6:uid="{81A484A0-E691-4AF7-8184-D6F4C027CBB8}" uniqueName="Vimpact">
      <xmlPr mapId="7" xpath="/MAKE/PP/AEB_VRU/Pedestrian/LONGITUDINAL/Night-Time/CPLA_50/_55km_h/@Vimpact" xmlDataType="decimal"/>
    </xmlCellPr>
  </singleXmlCell>
  <singleXmlCell id="4706" xr6:uid="{BEB1DB28-C174-44EA-8D4D-74BA4166DF4C}" r="L59" connectionId="0">
    <xmlCellPr id="1" xr6:uid="{F270D675-AC59-4FD3-9157-446DE8C8F129}" uniqueName="Points">
      <xmlPr mapId="7" xpath="/MAKE/PP/AEB_VRU/Pedestrian/LONGITUDINAL/Night-Time/CPLA_50/_55km_h/@Points" xmlDataType="decimal"/>
    </xmlCellPr>
  </singleXmlCell>
  <singleXmlCell id="4707" xr6:uid="{37B86141-87CC-4443-BE39-BC4935A81C89}" r="J60" connectionId="0">
    <xmlCellPr id="1" xr6:uid="{352783D2-EE21-46E1-947E-452872154335}" uniqueName="OEM_Predict">
      <xmlPr mapId="7" xpath="/MAKE/PP/AEB_VRU/Pedestrian/LONGITUDINAL/Night-Time/CPLA_50/_60km_h/@OEM_Predict" xmlDataType="string"/>
    </xmlCellPr>
  </singleXmlCell>
  <singleXmlCell id="4708" xr6:uid="{24360E64-FEB5-4C89-8ED9-40C4DDAA2984}" r="K60" connectionId="0">
    <xmlCellPr id="1" xr6:uid="{08156CA7-EC43-4C48-87EB-65FD1A7E4900}" uniqueName="Vimpact">
      <xmlPr mapId="7" xpath="/MAKE/PP/AEB_VRU/Pedestrian/LONGITUDINAL/Night-Time/CPLA_50/_60km_h/@Vimpact" xmlDataType="decimal"/>
    </xmlCellPr>
  </singleXmlCell>
  <singleXmlCell id="4709" xr6:uid="{36614664-5A6C-49EB-B309-DDB430E0249C}" r="L60" connectionId="0">
    <xmlCellPr id="1" xr6:uid="{691883D9-61F4-4605-AA61-4795C1218532}" uniqueName="Points">
      <xmlPr mapId="7" xpath="/MAKE/PP/AEB_VRU/Pedestrian/LONGITUDINAL/Night-Time/CPLA_50/_60km_h/@Points" xmlDataType="decimal"/>
    </xmlCellPr>
  </singleXmlCell>
  <singleXmlCell id="4710" xr6:uid="{2E3DDE27-1676-4982-BD0A-DD3E56909DC8}" r="D73" connectionId="0">
    <xmlCellPr id="1" xr6:uid="{A4E5DFEE-A6BD-4FB8-A422-D0080DBD10B5}" uniqueName="opposite_points">
      <xmlPr mapId="7" xpath="/MAKE/PP/AEB_VRU/Pedestrian/TURNING/Daytime/@opposite_points" xmlDataType="decimal"/>
    </xmlCellPr>
  </singleXmlCell>
  <singleXmlCell id="4711" xr6:uid="{9503ECB2-9DDC-44BE-8A8F-3C303977A8C6}" r="J73" connectionId="0">
    <xmlCellPr id="1" xr6:uid="{64765ECA-1208-4BA0-A1A6-882B64EDD581}" uniqueName="same_points">
      <xmlPr mapId="7" xpath="/MAKE/PP/AEB_VRU/Pedestrian/TURNING/Daytime/@same_points" xmlDataType="decimal"/>
    </xmlCellPr>
  </singleXmlCell>
  <singleXmlCell id="4712" xr6:uid="{7AF6AD9D-4F7A-4B80-A2C4-9805F4125956}" r="D70" connectionId="0">
    <xmlCellPr id="1" xr6:uid="{812C019C-0052-4D58-B25B-CEBCC6B48386}" uniqueName="Vimpact">
      <xmlPr mapId="7" xpath="/MAKE/PP/AEB_VRU/Pedestrian/TURNING/Daytime/CPTA_far_opposite/_10km_h/@Vimpact" xmlDataType="decimal"/>
    </xmlCellPr>
  </singleXmlCell>
  <singleXmlCell id="4713" xr6:uid="{BD4F2E44-00EB-426B-89BF-B035575A69EC}" r="F70" connectionId="0">
    <xmlCellPr id="1" xr6:uid="{282067A1-AACB-4D95-9ABC-E81D53111B55}" uniqueName="Points">
      <xmlPr mapId="7" xpath="/MAKE/PP/AEB_VRU/Pedestrian/TURNING/Daytime/CPTA_far_opposite/_10km_h/@Points" xmlDataType="decimal"/>
    </xmlCellPr>
  </singleXmlCell>
  <singleXmlCell id="4714" xr6:uid="{786F2D7E-ABD7-4FB3-9507-33D5FBEFDDF0}" r="D71" connectionId="0">
    <xmlCellPr id="1" xr6:uid="{36035264-2073-4B4C-A2D0-79F9750FEC24}" uniqueName="Vimpact">
      <xmlPr mapId="7" xpath="/MAKE/PP/AEB_VRU/Pedestrian/TURNING/Daytime/CPTA_far_opposite/_15km_h/@Vimpact" xmlDataType="decimal"/>
    </xmlCellPr>
  </singleXmlCell>
  <singleXmlCell id="4715" xr6:uid="{8D883433-79BB-474D-8513-E4F7E9940701}" r="F71" connectionId="0">
    <xmlCellPr id="1" xr6:uid="{0C1723EA-695B-47D7-B6F1-273126DC0E5E}" uniqueName="Points">
      <xmlPr mapId="7" xpath="/MAKE/PP/AEB_VRU/Pedestrian/TURNING/Daytime/CPTA_far_opposite/_15km_h/@Points" xmlDataType="decimal"/>
    </xmlCellPr>
  </singleXmlCell>
  <singleXmlCell id="4716" xr6:uid="{DD2F4D62-2110-4C7F-ADE7-83D59108AE34}" r="D72" connectionId="0">
    <xmlCellPr id="1" xr6:uid="{DE2EC55D-301F-45E9-9277-DD4AD527EB9C}" uniqueName="Vimpact">
      <xmlPr mapId="7" xpath="/MAKE/PP/AEB_VRU/Pedestrian/TURNING/Daytime/CPTA_far_opposite/_20km_h/@Vimpact" xmlDataType="decimal"/>
    </xmlCellPr>
  </singleXmlCell>
  <singleXmlCell id="4717" xr6:uid="{E8EF4A0F-3B9F-4B5C-9527-77E1A0599A68}" r="F72" connectionId="0">
    <xmlCellPr id="1" xr6:uid="{88A5E428-2273-437D-8253-ABE15EDB8E17}" uniqueName="Points">
      <xmlPr mapId="7" xpath="/MAKE/PP/AEB_VRU/Pedestrian/TURNING/Daytime/CPTA_far_opposite/_20km_h/@Points" xmlDataType="decimal"/>
    </xmlCellPr>
  </singleXmlCell>
  <singleXmlCell id="4718" xr6:uid="{F505BA20-D113-4D4B-A7DA-6A7E78B18B60}" r="G70" connectionId="0">
    <xmlCellPr id="1" xr6:uid="{8265D819-305F-4E8D-9ACE-8F56D94BAA3B}" uniqueName="Vimpact">
      <xmlPr mapId="7" xpath="/MAKE/PP/AEB_VRU/Pedestrian/TURNING/Daytime/CPTA_near_opposite/_10km_h/@Vimpact" xmlDataType="decimal"/>
    </xmlCellPr>
  </singleXmlCell>
  <singleXmlCell id="4719" xr6:uid="{BD0EC8B6-95BE-4B02-8DA3-189052853D47}" r="I70" connectionId="0">
    <xmlCellPr id="1" xr6:uid="{153D6A6B-D05B-42F9-9B70-28A48EF8CD9B}" uniqueName="Points">
      <xmlPr mapId="7" xpath="/MAKE/PP/AEB_VRU/Pedestrian/TURNING/Daytime/CPTA_near_opposite/_10km_h/@Points" xmlDataType="decimal"/>
    </xmlCellPr>
  </singleXmlCell>
  <singleXmlCell id="4720" xr6:uid="{DE39B248-B938-4F79-BD75-60F908822E01}" r="J70" connectionId="0">
    <xmlCellPr id="1" xr6:uid="{BB41249C-1A27-4CB6-9AC6-752E91F97327}" uniqueName="Vimpact">
      <xmlPr mapId="7" xpath="/MAKE/PP/AEB_VRU/Pedestrian/TURNING/Daytime/CPTA_far_same/_10km_h/@Vimpact" xmlDataType="decimal"/>
    </xmlCellPr>
  </singleXmlCell>
  <singleXmlCell id="4721" xr6:uid="{94B3CABF-1499-4AC7-AF8D-C3F3020E55B5}" r="L70" connectionId="0">
    <xmlCellPr id="1" xr6:uid="{899B38B3-CCE6-401F-A6E5-E70C936D6EF4}" uniqueName="Points">
      <xmlPr mapId="7" xpath="/MAKE/PP/AEB_VRU/Pedestrian/TURNING/Daytime/CPTA_far_same/_10km_h/@Points" xmlDataType="decimal"/>
    </xmlCellPr>
  </singleXmlCell>
  <singleXmlCell id="4722" xr6:uid="{54AAC120-A595-4EB4-A4BE-27DD1FE56A55}" r="J71" connectionId="0">
    <xmlCellPr id="1" xr6:uid="{BA2E8061-BB9E-4629-990D-26AB5BCB2351}" uniqueName="Vimpact">
      <xmlPr mapId="7" xpath="/MAKE/PP/AEB_VRU/Pedestrian/TURNING/Daytime/CPTA_far_same/_15km_h/@Vimpact" xmlDataType="decimal"/>
    </xmlCellPr>
  </singleXmlCell>
  <singleXmlCell id="4723" xr6:uid="{E97B5975-FADD-478D-A19A-310B4AD9EC9B}" r="L71" connectionId="0">
    <xmlCellPr id="1" xr6:uid="{93FCBB62-0EAA-4016-90D9-648C6EB2FC5E}" uniqueName="Points">
      <xmlPr mapId="7" xpath="/MAKE/PP/AEB_VRU/Pedestrian/TURNING/Daytime/CPTA_far_same/_15km_h/@Points" xmlDataType="decimal"/>
    </xmlCellPr>
  </singleXmlCell>
  <singleXmlCell id="4724" xr6:uid="{A1426897-4DBE-448E-9D06-963715DA0100}" r="J72" connectionId="0">
    <xmlCellPr id="1" xr6:uid="{24C54BE8-8E02-46FA-ADBF-16E3F8938ACF}" uniqueName="Vimpact">
      <xmlPr mapId="7" xpath="/MAKE/PP/AEB_VRU/Pedestrian/TURNING/Daytime/CPTA_far_same/_20km_h/@Vimpact" xmlDataType="decimal"/>
    </xmlCellPr>
  </singleXmlCell>
  <singleXmlCell id="4725" xr6:uid="{797588C5-2CFA-429F-BD73-703BC57D4489}" r="L72" connectionId="0">
    <xmlCellPr id="1" xr6:uid="{E6EB3E0A-90DF-4BE3-AE05-E030C8D48B1C}" uniqueName="Points">
      <xmlPr mapId="7" xpath="/MAKE/PP/AEB_VRU/Pedestrian/TURNING/Daytime/CPTA_far_same/_20km_h/@Points" xmlDataType="decimal"/>
    </xmlCellPr>
  </singleXmlCell>
  <singleXmlCell id="4726" xr6:uid="{C0EDA8BC-B101-4598-A2D2-F2C427B37ACF}" r="M70" connectionId="0">
    <xmlCellPr id="1" xr6:uid="{DDB1C60C-1143-483F-B3C5-BE5018C29488}" uniqueName="Vimpact">
      <xmlPr mapId="7" xpath="/MAKE/PP/AEB_VRU/Pedestrian/TURNING/Daytime/CPTA_near_same/_10km_h/@Vimpact" xmlDataType="decimal"/>
    </xmlCellPr>
  </singleXmlCell>
  <singleXmlCell id="4727" xr6:uid="{3FA9543A-848E-41AD-AFAD-300D6402970A}" r="O70" connectionId="0">
    <xmlCellPr id="1" xr6:uid="{FDACD188-19B4-4E4D-9599-3E03A65E1FDF}" uniqueName="Points">
      <xmlPr mapId="7" xpath="/MAKE/PP/AEB_VRU/Pedestrian/TURNING/Daytime/CPTA_near_same/_10km_h/@Points" xmlDataType="decimal"/>
    </xmlCellPr>
  </singleXmlCell>
  <singleXmlCell id="4730" xr6:uid="{B58A393A-6A4D-41E4-A443-C65F50F227D6}" r="D78" connectionId="0">
    <xmlCellPr id="1" xr6:uid="{49AE299F-D00F-4128-BC5F-358315D24863}" uniqueName="Vimpact">
      <xmlPr mapId="7" xpath="/MAKE/PP/AEB_VRU/Pedestrian/REVERSE/CPRs-25/_4km_h/@Vimpact" xmlDataType="decimal"/>
    </xmlCellPr>
  </singleXmlCell>
  <singleXmlCell id="4731" xr6:uid="{E97FE29C-59B6-4986-8874-C1C601923318}" r="F78" connectionId="0">
    <xmlCellPr id="1" xr6:uid="{3606640B-95F9-4930-9CAB-78B942DA3970}" uniqueName="Pass_Fail">
      <xmlPr mapId="7" xpath="/MAKE/PP/AEB_VRU/Pedestrian/REVERSE/CPRs-25/_4km_h/@Pass_Fail" xmlDataType="string"/>
    </xmlCellPr>
  </singleXmlCell>
  <singleXmlCell id="4732" xr6:uid="{A9110AB9-1EC2-472D-9309-FD2AC64C73AF}" r="D79" connectionId="0">
    <xmlCellPr id="1" xr6:uid="{2A360966-9F9A-44C5-9CDA-0BD05EFD08E8}" uniqueName="Vimpact">
      <xmlPr mapId="7" xpath="/MAKE/PP/AEB_VRU/Pedestrian/REVERSE/CPRs-25/_8km_h/@Vimpact" xmlDataType="decimal"/>
    </xmlCellPr>
  </singleXmlCell>
  <singleXmlCell id="4733" xr6:uid="{5885C285-C2D6-4E1C-916B-D396D1DAE318}" r="F79" connectionId="0">
    <xmlCellPr id="1" xr6:uid="{9B8F6CFA-A438-410D-9CA4-DD44FACE29C9}" uniqueName="Pass_Fail">
      <xmlPr mapId="7" xpath="/MAKE/PP/AEB_VRU/Pedestrian/REVERSE/CPRs-25/_8km_h/@Pass_Fail" xmlDataType="string"/>
    </xmlCellPr>
  </singleXmlCell>
  <singleXmlCell id="4734" xr6:uid="{1B212BDC-FF63-4248-B9D8-769CEFB2C968}" r="G78" connectionId="0">
    <xmlCellPr id="1" xr6:uid="{2AC33075-FA17-4B53-A2AD-74507FD78FA7}" uniqueName="Vimpact">
      <xmlPr mapId="7" xpath="/MAKE/PP/AEB_VRU/Pedestrian/REVERSE/CPRs-50/_4km_h/@Vimpact" xmlDataType="decimal"/>
    </xmlCellPr>
  </singleXmlCell>
  <singleXmlCell id="4735" xr6:uid="{F02E1771-53B5-4668-95FA-9DB22C5F235D}" r="I78" connectionId="0">
    <xmlCellPr id="1" xr6:uid="{FCDA0524-D7FB-4194-B9A7-255DC0C855E0}" uniqueName="Pass_Fail">
      <xmlPr mapId="7" xpath="/MAKE/PP/AEB_VRU/Pedestrian/REVERSE/CPRs-50/_4km_h/@Pass_Fail" xmlDataType="string"/>
    </xmlCellPr>
  </singleXmlCell>
  <singleXmlCell id="4736" xr6:uid="{92406F82-E981-4FB2-A240-D1340AEA94CB}" r="G79" connectionId="0">
    <xmlCellPr id="1" xr6:uid="{96328E91-5EB7-4806-A469-E9B5C5A32A91}" uniqueName="Vimpact">
      <xmlPr mapId="7" xpath="/MAKE/PP/AEB_VRU/Pedestrian/REVERSE/CPRs-50/_8km_h/@Vimpact" xmlDataType="decimal"/>
    </xmlCellPr>
  </singleXmlCell>
  <singleXmlCell id="4737" xr6:uid="{E50EBF8B-4513-4690-BBFD-AEC531230505}" r="I79" connectionId="0">
    <xmlCellPr id="1" xr6:uid="{6329771E-C55E-48F9-9A42-C328CD1F3D3B}" uniqueName="Pass_Fail">
      <xmlPr mapId="7" xpath="/MAKE/PP/AEB_VRU/Pedestrian/REVERSE/CPRs-50/_8km_h/@Pass_Fail" xmlDataType="string"/>
    </xmlCellPr>
  </singleXmlCell>
  <singleXmlCell id="4738" xr6:uid="{6A2F3A8A-C400-4307-BCA3-BE8056B00E2B}" r="J78" connectionId="0">
    <xmlCellPr id="1" xr6:uid="{DA04CE26-A3BF-4B9E-87F1-C95EDD8FF262}" uniqueName="Vimpact">
      <xmlPr mapId="7" xpath="/MAKE/PP/AEB_VRU/Pedestrian/REVERSE/CPRs-75/_4km_h/@Vimpact" xmlDataType="decimal"/>
    </xmlCellPr>
  </singleXmlCell>
  <singleXmlCell id="4739" xr6:uid="{2BA2C245-B055-48E6-B519-F23198A742F2}" r="L78" connectionId="0">
    <xmlCellPr id="1" xr6:uid="{1E637967-93C0-4DDE-962B-3DA632F25B43}" uniqueName="Pass_Fail">
      <xmlPr mapId="7" xpath="/MAKE/PP/AEB_VRU/Pedestrian/REVERSE/CPRs-75/_4km_h/@Pass_Fail" xmlDataType="string"/>
    </xmlCellPr>
  </singleXmlCell>
  <singleXmlCell id="4740" xr6:uid="{08EDAE4D-A302-490A-B599-CE86FCA55D6D}" r="J79" connectionId="0">
    <xmlCellPr id="1" xr6:uid="{46AB25B6-8460-4F3A-B2F1-B88BFD376D29}" uniqueName="Vimpact">
      <xmlPr mapId="7" xpath="/MAKE/PP/AEB_VRU/Pedestrian/REVERSE/CPRs-75/_8km_h/@Vimpact" xmlDataType="decimal"/>
    </xmlCellPr>
  </singleXmlCell>
  <singleXmlCell id="4741" xr6:uid="{6F9D4A32-49B1-4346-BC97-F77590CF6A31}" r="L79" connectionId="0">
    <xmlCellPr id="1" xr6:uid="{49759D52-A67A-41CF-95D4-66D03CF3CC8E}" uniqueName="Pass_Fail">
      <xmlPr mapId="7" xpath="/MAKE/PP/AEB_VRU/Pedestrian/REVERSE/CPRs-75/_8km_h/@Pass_Fail" xmlDataType="string"/>
    </xmlCellPr>
  </singleXmlCell>
  <singleXmlCell id="4742" xr6:uid="{04744039-E487-4ABF-967F-70C822058037}" r="G85" connectionId="0">
    <xmlCellPr id="1" xr6:uid="{1CD13D05-7552-4B26-9F5E-E8E5016DF6D8}" uniqueName="CPFA_50">
      <xmlPr mapId="7" xpath="/MAKE/PP/AEB_VRU/Pedestrian/SUMMARY/Day/@CPFA_50" xmlDataType="decimal"/>
    </xmlCellPr>
  </singleXmlCell>
  <singleXmlCell id="4743" xr6:uid="{B852FECC-2A73-4848-96D7-E758EF38BC9F}" r="G86" connectionId="0">
    <xmlCellPr id="1" xr6:uid="{03778B29-4D3F-461A-ABE5-81BC9810C974}" uniqueName="CPNA_25">
      <xmlPr mapId="7" xpath="/MAKE/PP/AEB_VRU/Pedestrian/SUMMARY/Day/@CPNA_25" xmlDataType="decimal"/>
    </xmlCellPr>
  </singleXmlCell>
  <singleXmlCell id="4744" xr6:uid="{6B8591E5-AFF4-4314-ACA8-E2F4BC896C3F}" r="G87" connectionId="0">
    <xmlCellPr id="1" xr6:uid="{C82C5630-4EDB-473C-A6D5-9B584110E1EA}" uniqueName="CPNA_75">
      <xmlPr mapId="7" xpath="/MAKE/PP/AEB_VRU/Pedestrian/SUMMARY/Day/@CPNA_75" xmlDataType="decimal"/>
    </xmlCellPr>
  </singleXmlCell>
  <singleXmlCell id="4745" xr6:uid="{A9572398-1DF6-4796-81A7-5C0DC2F05F2B}" r="G88" connectionId="0">
    <xmlCellPr id="1" xr6:uid="{B77A8CDD-58BF-4743-B9E9-283E2412C70B}" uniqueName="CPNCO_50">
      <xmlPr mapId="7" xpath="/MAKE/PP/AEB_VRU/Pedestrian/SUMMARY/Day/@CPNCO_50" xmlDataType="decimal"/>
    </xmlCellPr>
  </singleXmlCell>
  <singleXmlCell id="4746" xr6:uid="{5CED3A28-5D01-4133-B786-B9EB97383E5D}" r="G89" connectionId="0">
    <xmlCellPr id="1" xr6:uid="{E3B2394B-26E6-4E8E-AE0C-48F117ED5B87}" uniqueName="CPLA">
      <xmlPr mapId="7" xpath="/MAKE/PP/AEB_VRU/Pedestrian/SUMMARY/Day/@CPLA" xmlDataType="decimal"/>
    </xmlCellPr>
  </singleXmlCell>
  <singleXmlCell id="4747" xr6:uid="{705EA24D-933A-4D6F-863B-935CBEC01DD8}" r="G90" connectionId="0">
    <xmlCellPr id="1" xr6:uid="{9BF44146-82E0-440A-BE2E-830407420505}" uniqueName="CPTA">
      <xmlPr mapId="7" xpath="/MAKE/PP/AEB_VRU/Pedestrian/SUMMARY/Day/@CPTA" xmlDataType="decimal"/>
    </xmlCellPr>
  </singleXmlCell>
  <singleXmlCell id="4748" xr6:uid="{040AEF4F-BAA2-4E84-8ABC-E9DED2F9026F}" r="G91" connectionId="0">
    <xmlCellPr id="1" xr6:uid="{9D1E6AA9-6AEF-411E-8B51-A46483AA8772}" uniqueName="CPRA">
      <xmlPr mapId="7" xpath="/MAKE/PP/AEB_VRU/Pedestrian/SUMMARY/Day/@CPRA" xmlDataType="decimal"/>
    </xmlCellPr>
  </singleXmlCell>
  <singleXmlCell id="4749" xr6:uid="{4A60AD27-3057-43F5-8AD8-3886A560A22F}" r="M85" connectionId="0">
    <xmlCellPr id="1" xr6:uid="{DC6886BB-6116-4855-908B-F170B981D630}" uniqueName="CPFA_50">
      <xmlPr mapId="7" xpath="/MAKE/PP/AEB_VRU/Pedestrian/SUMMARY/Night/@CPFA_50" xmlDataType="decimal"/>
    </xmlCellPr>
  </singleXmlCell>
  <singleXmlCell id="4750" xr6:uid="{6344AA0E-006A-42F1-A134-25FA0A911CF9}" r="M86" connectionId="0">
    <xmlCellPr id="1" xr6:uid="{7A40F9EB-50D0-4642-A26F-7F25A641EB28}" uniqueName="CPNA_25">
      <xmlPr mapId="7" xpath="/MAKE/PP/AEB_VRU/Pedestrian/SUMMARY/Night/@CPNA_25" xmlDataType="decimal"/>
    </xmlCellPr>
  </singleXmlCell>
  <singleXmlCell id="4751" xr6:uid="{C3BF8A64-2751-4F2F-9D19-5C6EF3AB757B}" r="M87" connectionId="0">
    <xmlCellPr id="1" xr6:uid="{194A163D-76CA-49DE-8F33-9B05A745B166}" uniqueName="CPNA_75">
      <xmlPr mapId="7" xpath="/MAKE/PP/AEB_VRU/Pedestrian/SUMMARY/Night/@CPNA_75" xmlDataType="decimal"/>
    </xmlCellPr>
  </singleXmlCell>
  <singleXmlCell id="4752" xr6:uid="{0C61FA88-B544-4070-BE58-BE8EC99F6350}" r="M88" connectionId="0">
    <xmlCellPr id="1" xr6:uid="{E01A0161-B9C1-481C-A8BF-D139F38C0D02}" uniqueName="CPNCO_50">
      <xmlPr mapId="7" xpath="/MAKE/PP/AEB_VRU/Pedestrian/SUMMARY/Night/@CPNCO_50" xmlDataType="decimal"/>
    </xmlCellPr>
  </singleXmlCell>
  <singleXmlCell id="4753" xr6:uid="{063A15FD-8286-4147-B83E-A7B64C6909D0}" r="M89" connectionId="0">
    <xmlCellPr id="1" xr6:uid="{527BAFED-B559-4787-86C5-F0556B0E808A}" uniqueName="CPLA">
      <xmlPr mapId="7" xpath="/MAKE/PP/AEB_VRU/Pedestrian/SUMMARY/Night/@CPLA" xmlDataType="decimal"/>
    </xmlCellPr>
  </singleXmlCell>
  <singleXmlCell id="4385" xr6:uid="{FB81FCC0-044F-464C-BA3A-514A59082BDC}" r="D32" connectionId="0">
    <xmlCellPr id="1" xr6:uid="{8AB86853-1FD6-473F-8D23-EED876738D48}" uniqueName="Score">
      <xmlPr mapId="7" xpath="/MAKE/PP/AEB_VRU/Pedestrian/CROSSING/Daytime/CPFA_50/@Score" xmlDataType="decimal"/>
    </xmlCellPr>
  </singleXmlCell>
  <singleXmlCell id="4419" xr6:uid="{2F7D4EC9-89FC-41F9-93B8-C3C3D0377DC1}" r="G32" connectionId="0">
    <xmlCellPr id="1" xr6:uid="{5F2D5471-8362-4B7C-9F80-6FE6E470578A}" uniqueName="Score">
      <xmlPr mapId="7" xpath="/MAKE/PP/AEB_VRU/Pedestrian/CROSSING/Daytime/CPNA_25/@Score" xmlDataType="decimal"/>
    </xmlCellPr>
  </singleXmlCell>
  <singleXmlCell id="4420" xr6:uid="{10F4B925-3193-4A95-B014-77E0CB32FF7F}" r="J32" connectionId="0">
    <xmlCellPr id="1" xr6:uid="{81CF79C0-EA49-4B02-B941-395A6A78C637}" uniqueName="Score">
      <xmlPr mapId="7" xpath="/MAKE/PP/AEB_VRU/Pedestrian/CROSSING/Daytime/CPNA_75/@Score" xmlDataType="decimal"/>
    </xmlCellPr>
  </singleXmlCell>
  <singleXmlCell id="4553" xr6:uid="{A4487BD2-BC73-4B4B-861B-53D0C77D98B3}" r="M32" connectionId="0">
    <xmlCellPr id="1" xr6:uid="{F62A692C-918A-4512-BEFD-DF07D8BE58B0}" uniqueName="Score">
      <xmlPr mapId="7" xpath="/MAKE/PP/AEB_VRU/Pedestrian/CROSSING/Daytime/CPNCO_50/@Score" xmlDataType="decimal"/>
    </xmlCellPr>
  </singleXmlCell>
  <singleXmlCell id="4680" xr6:uid="{3D1FF2E1-715D-4622-97D8-6247C5C8E568}" r="D47" connectionId="0">
    <xmlCellPr id="1" xr6:uid="{82420225-FA67-444E-8DEE-C513F20C60F1}" uniqueName="Score">
      <xmlPr mapId="7" xpath="/MAKE/PP/AEB_VRU/Pedestrian/CROSSING/Night-Time/CPFA_50/@Score" xmlDataType="decimal"/>
    </xmlCellPr>
  </singleXmlCell>
  <singleXmlCell id="4681" xr6:uid="{36E41B1A-BEAC-48C8-906B-26035BAFB03A}" r="G47" connectionId="0">
    <xmlCellPr id="1" xr6:uid="{09B49730-BFBF-4E92-9B10-41A302BE9990}" uniqueName="Score">
      <xmlPr mapId="7" xpath="/MAKE/PP/AEB_VRU/Pedestrian/CROSSING/Night-Time/CPNA_25/@Score" xmlDataType="decimal"/>
    </xmlCellPr>
  </singleXmlCell>
  <singleXmlCell id="4682" xr6:uid="{4C6FDA0F-DACD-4BA8-A321-972141D49AC4}" r="J47" connectionId="0">
    <xmlCellPr id="1" xr6:uid="{5D13D859-CA2F-4DEA-B6B9-2488E0613953}" uniqueName="Score">
      <xmlPr mapId="7" xpath="/MAKE/PP/AEB_VRU/Pedestrian/CROSSING/Night-Time/CPNA_75/@Score" xmlDataType="decimal"/>
    </xmlCellPr>
  </singleXmlCell>
  <singleXmlCell id="4728" xr6:uid="{30037486-FBAA-4EBE-B010-AA6834E58ABB}" r="M47" connectionId="0">
    <xmlCellPr id="1" xr6:uid="{B4B0C9CB-34D3-44DA-A544-3401F8438B59}" uniqueName="Score">
      <xmlPr mapId="7" xpath="/MAKE/PP/AEB_VRU/Pedestrian/CROSSING/Night-Time/CPNCO_50/@Score" xmlDataType="decimal"/>
    </xmlCellPr>
  </singleXmlCell>
  <singleXmlCell id="4754" xr6:uid="{700BA645-950B-49CF-A0A8-58F6D40FC25C}" r="D65" connectionId="0">
    <xmlCellPr id="1" xr6:uid="{BE58B263-57F7-4016-A3B4-FAD1D6403ADD}" uniqueName="Score">
      <xmlPr mapId="7" xpath="/MAKE/PP/AEB_VRU/Pedestrian/LONGITUDINAL/Daytime/CPLA_50/@Score" xmlDataType="decimal"/>
    </xmlCellPr>
  </singleXmlCell>
  <singleXmlCell id="4755" xr6:uid="{A82FDD4A-62B7-4FF7-8BB6-AF1B3C65064D}" r="G65" connectionId="0">
    <xmlCellPr id="1" xr6:uid="{68C782C3-35EC-44D2-9611-3E7EA3504E33}" uniqueName="Score">
      <xmlPr mapId="7" xpath="/MAKE/PP/AEB_VRU/Pedestrian/LONGITUDINAL/Daytime/CPLA_25/@Score" xmlDataType="decimal"/>
    </xmlCellPr>
  </singleXmlCell>
  <singleXmlCell id="4756" xr6:uid="{3B3E3A19-8A44-433C-B842-5D202AC42863}" r="G58" connectionId="0">
    <xmlCellPr id="1" xr6:uid="{E1C5B4AA-0FDF-450E-AA1D-520EAC3A03B8}" uniqueName="TTfcw">
      <xmlPr mapId="7" xpath="/MAKE/PP/AEB_VRU/Pedestrian/LONGITUDINAL/Daytime/CPLA_25/_50km_h/@TTfcw" xmlDataType="decimal"/>
    </xmlCellPr>
  </singleXmlCell>
  <singleXmlCell id="4757" xr6:uid="{762A5EEA-8B26-4B01-B26C-E32BABD7C5A6}" r="I58" connectionId="0">
    <xmlCellPr id="1" xr6:uid="{AC026953-8709-4CBE-A263-D5670C94D553}" uniqueName="Points">
      <xmlPr mapId="7" xpath="/MAKE/PP/AEB_VRU/Pedestrian/LONGITUDINAL/Daytime/CPLA_25/_50km_h/@Points" xmlDataType="decimal"/>
    </xmlCellPr>
  </singleXmlCell>
  <singleXmlCell id="4758" xr6:uid="{6B9DE52E-328C-47F7-9B09-D7E22BEC6B3D}" r="G59" connectionId="0">
    <xmlCellPr id="1" xr6:uid="{FAAA0FB0-8235-465C-994D-FEDE2235A4F5}" uniqueName="TTfcw">
      <xmlPr mapId="7" xpath="/MAKE/PP/AEB_VRU/Pedestrian/LONGITUDINAL/Daytime/CPLA_25/_55km_h/@TTfcw" xmlDataType="decimal"/>
    </xmlCellPr>
  </singleXmlCell>
  <singleXmlCell id="4759" xr6:uid="{1301AF9F-CB71-4ACA-8896-82155473BB21}" r="I59" connectionId="0">
    <xmlCellPr id="1" xr6:uid="{456E6FAA-618E-45D5-B911-5EB8F1101F5D}" uniqueName="Points">
      <xmlPr mapId="7" xpath="/MAKE/PP/AEB_VRU/Pedestrian/LONGITUDINAL/Daytime/CPLA_25/_55km_h/@Points" xmlDataType="decimal"/>
    </xmlCellPr>
  </singleXmlCell>
  <singleXmlCell id="4760" xr6:uid="{40CFB4F0-5942-42E7-830D-73575996022C}" r="G60" connectionId="0">
    <xmlCellPr id="1" xr6:uid="{DBDBBCBA-2CE7-41ED-9B02-9CAE3D2749AA}" uniqueName="TTfcw">
      <xmlPr mapId="7" xpath="/MAKE/PP/AEB_VRU/Pedestrian/LONGITUDINAL/Daytime/CPLA_25/_60km_h/@TTfcw" xmlDataType="decimal"/>
    </xmlCellPr>
  </singleXmlCell>
  <singleXmlCell id="4761" xr6:uid="{9A6E4D86-D5B2-4EDD-817F-AFE755F9E702}" r="I60" connectionId="0">
    <xmlCellPr id="1" xr6:uid="{40C712B6-E946-4CC4-99E2-E15F96D4B91D}" uniqueName="Points">
      <xmlPr mapId="7" xpath="/MAKE/PP/AEB_VRU/Pedestrian/LONGITUDINAL/Daytime/CPLA_25/_60km_h/@Points" xmlDataType="decimal"/>
    </xmlCellPr>
  </singleXmlCell>
  <singleXmlCell id="4762" xr6:uid="{F85EA4AB-15BC-4493-A719-D971C90D3C51}" r="G61" connectionId="0">
    <xmlCellPr id="1" xr6:uid="{ECA61405-38B7-493D-BB18-410285D8164F}" uniqueName="TTfcw">
      <xmlPr mapId="7" xpath="/MAKE/PP/AEB_VRU/Pedestrian/LONGITUDINAL/Daytime/CPLA_25/_65km_h/@TTfcw" xmlDataType="decimal"/>
    </xmlCellPr>
  </singleXmlCell>
  <singleXmlCell id="4763" xr6:uid="{708B021A-803C-45D9-9723-826A3B8889E7}" r="I61" connectionId="0">
    <xmlCellPr id="1" xr6:uid="{E9105394-63B2-4FA3-A2FC-5DFFA81C994A}" uniqueName="Points">
      <xmlPr mapId="7" xpath="/MAKE/PP/AEB_VRU/Pedestrian/LONGITUDINAL/Daytime/CPLA_25/_65km_h/@Points" xmlDataType="decimal"/>
    </xmlCellPr>
  </singleXmlCell>
  <singleXmlCell id="4764" xr6:uid="{F7677D98-9544-4D67-938A-065ABCB167FA}" r="G62" connectionId="0">
    <xmlCellPr id="1" xr6:uid="{B4A8C785-BE84-4D1F-8E00-40ABE63B9F71}" uniqueName="TTfcw">
      <xmlPr mapId="7" xpath="/MAKE/PP/AEB_VRU/Pedestrian/LONGITUDINAL/Daytime/CPLA_25/_70km_h/@TTfcw" xmlDataType="decimal"/>
    </xmlCellPr>
  </singleXmlCell>
  <singleXmlCell id="4765" xr6:uid="{60D7B127-FE1B-42C8-9C49-7BC72891CCF7}" r="I62" connectionId="0">
    <xmlCellPr id="1" xr6:uid="{88BF0DB8-3115-413E-893B-BFBF65C8012C}" uniqueName="Points">
      <xmlPr mapId="7" xpath="/MAKE/PP/AEB_VRU/Pedestrian/LONGITUDINAL/Daytime/CPLA_25/_70km_h/@Points" xmlDataType="decimal"/>
    </xmlCellPr>
  </singleXmlCell>
  <singleXmlCell id="4766" xr6:uid="{748417B3-4B72-47D1-A94C-039CAA2A1D66}" r="G63" connectionId="0">
    <xmlCellPr id="1" xr6:uid="{7B7D0769-36D8-49BB-A4B9-DF0903D396A0}" uniqueName="TTfcw">
      <xmlPr mapId="7" xpath="/MAKE/PP/AEB_VRU/Pedestrian/LONGITUDINAL/Daytime/CPLA_25/_75km_h/@TTfcw" xmlDataType="decimal"/>
    </xmlCellPr>
  </singleXmlCell>
  <singleXmlCell id="4767" xr6:uid="{9856157D-C7A1-43E0-80E7-7D4DEE65EB8B}" r="I63" connectionId="0">
    <xmlCellPr id="1" xr6:uid="{AEF1FBA0-88C1-43E0-87B0-5464EFB124FD}" uniqueName="Points">
      <xmlPr mapId="7" xpath="/MAKE/PP/AEB_VRU/Pedestrian/LONGITUDINAL/Daytime/CPLA_25/_75km_h/@Points" xmlDataType="decimal"/>
    </xmlCellPr>
  </singleXmlCell>
  <singleXmlCell id="4768" xr6:uid="{25AF6239-BC70-4BCF-802E-6A575E6425FC}" r="G64" connectionId="0">
    <xmlCellPr id="1" xr6:uid="{A7276E56-26CB-4B4B-A925-34455AE5A402}" uniqueName="TTfcw">
      <xmlPr mapId="7" xpath="/MAKE/PP/AEB_VRU/Pedestrian/LONGITUDINAL/Daytime/CPLA_25/_80km_h/@TTfcw" xmlDataType="decimal"/>
    </xmlCellPr>
  </singleXmlCell>
  <singleXmlCell id="4769" xr6:uid="{3E0D95D8-3F2B-4A1D-8F88-68D09A9DB419}" r="I64" connectionId="0">
    <xmlCellPr id="1" xr6:uid="{C0DD5A7F-715B-4710-8ABB-65CC30DD250B}" uniqueName="Points">
      <xmlPr mapId="7" xpath="/MAKE/PP/AEB_VRU/Pedestrian/LONGITUDINAL/Daytime/CPLA_25/_80km_h/@Points" xmlDataType="decimal"/>
    </xmlCellPr>
  </singleXmlCell>
  <singleXmlCell id="4770" xr6:uid="{9938E147-2809-4FFF-9D28-43AB1C4625C4}" r="J65" connectionId="0">
    <xmlCellPr id="1" xr6:uid="{8D44806E-C032-409A-93AA-AD2AE982E319}" uniqueName="Score">
      <xmlPr mapId="7" xpath="/MAKE/PP/AEB_VRU/Pedestrian/LONGITUDINAL/Night-Time/CPLA_50/@Score" xmlDataType="decimal"/>
    </xmlCellPr>
  </singleXmlCell>
  <singleXmlCell id="4771" xr6:uid="{0FEAC7AF-0285-4FA8-90C5-D645BE4A357C}" r="M65" connectionId="0">
    <xmlCellPr id="1" xr6:uid="{4803ABF5-5D02-437F-9C9E-290B975A5566}" uniqueName="Score">
      <xmlPr mapId="7" xpath="/MAKE/PP/AEB_VRU/Pedestrian/LONGITUDINAL/Night-Time/CPLA_25/@Score" xmlDataType="decimal"/>
    </xmlCellPr>
  </singleXmlCell>
  <singleXmlCell id="4772" xr6:uid="{EC311BE9-E537-492A-9697-36F598AC976D}" r="M58" connectionId="0">
    <xmlCellPr id="1" xr6:uid="{C1D97D27-6924-4CC2-AB93-7A56669A834D}" uniqueName="TTfcw">
      <xmlPr mapId="7" xpath="/MAKE/PP/AEB_VRU/Pedestrian/LONGITUDINAL/Night-Time/CPLA_25/_50km_h/@TTfcw" xmlDataType="decimal"/>
    </xmlCellPr>
  </singleXmlCell>
  <singleXmlCell id="4773" xr6:uid="{CA1531E0-DE0C-43A4-818F-3E990E95017E}" r="O58" connectionId="0">
    <xmlCellPr id="1" xr6:uid="{6D7DD6C7-A2DC-4723-A9AB-467694CB20F7}" uniqueName="Points">
      <xmlPr mapId="7" xpath="/MAKE/PP/AEB_VRU/Pedestrian/LONGITUDINAL/Night-Time/CPLA_25/_50km_h/@Points" xmlDataType="decimal"/>
    </xmlCellPr>
  </singleXmlCell>
  <singleXmlCell id="4774" xr6:uid="{802D15C3-18FD-4D53-AE1A-355EFD948F89}" r="M59" connectionId="0">
    <xmlCellPr id="1" xr6:uid="{7DCA4A69-604F-4CDD-AE94-7CCED8C0CF9C}" uniqueName="TTfcw">
      <xmlPr mapId="7" xpath="/MAKE/PP/AEB_VRU/Pedestrian/LONGITUDINAL/Night-Time/CPLA_25/_55km_h/@TTfcw" xmlDataType="decimal"/>
    </xmlCellPr>
  </singleXmlCell>
  <singleXmlCell id="4775" xr6:uid="{ED04ED33-E092-461B-8720-8AA7CC8AAD34}" r="O59" connectionId="0">
    <xmlCellPr id="1" xr6:uid="{0903CAF2-4B67-4DFF-AB25-AFC31014DBA5}" uniqueName="Points">
      <xmlPr mapId="7" xpath="/MAKE/PP/AEB_VRU/Pedestrian/LONGITUDINAL/Night-Time/CPLA_25/_55km_h/@Points" xmlDataType="decimal"/>
    </xmlCellPr>
  </singleXmlCell>
  <singleXmlCell id="4776" xr6:uid="{6C387DF9-0F63-441D-96FA-F1A9F7783A8C}" r="M60" connectionId="0">
    <xmlCellPr id="1" xr6:uid="{0B91B49F-25F1-4F05-9A68-4C429938F0EA}" uniqueName="TTfcw">
      <xmlPr mapId="7" xpath="/MAKE/PP/AEB_VRU/Pedestrian/LONGITUDINAL/Night-Time/CPLA_25/_60km_h/@TTfcw" xmlDataType="decimal"/>
    </xmlCellPr>
  </singleXmlCell>
  <singleXmlCell id="4777" xr6:uid="{993C645C-14AD-4AF1-91D1-118EAED824F6}" r="O60" connectionId="0">
    <xmlCellPr id="1" xr6:uid="{41E333D6-BD57-4B92-9F86-D3916E374924}" uniqueName="Points">
      <xmlPr mapId="7" xpath="/MAKE/PP/AEB_VRU/Pedestrian/LONGITUDINAL/Night-Time/CPLA_25/_60km_h/@Points" xmlDataType="decimal"/>
    </xmlCellPr>
  </singleXmlCell>
  <singleXmlCell id="4778" xr6:uid="{EB19F294-02A8-41BF-9D39-94C36EFB267F}" r="M61" connectionId="0">
    <xmlCellPr id="1" xr6:uid="{0270EEE2-D31C-4755-B1DD-41D2E2A7434D}" uniqueName="TTfcw">
      <xmlPr mapId="7" xpath="/MAKE/PP/AEB_VRU/Pedestrian/LONGITUDINAL/Night-Time/CPLA_25/_65km_h/@TTfcw" xmlDataType="decimal"/>
    </xmlCellPr>
  </singleXmlCell>
  <singleXmlCell id="4779" xr6:uid="{6A29DC20-3B53-473D-B04F-ECED17F1CAAF}" r="O61" connectionId="0">
    <xmlCellPr id="1" xr6:uid="{7AE78C02-AFDF-4D77-9FD7-034E50927CFE}" uniqueName="Points">
      <xmlPr mapId="7" xpath="/MAKE/PP/AEB_VRU/Pedestrian/LONGITUDINAL/Night-Time/CPLA_25/_65km_h/@Points" xmlDataType="decimal"/>
    </xmlCellPr>
  </singleXmlCell>
  <singleXmlCell id="4780" xr6:uid="{8F7315C3-E5C9-4C5D-91C4-A99D2B39B03F}" r="M62" connectionId="0">
    <xmlCellPr id="1" xr6:uid="{6A9DD536-329B-4AE6-993A-D1CA9F1BF4C1}" uniqueName="TTfcw">
      <xmlPr mapId="7" xpath="/MAKE/PP/AEB_VRU/Pedestrian/LONGITUDINAL/Night-Time/CPLA_25/_70km_h/@TTfcw" xmlDataType="decimal"/>
    </xmlCellPr>
  </singleXmlCell>
  <singleXmlCell id="4781" xr6:uid="{3E0A7DD8-4E6C-451A-8242-02B63FD1888E}" r="O62" connectionId="0">
    <xmlCellPr id="1" xr6:uid="{B6299F9E-D237-4760-BEB2-2B45BD1919CD}" uniqueName="Points">
      <xmlPr mapId="7" xpath="/MAKE/PP/AEB_VRU/Pedestrian/LONGITUDINAL/Night-Time/CPLA_25/_70km_h/@Points" xmlDataType="decimal"/>
    </xmlCellPr>
  </singleXmlCell>
  <singleXmlCell id="4782" xr6:uid="{68091489-7817-425F-AF0D-94EC58875F75}" r="M63" connectionId="0">
    <xmlCellPr id="1" xr6:uid="{5DDB6425-003A-4A26-85AB-BD490B960841}" uniqueName="TTfcw">
      <xmlPr mapId="7" xpath="/MAKE/PP/AEB_VRU/Pedestrian/LONGITUDINAL/Night-Time/CPLA_25/_75km_h/@TTfcw" xmlDataType="decimal"/>
    </xmlCellPr>
  </singleXmlCell>
  <singleXmlCell id="4783" xr6:uid="{98D56A98-8F07-4917-A260-228523A93743}" r="O63" connectionId="0">
    <xmlCellPr id="1" xr6:uid="{CB1015E9-0E77-4645-8740-99BCC90ED3CF}" uniqueName="Points">
      <xmlPr mapId="7" xpath="/MAKE/PP/AEB_VRU/Pedestrian/LONGITUDINAL/Night-Time/CPLA_25/_75km_h/@Points" xmlDataType="decimal"/>
    </xmlCellPr>
  </singleXmlCell>
  <singleXmlCell id="4784" xr6:uid="{6D162E91-A1C3-4862-A44A-A74F45AEABCC}" r="M64" connectionId="0">
    <xmlCellPr id="1" xr6:uid="{CF707963-1834-4ABB-89EF-438424B526D1}" uniqueName="TTfcw">
      <xmlPr mapId="7" xpath="/MAKE/PP/AEB_VRU/Pedestrian/LONGITUDINAL/Night-Time/CPLA_25/_80km_h/@TTfcw" xmlDataType="decimal"/>
    </xmlCellPr>
  </singleXmlCell>
  <singleXmlCell id="4785" xr6:uid="{8AD79D52-68D9-482B-AF47-358235C2DBEE}" r="O64" connectionId="0">
    <xmlCellPr id="1" xr6:uid="{73D5B9BC-BE9D-41C8-BDDD-E76CD8A59319}" uniqueName="Points">
      <xmlPr mapId="7" xpath="/MAKE/PP/AEB_VRU/Pedestrian/LONGITUDINAL/Night-Time/CPLA_25/_80km_h/@Points" xmlDataType="decimal"/>
    </xmlCellPr>
  </singleXmlCell>
  <singleXmlCell id="4786" xr6:uid="{918BCF01-F2C9-4DD2-916B-1A76938FD7B6}" r="M78" connectionId="0">
    <xmlCellPr id="1" xr6:uid="{CF5287A9-2633-456A-ADDB-78E1D9BE04B8}" uniqueName="Vimpact">
      <xmlPr mapId="7" xpath="/MAKE/PP/AEB_VRU/Pedestrian/REVERSE/CPRm-50/_4km_h/@Vimpact" xmlDataType="decimal"/>
    </xmlCellPr>
  </singleXmlCell>
  <singleXmlCell id="4787" xr6:uid="{15453829-16AC-4424-8649-830225DBCA5A}" r="O78" connectionId="0">
    <xmlCellPr id="1" xr6:uid="{1CA1D945-E980-43DE-86EB-1234570A2B40}" uniqueName="Points">
      <xmlPr mapId="7" xpath="/MAKE/PP/AEB_VRU/Pedestrian/REVERSE/CPRm-50/_4km_h/@Points" xmlDataType="decimal"/>
    </xmlCellPr>
  </singleXmlCell>
  <singleXmlCell id="4788" xr6:uid="{C4D74849-436C-4223-87C1-0B1CA07CBEA4}" r="M79" connectionId="0">
    <xmlCellPr id="1" xr6:uid="{760F406B-E233-4174-8F6A-82CAAF9766FB}" uniqueName="Vimpact">
      <xmlPr mapId="7" xpath="/MAKE/PP/AEB_VRU/Pedestrian/REVERSE/CPRm-50/_8km_h/@Vimpact" xmlDataType="decimal"/>
    </xmlCellPr>
  </singleXmlCell>
  <singleXmlCell id="4789" xr6:uid="{42525A8F-DDBA-4803-B222-25230AD80076}" r="O79" connectionId="0">
    <xmlCellPr id="1" xr6:uid="{93524273-47E4-43D8-A324-269D5F0C47EA}" uniqueName="Points">
      <xmlPr mapId="7" xpath="/MAKE/PP/AEB_VRU/Pedestrian/REVERSE/CPRm-50/_8km_h/@Points" xmlDataType="decimal"/>
    </xmlCellPr>
  </singleXmlCell>
</singleXmlCells>
</file>

<file path=xl/tables/tableSingleCells17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4729" xr6:uid="{A1FFE48A-9C18-4F43-942E-D262C460AB16}" r="D31" connectionId="0">
    <xmlCellPr id="1" xr6:uid="{ADEB8710-2882-4E56-8CFD-4842FD1C749E}" uniqueName="Score">
      <xmlPr mapId="7" xpath="/MAKE/PP/AEB_VRU/Cyclist/CROSSING/Daytime/CBFA_50/@Score" xmlDataType="decimal"/>
    </xmlCellPr>
  </singleXmlCell>
  <singleXmlCell id="4790" xr6:uid="{7E6DDF27-A749-42AC-90C9-D8C328DAFEED}" r="D20" connectionId="0">
    <xmlCellPr id="1" xr6:uid="{C0A4FB38-D10D-40A7-8D45-94C057120267}" uniqueName="OEM_Predict">
      <xmlPr mapId="7" xpath="/MAKE/PP/AEB_VRU/Cyclist/CROSSING/Daytime/CBFA_50/_10km_h/@OEM_Predict" xmlDataType="string"/>
    </xmlCellPr>
  </singleXmlCell>
  <singleXmlCell id="4791" xr6:uid="{EB8BF254-0FCE-4B6B-B103-2979BED6CAFB}" r="E20" connectionId="0">
    <xmlCellPr id="1" xr6:uid="{49CE478F-505C-42CA-BBFE-564752FF1F67}" uniqueName="Vimpact">
      <xmlPr mapId="7" xpath="/MAKE/PP/AEB_VRU/Cyclist/CROSSING/Daytime/CBFA_50/_10km_h/@Vimpact" xmlDataType="decimal"/>
    </xmlCellPr>
  </singleXmlCell>
  <singleXmlCell id="4792" xr6:uid="{73F35BEE-34F8-4D35-9CAF-25B8D9E428B2}" r="F20" connectionId="0">
    <xmlCellPr id="1" xr6:uid="{DEF6A9B3-60C3-4E5C-8D3D-866C2CA3CC4C}" uniqueName="Points">
      <xmlPr mapId="7" xpath="/MAKE/PP/AEB_VRU/Cyclist/CROSSING/Daytime/CBFA_50/_10km_h/@Points" xmlDataType="decimal"/>
    </xmlCellPr>
  </singleXmlCell>
  <singleXmlCell id="4793" xr6:uid="{0AD6D14A-0AF3-4AD0-B32F-0610B8C97933}" r="D21" connectionId="0">
    <xmlCellPr id="1" xr6:uid="{3F38D65E-BE82-4EBC-B17A-DDE350FA7B9E}" uniqueName="OEM_Predict">
      <xmlPr mapId="7" xpath="/MAKE/PP/AEB_VRU/Cyclist/CROSSING/Daytime/CBFA_50/_15km_h/@OEM_Predict" xmlDataType="string"/>
    </xmlCellPr>
  </singleXmlCell>
  <singleXmlCell id="4794" xr6:uid="{B8AD036E-0AED-4B8E-BB26-D30ABBF2235B}" r="E21" connectionId="0">
    <xmlCellPr id="1" xr6:uid="{0490BB75-BAE9-4A6F-9FFE-24D67B75C618}" uniqueName="Vimpact">
      <xmlPr mapId="7" xpath="/MAKE/PP/AEB_VRU/Cyclist/CROSSING/Daytime/CBFA_50/_15km_h/@Vimpact" xmlDataType="decimal"/>
    </xmlCellPr>
  </singleXmlCell>
  <singleXmlCell id="4795" xr6:uid="{F57DB4CB-A6F4-4273-850C-79CB60FF8EB3}" r="F21" connectionId="0">
    <xmlCellPr id="1" xr6:uid="{1F477A77-624B-457A-A251-B05760FF7C04}" uniqueName="Points">
      <xmlPr mapId="7" xpath="/MAKE/PP/AEB_VRU/Cyclist/CROSSING/Daytime/CBFA_50/_15km_h/@Points" xmlDataType="decimal"/>
    </xmlCellPr>
  </singleXmlCell>
  <singleXmlCell id="4796" xr6:uid="{A8D0E960-5534-41E3-9854-92A3B64D0BFA}" r="D22" connectionId="0">
    <xmlCellPr id="1" xr6:uid="{811A0B33-3B6D-4DA2-8347-E636529BD08B}" uniqueName="OEM_Predict">
      <xmlPr mapId="7" xpath="/MAKE/PP/AEB_VRU/Cyclist/CROSSING/Daytime/CBFA_50/_20km_h/@OEM_Predict" xmlDataType="string"/>
    </xmlCellPr>
  </singleXmlCell>
  <singleXmlCell id="4797" xr6:uid="{9AA964B1-25F8-47D5-8A7C-1030E8D32506}" r="E22" connectionId="0">
    <xmlCellPr id="1" xr6:uid="{B3710B32-20C0-49C7-8CF3-80B826FDF65E}" uniqueName="Vimpact">
      <xmlPr mapId="7" xpath="/MAKE/PP/AEB_VRU/Cyclist/CROSSING/Daytime/CBFA_50/_20km_h/@Vimpact" xmlDataType="decimal"/>
    </xmlCellPr>
  </singleXmlCell>
  <singleXmlCell id="4798" xr6:uid="{0B8C21C0-8C36-4F6A-925C-C52701349F46}" r="F22" connectionId="0">
    <xmlCellPr id="1" xr6:uid="{3D1ABFEA-6CE2-4968-A70B-9F4F01899463}" uniqueName="Points">
      <xmlPr mapId="7" xpath="/MAKE/PP/AEB_VRU/Cyclist/CROSSING/Daytime/CBFA_50/_20km_h/@Points" xmlDataType="decimal"/>
    </xmlCellPr>
  </singleXmlCell>
  <singleXmlCell id="4799" xr6:uid="{C4746766-D8E8-4509-9621-D543448AC4D5}" r="D23" connectionId="0">
    <xmlCellPr id="1" xr6:uid="{FF2569AD-4E6F-4FD7-B31E-B704FC7A84DB}" uniqueName="OEM_Predict">
      <xmlPr mapId="7" xpath="/MAKE/PP/AEB_VRU/Cyclist/CROSSING/Daytime/CBFA_50/_25km_h/@OEM_Predict" xmlDataType="string"/>
    </xmlCellPr>
  </singleXmlCell>
  <singleXmlCell id="4800" xr6:uid="{9EA46609-999F-4E0C-9F05-E378369AE024}" r="E23" connectionId="0">
    <xmlCellPr id="1" xr6:uid="{5246B856-2A13-4645-94F9-EAA111D07A93}" uniqueName="Vimpact">
      <xmlPr mapId="7" xpath="/MAKE/PP/AEB_VRU/Cyclist/CROSSING/Daytime/CBFA_50/_25km_h/@Vimpact" xmlDataType="decimal"/>
    </xmlCellPr>
  </singleXmlCell>
  <singleXmlCell id="4801" xr6:uid="{4639DC47-1BE1-48FA-A06C-841F1A9027E7}" r="F23" connectionId="0">
    <xmlCellPr id="1" xr6:uid="{5B9CC25C-A9C6-4D00-9E92-0A087676591B}" uniqueName="Points">
      <xmlPr mapId="7" xpath="/MAKE/PP/AEB_VRU/Cyclist/CROSSING/Daytime/CBFA_50/_25km_h/@Points" xmlDataType="decimal"/>
    </xmlCellPr>
  </singleXmlCell>
  <singleXmlCell id="4802" xr6:uid="{66BAA2F8-77BD-424F-98B3-C6C08FFB39A9}" r="D24" connectionId="0">
    <xmlCellPr id="1" xr6:uid="{1F4A1762-F17C-4428-A8E1-1D2FEFCA809B}" uniqueName="OEM_Predict">
      <xmlPr mapId="7" xpath="/MAKE/PP/AEB_VRU/Cyclist/CROSSING/Daytime/CBFA_50/_30km_h/@OEM_Predict" xmlDataType="string"/>
    </xmlCellPr>
  </singleXmlCell>
  <singleXmlCell id="4803" xr6:uid="{1141D8D6-31E2-461D-BBED-926586DFC5AF}" r="E24" connectionId="0">
    <xmlCellPr id="1" xr6:uid="{A151D1A0-65FF-427D-A032-81300A327D0A}" uniqueName="Vimpact">
      <xmlPr mapId="7" xpath="/MAKE/PP/AEB_VRU/Cyclist/CROSSING/Daytime/CBFA_50/_30km_h/@Vimpact" xmlDataType="decimal"/>
    </xmlCellPr>
  </singleXmlCell>
  <singleXmlCell id="4804" xr6:uid="{A8D1BBFD-1398-46EF-8916-BEFBBAF51573}" r="F24" connectionId="0">
    <xmlCellPr id="1" xr6:uid="{9071B557-64F9-458E-9E16-E7604115B2C1}" uniqueName="Points">
      <xmlPr mapId="7" xpath="/MAKE/PP/AEB_VRU/Cyclist/CROSSING/Daytime/CBFA_50/_30km_h/@Points" xmlDataType="decimal"/>
    </xmlCellPr>
  </singleXmlCell>
  <singleXmlCell id="4805" xr6:uid="{EA74806A-1A77-4DA5-9384-154B9603E0AA}" r="D25" connectionId="0">
    <xmlCellPr id="1" xr6:uid="{6FF997BF-94C8-4608-8DA3-CD0121C6F101}" uniqueName="OEM_Predict">
      <xmlPr mapId="7" xpath="/MAKE/PP/AEB_VRU/Cyclist/CROSSING/Daytime/CBFA_50/_35km_h/@OEM_Predict" xmlDataType="string"/>
    </xmlCellPr>
  </singleXmlCell>
  <singleXmlCell id="4806" xr6:uid="{DD9C53CA-0C88-4B53-A560-BCDEE091556B}" r="E25" connectionId="0">
    <xmlCellPr id="1" xr6:uid="{2A53F977-93AB-446B-98C5-1D8D1D162F89}" uniqueName="Vimpact">
      <xmlPr mapId="7" xpath="/MAKE/PP/AEB_VRU/Cyclist/CROSSING/Daytime/CBFA_50/_35km_h/@Vimpact" xmlDataType="decimal"/>
    </xmlCellPr>
  </singleXmlCell>
  <singleXmlCell id="4807" xr6:uid="{2EE92974-B314-486C-805F-1F7B8A957B35}" r="F25" connectionId="0">
    <xmlCellPr id="1" xr6:uid="{EB13F2D2-FBC9-45E2-8399-1F9C3F82A094}" uniqueName="Points">
      <xmlPr mapId="7" xpath="/MAKE/PP/AEB_VRU/Cyclist/CROSSING/Daytime/CBFA_50/_35km_h/@Points" xmlDataType="decimal"/>
    </xmlCellPr>
  </singleXmlCell>
  <singleXmlCell id="4808" xr6:uid="{77B65D05-642B-4D19-889C-0AB0D2639385}" r="D26" connectionId="0">
    <xmlCellPr id="1" xr6:uid="{CAE4DC84-30D2-4B09-A191-72B40A2AED00}" uniqueName="OEM_Predict">
      <xmlPr mapId="7" xpath="/MAKE/PP/AEB_VRU/Cyclist/CROSSING/Daytime/CBFA_50/_40km_h/@OEM_Predict" xmlDataType="string"/>
    </xmlCellPr>
  </singleXmlCell>
  <singleXmlCell id="4809" xr6:uid="{FCE0A50E-CFB5-45AD-97F4-B5C7141EF2C2}" r="E26" connectionId="0">
    <xmlCellPr id="1" xr6:uid="{A77AB2B2-587F-46AE-9832-EF4DBBDEECCF}" uniqueName="Vimpact">
      <xmlPr mapId="7" xpath="/MAKE/PP/AEB_VRU/Cyclist/CROSSING/Daytime/CBFA_50/_40km_h/@Vimpact" xmlDataType="decimal"/>
    </xmlCellPr>
  </singleXmlCell>
  <singleXmlCell id="4810" xr6:uid="{527C58E9-6D15-4B88-989A-C4AF934E9790}" r="F26" connectionId="0">
    <xmlCellPr id="1" xr6:uid="{97DC57C8-FD81-4FCF-B6F7-81958F8FD239}" uniqueName="Points">
      <xmlPr mapId="7" xpath="/MAKE/PP/AEB_VRU/Cyclist/CROSSING/Daytime/CBFA_50/_40km_h/@Points" xmlDataType="decimal"/>
    </xmlCellPr>
  </singleXmlCell>
  <singleXmlCell id="4811" xr6:uid="{2F53F2C0-3739-4696-A0AF-48FE0454D1BE}" r="D27" connectionId="0">
    <xmlCellPr id="1" xr6:uid="{E50E82EE-94AF-457D-9F15-E3A4A501937A}" uniqueName="OEM_Predict">
      <xmlPr mapId="7" xpath="/MAKE/PP/AEB_VRU/Cyclist/CROSSING/Daytime/CBFA_50/_45km_h/@OEM_Predict" xmlDataType="string"/>
    </xmlCellPr>
  </singleXmlCell>
  <singleXmlCell id="4812" xr6:uid="{4C002880-640A-447F-B620-1058465D3C9E}" r="E27" connectionId="0">
    <xmlCellPr id="1" xr6:uid="{D4F1D980-A3E7-4999-995A-DF141DD36894}" uniqueName="Vimpact">
      <xmlPr mapId="7" xpath="/MAKE/PP/AEB_VRU/Cyclist/CROSSING/Daytime/CBFA_50/_45km_h/@Vimpact" xmlDataType="decimal"/>
    </xmlCellPr>
  </singleXmlCell>
  <singleXmlCell id="4813" xr6:uid="{2B963770-BC7A-4F65-9DFC-2334F891D4AC}" r="F27" connectionId="0">
    <xmlCellPr id="1" xr6:uid="{0AF8047F-7FAE-4975-AA3F-898B6F796A12}" uniqueName="Points">
      <xmlPr mapId="7" xpath="/MAKE/PP/AEB_VRU/Cyclist/CROSSING/Daytime/CBFA_50/_45km_h/@Points" xmlDataType="decimal"/>
    </xmlCellPr>
  </singleXmlCell>
  <singleXmlCell id="4814" xr6:uid="{88FF28B6-57EC-4F9A-957F-62D4FFF38957}" r="D28" connectionId="0">
    <xmlCellPr id="1" xr6:uid="{4E971CC4-FEE8-498B-826F-390759272972}" uniqueName="OEM_Predict">
      <xmlPr mapId="7" xpath="/MAKE/PP/AEB_VRU/Cyclist/CROSSING/Daytime/CBFA_50/_50km_h/@OEM_Predict" xmlDataType="string"/>
    </xmlCellPr>
  </singleXmlCell>
  <singleXmlCell id="4815" xr6:uid="{ABDC0E0C-8CDD-4B84-8658-0567E9E11DF1}" r="E28" connectionId="0">
    <xmlCellPr id="1" xr6:uid="{213F840D-0469-44FC-BD55-6A4451677124}" uniqueName="Vimpact">
      <xmlPr mapId="7" xpath="/MAKE/PP/AEB_VRU/Cyclist/CROSSING/Daytime/CBFA_50/_50km_h/@Vimpact" xmlDataType="decimal"/>
    </xmlCellPr>
  </singleXmlCell>
  <singleXmlCell id="4816" xr6:uid="{DFB2A317-3FD3-4A78-8134-54F96EF3E76E}" r="F28" connectionId="0">
    <xmlCellPr id="1" xr6:uid="{7622E327-03C7-424F-9145-480B8A13CECF}" uniqueName="Points">
      <xmlPr mapId="7" xpath="/MAKE/PP/AEB_VRU/Cyclist/CROSSING/Daytime/CBFA_50/_50km_h/@Points" xmlDataType="decimal"/>
    </xmlCellPr>
  </singleXmlCell>
  <singleXmlCell id="4817" xr6:uid="{E01D9728-36F5-4C2E-AE1F-F1D0F4BCB099}" r="D29" connectionId="0">
    <xmlCellPr id="1" xr6:uid="{F350572A-3D76-4697-A773-0D69E82EA5ED}" uniqueName="OEM_Predict">
      <xmlPr mapId="7" xpath="/MAKE/PP/AEB_VRU/Cyclist/CROSSING/Daytime/CBFA_50/_55km_h/@OEM_Predict" xmlDataType="string"/>
    </xmlCellPr>
  </singleXmlCell>
  <singleXmlCell id="4818" xr6:uid="{E123FE04-2ED5-46B1-B50C-B9DA974D2AA9}" r="E29" connectionId="0">
    <xmlCellPr id="1" xr6:uid="{2AC22E67-0664-44FB-B952-C1BB7FB65669}" uniqueName="Vimpact">
      <xmlPr mapId="7" xpath="/MAKE/PP/AEB_VRU/Cyclist/CROSSING/Daytime/CBFA_50/_55km_h/@Vimpact" xmlDataType="decimal"/>
    </xmlCellPr>
  </singleXmlCell>
  <singleXmlCell id="4819" xr6:uid="{31DCC132-3BAE-49E1-A221-4C9D42942C51}" r="F29" connectionId="0">
    <xmlCellPr id="1" xr6:uid="{F8BAFC5F-0696-465C-9D84-D586A14F0E9D}" uniqueName="Points">
      <xmlPr mapId="7" xpath="/MAKE/PP/AEB_VRU/Cyclist/CROSSING/Daytime/CBFA_50/_55km_h/@Points" xmlDataType="decimal"/>
    </xmlCellPr>
  </singleXmlCell>
  <singleXmlCell id="4820" xr6:uid="{EB5E1512-C71B-42E2-8D8D-9C10674EE252}" r="D30" connectionId="0">
    <xmlCellPr id="1" xr6:uid="{51041AF9-B09E-45D3-912E-08DA5B91A1EE}" uniqueName="OEM_Predict">
      <xmlPr mapId="7" xpath="/MAKE/PP/AEB_VRU/Cyclist/CROSSING/Daytime/CBFA_50/_60km_h/@OEM_Predict" xmlDataType="string"/>
    </xmlCellPr>
  </singleXmlCell>
  <singleXmlCell id="4821" xr6:uid="{7E34B752-A1E6-43AE-A2ED-563601CA4688}" r="E30" connectionId="0">
    <xmlCellPr id="1" xr6:uid="{8253332C-2952-479D-9CD9-14C470022EE5}" uniqueName="Vimpact">
      <xmlPr mapId="7" xpath="/MAKE/PP/AEB_VRU/Cyclist/CROSSING/Daytime/CBFA_50/_60km_h/@Vimpact" xmlDataType="decimal"/>
    </xmlCellPr>
  </singleXmlCell>
  <singleXmlCell id="4822" xr6:uid="{60C954AB-887F-4C44-AB46-0A5BF5D07A6C}" r="F30" connectionId="0">
    <xmlCellPr id="1" xr6:uid="{F79D33E4-1422-4EDC-AC5C-EE69067029C1}" uniqueName="Points">
      <xmlPr mapId="7" xpath="/MAKE/PP/AEB_VRU/Cyclist/CROSSING/Daytime/CBFA_50/_60km_h/@Points" xmlDataType="decimal"/>
    </xmlCellPr>
  </singleXmlCell>
  <singleXmlCell id="4823" xr6:uid="{9401C6B0-5DC1-466E-9265-4DE78EE727F7}" r="G31" connectionId="0">
    <xmlCellPr id="1" xr6:uid="{C326B0BB-D76A-41F7-A69B-048A187441F6}" uniqueName="Score">
      <xmlPr mapId="7" xpath="/MAKE/PP/AEB_VRU/Cyclist/CROSSING/Daytime/CBNA_50/@Score" xmlDataType="decimal"/>
    </xmlCellPr>
  </singleXmlCell>
  <singleXmlCell id="4824" xr6:uid="{EE8DA4E3-C1FC-4675-9DF8-CE9E1A4D7C9C}" r="G20" connectionId="0">
    <xmlCellPr id="1" xr6:uid="{62F158CF-DD78-4F84-8B57-7324DB97FBAD}" uniqueName="OEM_Predict">
      <xmlPr mapId="7" xpath="/MAKE/PP/AEB_VRU/Cyclist/CROSSING/Daytime/CBNA_50/_10km_h/@OEM_Predict" xmlDataType="string"/>
    </xmlCellPr>
  </singleXmlCell>
  <singleXmlCell id="4825" xr6:uid="{E06AB999-41FF-401C-8655-A828D1CE7CC8}" r="H20" connectionId="0">
    <xmlCellPr id="1" xr6:uid="{B818E0AE-C87D-407F-BEF2-006F7A700514}" uniqueName="Vimpact">
      <xmlPr mapId="7" xpath="/MAKE/PP/AEB_VRU/Cyclist/CROSSING/Daytime/CBNA_50/_10km_h/@Vimpact" xmlDataType="decimal"/>
    </xmlCellPr>
  </singleXmlCell>
  <singleXmlCell id="4826" xr6:uid="{9B84DCCA-6CFD-4515-8D0C-43382A1D7D9E}" r="I20" connectionId="0">
    <xmlCellPr id="1" xr6:uid="{1A12D0AA-A450-454D-B3B9-5050BB3267B9}" uniqueName="Points">
      <xmlPr mapId="7" xpath="/MAKE/PP/AEB_VRU/Cyclist/CROSSING/Daytime/CBNA_50/_10km_h/@Points" xmlDataType="decimal"/>
    </xmlCellPr>
  </singleXmlCell>
  <singleXmlCell id="4827" xr6:uid="{DF940881-49E6-4A14-AF9B-70DC19225A48}" r="G21" connectionId="0">
    <xmlCellPr id="1" xr6:uid="{F42BEE0D-E2DE-482A-B18F-8F530925E405}" uniqueName="OEM_Predict">
      <xmlPr mapId="7" xpath="/MAKE/PP/AEB_VRU/Cyclist/CROSSING/Daytime/CBNA_50/_15km_h/@OEM_Predict" xmlDataType="string"/>
    </xmlCellPr>
  </singleXmlCell>
  <singleXmlCell id="4828" xr6:uid="{85B3948E-CCC9-4C1D-A5F7-226C177CD619}" r="H21" connectionId="0">
    <xmlCellPr id="1" xr6:uid="{330869E3-10DA-4DAB-B04C-6459E73A8218}" uniqueName="Vimpact">
      <xmlPr mapId="7" xpath="/MAKE/PP/AEB_VRU/Cyclist/CROSSING/Daytime/CBNA_50/_15km_h/@Vimpact" xmlDataType="decimal"/>
    </xmlCellPr>
  </singleXmlCell>
  <singleXmlCell id="4829" xr6:uid="{3D1BB71B-0097-409A-A42A-B8E217597206}" r="I21" connectionId="0">
    <xmlCellPr id="1" xr6:uid="{5A966D34-EAD4-4C33-9220-64097718C490}" uniqueName="Points">
      <xmlPr mapId="7" xpath="/MAKE/PP/AEB_VRU/Cyclist/CROSSING/Daytime/CBNA_50/_15km_h/@Points" xmlDataType="decimal"/>
    </xmlCellPr>
  </singleXmlCell>
  <singleXmlCell id="4830" xr6:uid="{CD2D425F-E6F8-47F3-AF13-DAF83CBFE00E}" r="G22" connectionId="0">
    <xmlCellPr id="1" xr6:uid="{43D97E2C-CBBC-4BD3-87D4-3681B63945FF}" uniqueName="OEM_Predict">
      <xmlPr mapId="7" xpath="/MAKE/PP/AEB_VRU/Cyclist/CROSSING/Daytime/CBNA_50/_20km_h/@OEM_Predict" xmlDataType="string"/>
    </xmlCellPr>
  </singleXmlCell>
  <singleXmlCell id="4831" xr6:uid="{44D80F82-6A81-4157-AE97-3D6D1805DF2B}" r="H22" connectionId="0">
    <xmlCellPr id="1" xr6:uid="{D586735B-7B69-4BBA-818E-FAD052804110}" uniqueName="Vimpact">
      <xmlPr mapId="7" xpath="/MAKE/PP/AEB_VRU/Cyclist/CROSSING/Daytime/CBNA_50/_20km_h/@Vimpact" xmlDataType="decimal"/>
    </xmlCellPr>
  </singleXmlCell>
  <singleXmlCell id="4832" xr6:uid="{1E8218CC-5D62-46B4-8E1B-F6AC45FA9681}" r="I22" connectionId="0">
    <xmlCellPr id="1" xr6:uid="{3685BE16-D2D3-47B7-AA16-07B1055E40E3}" uniqueName="Points">
      <xmlPr mapId="7" xpath="/MAKE/PP/AEB_VRU/Cyclist/CROSSING/Daytime/CBNA_50/_20km_h/@Points" xmlDataType="decimal"/>
    </xmlCellPr>
  </singleXmlCell>
  <singleXmlCell id="4833" xr6:uid="{4627302A-8BF4-44BC-82DE-7BC1000CDB97}" r="G23" connectionId="0">
    <xmlCellPr id="1" xr6:uid="{93708078-DFFF-4BAF-810D-7B59013BB58C}" uniqueName="OEM_Predict">
      <xmlPr mapId="7" xpath="/MAKE/PP/AEB_VRU/Cyclist/CROSSING/Daytime/CBNA_50/_25km_h/@OEM_Predict" xmlDataType="string"/>
    </xmlCellPr>
  </singleXmlCell>
  <singleXmlCell id="4834" xr6:uid="{89CA7B08-04CC-4AE5-BF25-391D106C8882}" r="H23" connectionId="0">
    <xmlCellPr id="1" xr6:uid="{0584635B-0BEE-4959-9419-3D1FFEC65EEE}" uniqueName="Vimpact">
      <xmlPr mapId="7" xpath="/MAKE/PP/AEB_VRU/Cyclist/CROSSING/Daytime/CBNA_50/_25km_h/@Vimpact" xmlDataType="decimal"/>
    </xmlCellPr>
  </singleXmlCell>
  <singleXmlCell id="4835" xr6:uid="{FBC987F7-4F34-426E-B25D-8061F83B5EDB}" r="I23" connectionId="0">
    <xmlCellPr id="1" xr6:uid="{79188F3E-7BF0-4834-8459-ED760265746B}" uniqueName="Points">
      <xmlPr mapId="7" xpath="/MAKE/PP/AEB_VRU/Cyclist/CROSSING/Daytime/CBNA_50/_25km_h/@Points" xmlDataType="decimal"/>
    </xmlCellPr>
  </singleXmlCell>
  <singleXmlCell id="4836" xr6:uid="{6356D666-DD8F-4B7E-873C-E1047A8F02EE}" r="G24" connectionId="0">
    <xmlCellPr id="1" xr6:uid="{1F9CEDA6-52A3-49BC-B5E0-5239DD2D9B66}" uniqueName="OEM_Predict">
      <xmlPr mapId="7" xpath="/MAKE/PP/AEB_VRU/Cyclist/CROSSING/Daytime/CBNA_50/_30km_h/@OEM_Predict" xmlDataType="string"/>
    </xmlCellPr>
  </singleXmlCell>
  <singleXmlCell id="4837" xr6:uid="{6F03598F-DBF7-411A-8253-63DB0AF0824E}" r="H24" connectionId="0">
    <xmlCellPr id="1" xr6:uid="{D33C90C8-FB3D-4175-B7A5-9709CB8A6CB2}" uniqueName="Vimpact">
      <xmlPr mapId="7" xpath="/MAKE/PP/AEB_VRU/Cyclist/CROSSING/Daytime/CBNA_50/_30km_h/@Vimpact" xmlDataType="decimal"/>
    </xmlCellPr>
  </singleXmlCell>
  <singleXmlCell id="4838" xr6:uid="{FC2F2760-904D-4184-859E-6FE9B7C70474}" r="I24" connectionId="0">
    <xmlCellPr id="1" xr6:uid="{0AC85DEF-A04D-40DD-AF01-8AAC52282D98}" uniqueName="Points">
      <xmlPr mapId="7" xpath="/MAKE/PP/AEB_VRU/Cyclist/CROSSING/Daytime/CBNA_50/_30km_h/@Points" xmlDataType="decimal"/>
    </xmlCellPr>
  </singleXmlCell>
  <singleXmlCell id="4839" xr6:uid="{2AF234E8-EFF5-4D07-A841-DEC70156FC25}" r="G25" connectionId="0">
    <xmlCellPr id="1" xr6:uid="{DE25376C-29E4-4760-8909-9E4DDF2C3263}" uniqueName="OEM_Predict">
      <xmlPr mapId="7" xpath="/MAKE/PP/AEB_VRU/Cyclist/CROSSING/Daytime/CBNA_50/_35km_h/@OEM_Predict" xmlDataType="string"/>
    </xmlCellPr>
  </singleXmlCell>
  <singleXmlCell id="4840" xr6:uid="{B201299B-97CC-43E3-8FB0-E60D0DE6D19C}" r="H25" connectionId="0">
    <xmlCellPr id="1" xr6:uid="{2176A3EC-72BD-42C9-9DF2-A5F51EC81570}" uniqueName="Vimpact">
      <xmlPr mapId="7" xpath="/MAKE/PP/AEB_VRU/Cyclist/CROSSING/Daytime/CBNA_50/_35km_h/@Vimpact" xmlDataType="decimal"/>
    </xmlCellPr>
  </singleXmlCell>
  <singleXmlCell id="4841" xr6:uid="{07DD1520-5BF8-4C59-868C-9D9708904E94}" r="I25" connectionId="0">
    <xmlCellPr id="1" xr6:uid="{C01656CE-B4F3-4C8F-ACD0-3766B4B54D1B}" uniqueName="Points">
      <xmlPr mapId="7" xpath="/MAKE/PP/AEB_VRU/Cyclist/CROSSING/Daytime/CBNA_50/_35km_h/@Points" xmlDataType="decimal"/>
    </xmlCellPr>
  </singleXmlCell>
  <singleXmlCell id="4842" xr6:uid="{0B7FE434-448F-4455-8BF4-3136BF9FEBF8}" r="G26" connectionId="0">
    <xmlCellPr id="1" xr6:uid="{ADD9F15C-166E-4F7C-8527-BDC7A7A21650}" uniqueName="OEM_Predict">
      <xmlPr mapId="7" xpath="/MAKE/PP/AEB_VRU/Cyclist/CROSSING/Daytime/CBNA_50/_40km_h/@OEM_Predict" xmlDataType="string"/>
    </xmlCellPr>
  </singleXmlCell>
  <singleXmlCell id="4843" xr6:uid="{377D3433-5785-40E0-9DBE-EF5983195FEC}" r="H26" connectionId="0">
    <xmlCellPr id="1" xr6:uid="{1BEC4FFC-235C-47BC-9ED8-C1D9AE2EBCB8}" uniqueName="Vimpact">
      <xmlPr mapId="7" xpath="/MAKE/PP/AEB_VRU/Cyclist/CROSSING/Daytime/CBNA_50/_40km_h/@Vimpact" xmlDataType="decimal"/>
    </xmlCellPr>
  </singleXmlCell>
  <singleXmlCell id="4844" xr6:uid="{BA744AF6-DC36-4305-8CCC-ECCE76A3DFB3}" r="I26" connectionId="0">
    <xmlCellPr id="1" xr6:uid="{71FF1AE1-E03C-420F-9879-92B066BDBD14}" uniqueName="Points">
      <xmlPr mapId="7" xpath="/MAKE/PP/AEB_VRU/Cyclist/CROSSING/Daytime/CBNA_50/_40km_h/@Points" xmlDataType="decimal"/>
    </xmlCellPr>
  </singleXmlCell>
  <singleXmlCell id="4845" xr6:uid="{61F79FB1-B6DB-4826-9E89-18B41DFF12F3}" r="G27" connectionId="0">
    <xmlCellPr id="1" xr6:uid="{524EF9E5-E0A8-4299-AF35-62B68FB5C070}" uniqueName="OEM_Predict">
      <xmlPr mapId="7" xpath="/MAKE/PP/AEB_VRU/Cyclist/CROSSING/Daytime/CBNA_50/_45km_h/@OEM_Predict" xmlDataType="string"/>
    </xmlCellPr>
  </singleXmlCell>
  <singleXmlCell id="4846" xr6:uid="{2F37B8A3-20F1-4AC4-8F06-19BB167B5B54}" r="H27" connectionId="0">
    <xmlCellPr id="1" xr6:uid="{E8CC80A7-8F2B-407B-821E-162FC6CA0F7A}" uniqueName="Vimpact">
      <xmlPr mapId="7" xpath="/MAKE/PP/AEB_VRU/Cyclist/CROSSING/Daytime/CBNA_50/_45km_h/@Vimpact" xmlDataType="decimal"/>
    </xmlCellPr>
  </singleXmlCell>
  <singleXmlCell id="4847" xr6:uid="{5DFB47BB-7446-4677-A24A-11D738BB1863}" r="I27" connectionId="0">
    <xmlCellPr id="1" xr6:uid="{80D7B013-A60A-4FDC-8859-B1E3FE81B291}" uniqueName="Points">
      <xmlPr mapId="7" xpath="/MAKE/PP/AEB_VRU/Cyclist/CROSSING/Daytime/CBNA_50/_45km_h/@Points" xmlDataType="decimal"/>
    </xmlCellPr>
  </singleXmlCell>
  <singleXmlCell id="4848" xr6:uid="{F54BA14C-4E74-4ACB-8AFA-A5C46F18D8F8}" r="G28" connectionId="0">
    <xmlCellPr id="1" xr6:uid="{EC591DA5-4E4A-4155-AEB2-245125209863}" uniqueName="OEM_Predict">
      <xmlPr mapId="7" xpath="/MAKE/PP/AEB_VRU/Cyclist/CROSSING/Daytime/CBNA_50/_50km_h/@OEM_Predict" xmlDataType="string"/>
    </xmlCellPr>
  </singleXmlCell>
  <singleXmlCell id="4849" xr6:uid="{45BFE38B-F5D8-450F-99AD-82F4F7562888}" r="H28" connectionId="0">
    <xmlCellPr id="1" xr6:uid="{540E8DBC-5074-4747-8C0D-149391EB1655}" uniqueName="Vimpact">
      <xmlPr mapId="7" xpath="/MAKE/PP/AEB_VRU/Cyclist/CROSSING/Daytime/CBNA_50/_50km_h/@Vimpact" xmlDataType="decimal"/>
    </xmlCellPr>
  </singleXmlCell>
  <singleXmlCell id="4850" xr6:uid="{090BEDB0-125C-48B1-BC37-CB89B28F0D43}" r="I28" connectionId="0">
    <xmlCellPr id="1" xr6:uid="{6FAC897F-1687-4CF1-BE5F-5E946F2E358B}" uniqueName="Points">
      <xmlPr mapId="7" xpath="/MAKE/PP/AEB_VRU/Cyclist/CROSSING/Daytime/CBNA_50/_50km_h/@Points" xmlDataType="decimal"/>
    </xmlCellPr>
  </singleXmlCell>
  <singleXmlCell id="4851" xr6:uid="{3B427010-61FB-4C4E-86A5-B475A366CC32}" r="G29" connectionId="0">
    <xmlCellPr id="1" xr6:uid="{8002F9BC-D46A-43D6-B7B5-5F46FDADA816}" uniqueName="OEM_Predict">
      <xmlPr mapId="7" xpath="/MAKE/PP/AEB_VRU/Cyclist/CROSSING/Daytime/CBNA_50/_55km_h/@OEM_Predict" xmlDataType="string"/>
    </xmlCellPr>
  </singleXmlCell>
  <singleXmlCell id="4852" xr6:uid="{00BFEC02-45CA-4A07-987E-17F87EB9243A}" r="H29" connectionId="0">
    <xmlCellPr id="1" xr6:uid="{A24D8996-F508-468D-BFD1-D386AAB1B5CE}" uniqueName="Vimpact">
      <xmlPr mapId="7" xpath="/MAKE/PP/AEB_VRU/Cyclist/CROSSING/Daytime/CBNA_50/_55km_h/@Vimpact" xmlDataType="decimal"/>
    </xmlCellPr>
  </singleXmlCell>
  <singleXmlCell id="4853" xr6:uid="{EB06C1B3-7C64-49EB-85D3-78B77A11A527}" r="I29" connectionId="0">
    <xmlCellPr id="1" xr6:uid="{537DC30A-1967-43E5-96FB-435AE064B7DF}" uniqueName="Points">
      <xmlPr mapId="7" xpath="/MAKE/PP/AEB_VRU/Cyclist/CROSSING/Daytime/CBNA_50/_55km_h/@Points" xmlDataType="decimal"/>
    </xmlCellPr>
  </singleXmlCell>
  <singleXmlCell id="4854" xr6:uid="{B7F52C7C-1C09-42A9-B587-1527167A268C}" r="G30" connectionId="0">
    <xmlCellPr id="1" xr6:uid="{137F9E43-5D5C-427A-9931-A79EF9C88BD1}" uniqueName="OEM_Predict">
      <xmlPr mapId="7" xpath="/MAKE/PP/AEB_VRU/Cyclist/CROSSING/Daytime/CBNA_50/_60km_h/@OEM_Predict" xmlDataType="string"/>
    </xmlCellPr>
  </singleXmlCell>
  <singleXmlCell id="4855" xr6:uid="{FAEC8A9C-46D5-4A90-A9A2-5401B385D552}" r="H30" connectionId="0">
    <xmlCellPr id="1" xr6:uid="{3DBF3873-EC7A-4B22-8CD6-3BA7FDE289BA}" uniqueName="Vimpact">
      <xmlPr mapId="7" xpath="/MAKE/PP/AEB_VRU/Cyclist/CROSSING/Daytime/CBNA_50/_60km_h/@Vimpact" xmlDataType="decimal"/>
    </xmlCellPr>
  </singleXmlCell>
  <singleXmlCell id="4856" xr6:uid="{08B586C7-8BEA-4F5E-91CC-5D9008C97885}" r="I30" connectionId="0">
    <xmlCellPr id="1" xr6:uid="{37D9043C-E1F7-4D7D-A226-DED44676B50D}" uniqueName="Points">
      <xmlPr mapId="7" xpath="/MAKE/PP/AEB_VRU/Cyclist/CROSSING/Daytime/CBNA_50/_60km_h/@Points" xmlDataType="decimal"/>
    </xmlCellPr>
  </singleXmlCell>
  <singleXmlCell id="4857" xr6:uid="{D6CC1336-7052-46D2-9919-54AC2ADB6977}" r="J31" connectionId="0">
    <xmlCellPr id="1" xr6:uid="{28AAA82E-6243-473B-B3D7-EE845B1BB59E}" uniqueName="Score">
      <xmlPr mapId="7" xpath="/MAKE/PP/AEB_VRU/Cyclist/CROSSING/Daytime/CBNAO_50/@Score" xmlDataType="decimal"/>
    </xmlCellPr>
  </singleXmlCell>
  <singleXmlCell id="4858" xr6:uid="{B7842D49-EFD6-45C8-956A-1A0EFE762899}" r="J20" connectionId="0">
    <xmlCellPr id="1" xr6:uid="{DA452F09-42A8-4EB7-B09C-B72F3AA452EC}" uniqueName="OEM_Predict">
      <xmlPr mapId="7" xpath="/MAKE/PP/AEB_VRU/Cyclist/CROSSING/Daytime/CBNAO_50/_10km_h/@OEM_Predict" xmlDataType="string"/>
    </xmlCellPr>
  </singleXmlCell>
  <singleXmlCell id="4859" xr6:uid="{F35F6414-FAC7-419A-8A92-F15704F03580}" r="K20" connectionId="0">
    <xmlCellPr id="1" xr6:uid="{0C216395-85FF-4205-9DA6-F671B072B697}" uniqueName="Vimpact">
      <xmlPr mapId="7" xpath="/MAKE/PP/AEB_VRU/Cyclist/CROSSING/Daytime/CBNAO_50/_10km_h/@Vimpact" xmlDataType="decimal"/>
    </xmlCellPr>
  </singleXmlCell>
  <singleXmlCell id="4860" xr6:uid="{AD73A1BC-7511-429B-813D-0BFBBA613A02}" r="L20" connectionId="0">
    <xmlCellPr id="1" xr6:uid="{45C3BEEF-63B3-46DF-BB29-A5DDF71CC9CB}" uniqueName="Points">
      <xmlPr mapId="7" xpath="/MAKE/PP/AEB_VRU/Cyclist/CROSSING/Daytime/CBNAO_50/_10km_h/@Points" xmlDataType="decimal"/>
    </xmlCellPr>
  </singleXmlCell>
  <singleXmlCell id="4861" xr6:uid="{43426835-EA12-4ADA-AE66-1C29CE018079}" r="J21" connectionId="0">
    <xmlCellPr id="1" xr6:uid="{329F0A63-9D1F-4F60-BC1E-870697E94838}" uniqueName="OEM_Predict">
      <xmlPr mapId="7" xpath="/MAKE/PP/AEB_VRU/Cyclist/CROSSING/Daytime/CBNAO_50/_15km_h/@OEM_Predict" xmlDataType="string"/>
    </xmlCellPr>
  </singleXmlCell>
  <singleXmlCell id="4862" xr6:uid="{A73C5AEE-2164-4D3D-9728-1C34B8A61D42}" r="K21" connectionId="0">
    <xmlCellPr id="1" xr6:uid="{4F669879-B060-4F1F-9E47-15146F76EC54}" uniqueName="Vimpact">
      <xmlPr mapId="7" xpath="/MAKE/PP/AEB_VRU/Cyclist/CROSSING/Daytime/CBNAO_50/_15km_h/@Vimpact" xmlDataType="decimal"/>
    </xmlCellPr>
  </singleXmlCell>
  <singleXmlCell id="4863" xr6:uid="{E1083E56-79E2-4685-BC4D-58E18943495B}" r="L21" connectionId="0">
    <xmlCellPr id="1" xr6:uid="{6B6EF00C-6239-4D0B-BC14-E65D32721BF5}" uniqueName="Points">
      <xmlPr mapId="7" xpath="/MAKE/PP/AEB_VRU/Cyclist/CROSSING/Daytime/CBNAO_50/_15km_h/@Points" xmlDataType="decimal"/>
    </xmlCellPr>
  </singleXmlCell>
  <singleXmlCell id="4864" xr6:uid="{F9B421CC-1337-47FB-8A41-EC00311C853A}" r="J22" connectionId="0">
    <xmlCellPr id="1" xr6:uid="{4BC5D6DB-174A-4C52-8B3E-6151E185F6DB}" uniqueName="OEM_Predict">
      <xmlPr mapId="7" xpath="/MAKE/PP/AEB_VRU/Cyclist/CROSSING/Daytime/CBNAO_50/_20km_h/@OEM_Predict" xmlDataType="string"/>
    </xmlCellPr>
  </singleXmlCell>
  <singleXmlCell id="4865" xr6:uid="{1483198F-3CB9-41CA-9303-796183451589}" r="K22" connectionId="0">
    <xmlCellPr id="1" xr6:uid="{5ECB1E73-82AF-48D0-8614-5AED48EE1D48}" uniqueName="Vimpact">
      <xmlPr mapId="7" xpath="/MAKE/PP/AEB_VRU/Cyclist/CROSSING/Daytime/CBNAO_50/_20km_h/@Vimpact" xmlDataType="decimal"/>
    </xmlCellPr>
  </singleXmlCell>
  <singleXmlCell id="4866" xr6:uid="{1390B460-387C-46FE-9EE7-59EB68248828}" r="L22" connectionId="0">
    <xmlCellPr id="1" xr6:uid="{B92CEAD5-909A-4414-8D4B-930FE214A9B0}" uniqueName="Points">
      <xmlPr mapId="7" xpath="/MAKE/PP/AEB_VRU/Cyclist/CROSSING/Daytime/CBNAO_50/_20km_h/@Points" xmlDataType="decimal"/>
    </xmlCellPr>
  </singleXmlCell>
  <singleXmlCell id="4867" xr6:uid="{0F8B3EA4-823D-44DB-A687-6DB93A958D61}" r="J23" connectionId="0">
    <xmlCellPr id="1" xr6:uid="{3380ACAE-02D0-4869-9458-0BC7D0F09A35}" uniqueName="OEM_Predict">
      <xmlPr mapId="7" xpath="/MAKE/PP/AEB_VRU/Cyclist/CROSSING/Daytime/CBNAO_50/_25km_h/@OEM_Predict" xmlDataType="string"/>
    </xmlCellPr>
  </singleXmlCell>
  <singleXmlCell id="4868" xr6:uid="{0CB3B34C-7D6B-4594-B9E2-CE3718C712ED}" r="K23" connectionId="0">
    <xmlCellPr id="1" xr6:uid="{434BADF0-ABF8-49DC-85EF-9C299979ADE2}" uniqueName="Vimpact">
      <xmlPr mapId="7" xpath="/MAKE/PP/AEB_VRU/Cyclist/CROSSING/Daytime/CBNAO_50/_25km_h/@Vimpact" xmlDataType="decimal"/>
    </xmlCellPr>
  </singleXmlCell>
  <singleXmlCell id="4869" xr6:uid="{67CDABE9-01F2-4E26-9507-AE5B01F2B6C4}" r="L23" connectionId="0">
    <xmlCellPr id="1" xr6:uid="{1D8E4041-9966-46D4-942C-C6FBF8F727D5}" uniqueName="Points">
      <xmlPr mapId="7" xpath="/MAKE/PP/AEB_VRU/Cyclist/CROSSING/Daytime/CBNAO_50/_25km_h/@Points" xmlDataType="decimal"/>
    </xmlCellPr>
  </singleXmlCell>
  <singleXmlCell id="4870" xr6:uid="{D4054744-2682-4257-8688-A587BAB58A2B}" r="J24" connectionId="0">
    <xmlCellPr id="1" xr6:uid="{355DCCAB-D466-4C33-824F-775C7E36B206}" uniqueName="OEM_Predict">
      <xmlPr mapId="7" xpath="/MAKE/PP/AEB_VRU/Cyclist/CROSSING/Daytime/CBNAO_50/_30km_h/@OEM_Predict" xmlDataType="string"/>
    </xmlCellPr>
  </singleXmlCell>
  <singleXmlCell id="4871" xr6:uid="{AC69004E-8D5C-474B-8DDF-61497B3E8DAC}" r="K24" connectionId="0">
    <xmlCellPr id="1" xr6:uid="{63430A7C-BCE5-482C-A7D1-CEC36986731D}" uniqueName="Vimpact">
      <xmlPr mapId="7" xpath="/MAKE/PP/AEB_VRU/Cyclist/CROSSING/Daytime/CBNAO_50/_30km_h/@Vimpact" xmlDataType="decimal"/>
    </xmlCellPr>
  </singleXmlCell>
  <singleXmlCell id="4872" xr6:uid="{C0AA5F13-F64C-4082-A594-0E951994BE80}" r="L24" connectionId="0">
    <xmlCellPr id="1" xr6:uid="{755D6320-39C7-4AB7-AC3C-AAA61B12E11F}" uniqueName="Points">
      <xmlPr mapId="7" xpath="/MAKE/PP/AEB_VRU/Cyclist/CROSSING/Daytime/CBNAO_50/_30km_h/@Points" xmlDataType="decimal"/>
    </xmlCellPr>
  </singleXmlCell>
  <singleXmlCell id="4873" xr6:uid="{D5199C99-05B9-4D57-BFAD-1EC40703B02E}" r="J25" connectionId="0">
    <xmlCellPr id="1" xr6:uid="{451EED0C-D260-40D6-943B-8F5DB41EB26C}" uniqueName="OEM_Predict">
      <xmlPr mapId="7" xpath="/MAKE/PP/AEB_VRU/Cyclist/CROSSING/Daytime/CBNAO_50/_35km_h/@OEM_Predict" xmlDataType="string"/>
    </xmlCellPr>
  </singleXmlCell>
  <singleXmlCell id="4874" xr6:uid="{A3B1FA49-7FCF-4C71-B818-D0053A3C62F6}" r="K25" connectionId="0">
    <xmlCellPr id="1" xr6:uid="{9A6EA486-8F1A-4405-94A5-60E9FCB87156}" uniqueName="Vimpact">
      <xmlPr mapId="7" xpath="/MAKE/PP/AEB_VRU/Cyclist/CROSSING/Daytime/CBNAO_50/_35km_h/@Vimpact" xmlDataType="decimal"/>
    </xmlCellPr>
  </singleXmlCell>
  <singleXmlCell id="4875" xr6:uid="{2532BA81-094A-4D75-9809-30FD70C73831}" r="L25" connectionId="0">
    <xmlCellPr id="1" xr6:uid="{9DBBE324-4507-4736-9F74-23C57713CE37}" uniqueName="Points">
      <xmlPr mapId="7" xpath="/MAKE/PP/AEB_VRU/Cyclist/CROSSING/Daytime/CBNAO_50/_35km_h/@Points" xmlDataType="decimal"/>
    </xmlCellPr>
  </singleXmlCell>
  <singleXmlCell id="4876" xr6:uid="{4323AE9F-CD7C-4C1B-B6C8-DA642B1617F6}" r="J26" connectionId="0">
    <xmlCellPr id="1" xr6:uid="{457060C7-DB89-45E2-B4B8-74674CCF508C}" uniqueName="OEM_Predict">
      <xmlPr mapId="7" xpath="/MAKE/PP/AEB_VRU/Cyclist/CROSSING/Daytime/CBNAO_50/_40km_h/@OEM_Predict" xmlDataType="string"/>
    </xmlCellPr>
  </singleXmlCell>
  <singleXmlCell id="4877" xr6:uid="{22ACC756-46D9-4DE6-BD9D-A9F173341EC2}" r="K26" connectionId="0">
    <xmlCellPr id="1" xr6:uid="{FF89930F-6705-4CA2-852A-9C7B2B8626AF}" uniqueName="Vimpact">
      <xmlPr mapId="7" xpath="/MAKE/PP/AEB_VRU/Cyclist/CROSSING/Daytime/CBNAO_50/_40km_h/@Vimpact" xmlDataType="decimal"/>
    </xmlCellPr>
  </singleXmlCell>
  <singleXmlCell id="4878" xr6:uid="{FD853BFE-23A5-4773-99FD-6E0714DC9565}" r="L26" connectionId="0">
    <xmlCellPr id="1" xr6:uid="{11943AEE-5231-45D4-BB63-46380704E271}" uniqueName="Points">
      <xmlPr mapId="7" xpath="/MAKE/PP/AEB_VRU/Cyclist/CROSSING/Daytime/CBNAO_50/_40km_h/@Points" xmlDataType="decimal"/>
    </xmlCellPr>
  </singleXmlCell>
  <singleXmlCell id="4879" xr6:uid="{206D7ACC-866D-4CAF-BB77-9F158A55A3C6}" r="J27" connectionId="0">
    <xmlCellPr id="1" xr6:uid="{9A3009BB-5875-47C8-8EE1-4152317A53E5}" uniqueName="OEM_Predict">
      <xmlPr mapId="7" xpath="/MAKE/PP/AEB_VRU/Cyclist/CROSSING/Daytime/CBNAO_50/_45km_h/@OEM_Predict" xmlDataType="string"/>
    </xmlCellPr>
  </singleXmlCell>
  <singleXmlCell id="4880" xr6:uid="{57D790FE-EF68-408B-A1B3-7A3C187398F2}" r="K27" connectionId="0">
    <xmlCellPr id="1" xr6:uid="{D054466E-1DC5-4BFC-AB7B-F286B3619287}" uniqueName="Vimpact">
      <xmlPr mapId="7" xpath="/MAKE/PP/AEB_VRU/Cyclist/CROSSING/Daytime/CBNAO_50/_45km_h/@Vimpact" xmlDataType="decimal"/>
    </xmlCellPr>
  </singleXmlCell>
  <singleXmlCell id="4881" xr6:uid="{0FB58A29-BF4F-4F79-9983-AA0208316083}" r="L27" connectionId="0">
    <xmlCellPr id="1" xr6:uid="{960F2143-CB85-4845-A863-23AE8C6CFB3B}" uniqueName="Points">
      <xmlPr mapId="7" xpath="/MAKE/PP/AEB_VRU/Cyclist/CROSSING/Daytime/CBNAO_50/_45km_h/@Points" xmlDataType="decimal"/>
    </xmlCellPr>
  </singleXmlCell>
  <singleXmlCell id="4882" xr6:uid="{A9C43339-27E7-4955-947C-1472BA41ED6E}" r="J28" connectionId="0">
    <xmlCellPr id="1" xr6:uid="{74C39B3D-C0A3-4ABA-88FA-18A8CF5D0303}" uniqueName="OEM_Predict">
      <xmlPr mapId="7" xpath="/MAKE/PP/AEB_VRU/Cyclist/CROSSING/Daytime/CBNAO_50/_50km_h/@OEM_Predict" xmlDataType="string"/>
    </xmlCellPr>
  </singleXmlCell>
  <singleXmlCell id="4883" xr6:uid="{A73F6EB2-DB68-49C4-903F-AEF98B451E09}" r="K28" connectionId="0">
    <xmlCellPr id="1" xr6:uid="{9C249512-A7FA-4051-9904-D1171BA836CD}" uniqueName="Vimpact">
      <xmlPr mapId="7" xpath="/MAKE/PP/AEB_VRU/Cyclist/CROSSING/Daytime/CBNAO_50/_50km_h/@Vimpact" xmlDataType="decimal"/>
    </xmlCellPr>
  </singleXmlCell>
  <singleXmlCell id="4884" xr6:uid="{EEF50D69-3D11-4659-ABD6-A94E4AEF9D1E}" r="L28" connectionId="0">
    <xmlCellPr id="1" xr6:uid="{8029A69E-DB20-4B0C-A4C9-C87C626597E2}" uniqueName="Points">
      <xmlPr mapId="7" xpath="/MAKE/PP/AEB_VRU/Cyclist/CROSSING/Daytime/CBNAO_50/_50km_h/@Points" xmlDataType="decimal"/>
    </xmlCellPr>
  </singleXmlCell>
  <singleXmlCell id="4885" xr6:uid="{8E9D2643-1696-48C3-8952-34AA5A5A9C80}" r="J29" connectionId="0">
    <xmlCellPr id="1" xr6:uid="{723E1005-11A9-4372-ACD8-A745B35F9A5A}" uniqueName="OEM_Predict">
      <xmlPr mapId="7" xpath="/MAKE/PP/AEB_VRU/Cyclist/CROSSING/Daytime/CBNAO_50/_55km_h/@OEM_Predict" xmlDataType="string"/>
    </xmlCellPr>
  </singleXmlCell>
  <singleXmlCell id="4886" xr6:uid="{A549642A-8058-4105-99FB-DF4A89DE6F2F}" r="K29" connectionId="0">
    <xmlCellPr id="1" xr6:uid="{673E4AA5-C9CA-4F11-9DEA-A193704B2E11}" uniqueName="Vimpact">
      <xmlPr mapId="7" xpath="/MAKE/PP/AEB_VRU/Cyclist/CROSSING/Daytime/CBNAO_50/_55km_h/@Vimpact" xmlDataType="decimal"/>
    </xmlCellPr>
  </singleXmlCell>
  <singleXmlCell id="4887" xr6:uid="{3F067E50-F4CA-47FC-AAC2-B894703C7A5A}" r="L29" connectionId="0">
    <xmlCellPr id="1" xr6:uid="{45977F56-42D7-4A2D-A160-B04DACB37B9D}" uniqueName="Points">
      <xmlPr mapId="7" xpath="/MAKE/PP/AEB_VRU/Cyclist/CROSSING/Daytime/CBNAO_50/_55km_h/@Points" xmlDataType="decimal"/>
    </xmlCellPr>
  </singleXmlCell>
  <singleXmlCell id="4888" xr6:uid="{77C9E164-D8AC-4A86-AAAC-6DB11702D768}" r="J30" connectionId="0">
    <xmlCellPr id="1" xr6:uid="{0116F41A-82B4-49F5-AABF-B0AA2C2D2D3C}" uniqueName="OEM_Predict">
      <xmlPr mapId="7" xpath="/MAKE/PP/AEB_VRU/Cyclist/CROSSING/Daytime/CBNAO_50/_60km_h/@OEM_Predict" xmlDataType="string"/>
    </xmlCellPr>
  </singleXmlCell>
  <singleXmlCell id="4889" xr6:uid="{7BEB0988-C5BE-41AD-B822-2EDCFBC81998}" r="K30" connectionId="0">
    <xmlCellPr id="1" xr6:uid="{DB3028A2-B51C-4BD3-BD8C-7E7A1142D081}" uniqueName="Vimpact">
      <xmlPr mapId="7" xpath="/MAKE/PP/AEB_VRU/Cyclist/CROSSING/Daytime/CBNAO_50/_60km_h/@Vimpact" xmlDataType="decimal"/>
    </xmlCellPr>
  </singleXmlCell>
  <singleXmlCell id="4890" xr6:uid="{4A7E8FDD-2086-4B62-ADA5-27B099E96F5C}" r="L30" connectionId="0">
    <xmlCellPr id="1" xr6:uid="{AC734F1B-B459-4A69-9954-F1FEB19617D1}" uniqueName="Points">
      <xmlPr mapId="7" xpath="/MAKE/PP/AEB_VRU/Cyclist/CROSSING/Daytime/CBNAO_50/_60km_h/@Points" xmlDataType="decimal"/>
    </xmlCellPr>
  </singleXmlCell>
  <singleXmlCell id="4891" xr6:uid="{BB8251A9-B738-46CD-827E-850D1F581756}" r="D48" connectionId="0">
    <xmlCellPr id="1" xr6:uid="{044A6D80-FDAD-4727-9C9D-875AE98FDCF7}" uniqueName="Score">
      <xmlPr mapId="7" xpath="/MAKE/PP/AEB_VRU/Cyclist/LONGITUDINAL/Daytime/CBLA_50/@Score" xmlDataType="decimal"/>
    </xmlCellPr>
  </singleXmlCell>
  <singleXmlCell id="4892" xr6:uid="{5060A3AE-E9C0-486C-A96C-102F7049E444}" r="D36" connectionId="0">
    <xmlCellPr id="1" xr6:uid="{A3A6D9B1-E1F8-4E87-A0C1-266FA631A159}" uniqueName="OEM_Predict">
      <xmlPr mapId="7" xpath="/MAKE/PP/AEB_VRU/Cyclist/LONGITUDINAL/Daytime/CBLA_50/_25km_h/@OEM_Predict" xmlDataType="string"/>
    </xmlCellPr>
  </singleXmlCell>
  <singleXmlCell id="4893" xr6:uid="{3DE06130-18F8-4FAD-B9C0-B1E86FA97370}" r="E36" connectionId="0">
    <xmlCellPr id="1" xr6:uid="{75646A11-43C2-4427-91AC-E00504ABF22F}" uniqueName="Vimpact">
      <xmlPr mapId="7" xpath="/MAKE/PP/AEB_VRU/Cyclist/LONGITUDINAL/Daytime/CBLA_50/_25km_h/@Vimpact" xmlDataType="decimal"/>
    </xmlCellPr>
  </singleXmlCell>
  <singleXmlCell id="4894" xr6:uid="{304DAE39-49A1-4075-BBA2-EC0F4386437E}" r="F36" connectionId="0">
    <xmlCellPr id="1" xr6:uid="{00F713A1-3692-424B-A824-E5C462E39A21}" uniqueName="Points">
      <xmlPr mapId="7" xpath="/MAKE/PP/AEB_VRU/Cyclist/LONGITUDINAL/Daytime/CBLA_50/_25km_h/@Points" xmlDataType="decimal"/>
    </xmlCellPr>
  </singleXmlCell>
  <singleXmlCell id="4895" xr6:uid="{B264F27F-552A-4B88-9FC0-6BF3D888763D}" r="D37" connectionId="0">
    <xmlCellPr id="1" xr6:uid="{3F00C3ED-2500-4700-8313-121D03F252F5}" uniqueName="OEM_Predict">
      <xmlPr mapId="7" xpath="/MAKE/PP/AEB_VRU/Cyclist/LONGITUDINAL/Daytime/CBLA_50/_30km_h/@OEM_Predict" xmlDataType="string"/>
    </xmlCellPr>
  </singleXmlCell>
  <singleXmlCell id="4896" xr6:uid="{E1FB8303-0923-4937-97C2-7CDBECF55461}" r="E37" connectionId="0">
    <xmlCellPr id="1" xr6:uid="{EAB35A0A-CB73-44DA-90EE-4A9F1C0F28C2}" uniqueName="Vimpact">
      <xmlPr mapId="7" xpath="/MAKE/PP/AEB_VRU/Cyclist/LONGITUDINAL/Daytime/CBLA_50/_30km_h/@Vimpact" xmlDataType="decimal"/>
    </xmlCellPr>
  </singleXmlCell>
  <singleXmlCell id="4897" xr6:uid="{7E09D3C5-0519-4BC2-B54F-27B6D7089249}" r="F37" connectionId="0">
    <xmlCellPr id="1" xr6:uid="{AFD77A42-480A-41A3-9049-4786E545EB40}" uniqueName="Points">
      <xmlPr mapId="7" xpath="/MAKE/PP/AEB_VRU/Cyclist/LONGITUDINAL/Daytime/CBLA_50/_30km_h/@Points" xmlDataType="decimal"/>
    </xmlCellPr>
  </singleXmlCell>
  <singleXmlCell id="4898" xr6:uid="{1E884EDF-AE8F-466B-B6D7-BABFED48D8F0}" r="D38" connectionId="0">
    <xmlCellPr id="1" xr6:uid="{8E69F110-FDA2-4A61-80DB-5316E1B2CE56}" uniqueName="OEM_Predict">
      <xmlPr mapId="7" xpath="/MAKE/PP/AEB_VRU/Cyclist/LONGITUDINAL/Daytime/CBLA_50/_35km_h/@OEM_Predict" xmlDataType="string"/>
    </xmlCellPr>
  </singleXmlCell>
  <singleXmlCell id="4899" xr6:uid="{1A43D894-FFE7-4D76-99E3-FCF2D8B7DC3B}" r="E38" connectionId="0">
    <xmlCellPr id="1" xr6:uid="{1D9127FC-FEC4-4B46-8681-32F44D75FD4A}" uniqueName="Vimpact">
      <xmlPr mapId="7" xpath="/MAKE/PP/AEB_VRU/Cyclist/LONGITUDINAL/Daytime/CBLA_50/_35km_h/@Vimpact" xmlDataType="decimal"/>
    </xmlCellPr>
  </singleXmlCell>
  <singleXmlCell id="4900" xr6:uid="{A1B161B0-8717-4ED4-8D15-C85EFFCF2250}" r="F38" connectionId="0">
    <xmlCellPr id="1" xr6:uid="{6EC1109E-51E8-465A-8B0C-A31C14EF8728}" uniqueName="Points">
      <xmlPr mapId="7" xpath="/MAKE/PP/AEB_VRU/Cyclist/LONGITUDINAL/Daytime/CBLA_50/_35km_h/@Points" xmlDataType="decimal"/>
    </xmlCellPr>
  </singleXmlCell>
  <singleXmlCell id="4901" xr6:uid="{D93A90AB-F42D-4F3D-BA6C-676420853C4C}" r="D39" connectionId="0">
    <xmlCellPr id="1" xr6:uid="{6D10615A-E131-432E-80C5-5CE80ACF94E6}" uniqueName="OEM_Predict">
      <xmlPr mapId="7" xpath="/MAKE/PP/AEB_VRU/Cyclist/LONGITUDINAL/Daytime/CBLA_50/_40km_h/@OEM_Predict" xmlDataType="string"/>
    </xmlCellPr>
  </singleXmlCell>
  <singleXmlCell id="4902" xr6:uid="{60AE8392-B4D6-4488-87DC-DD9CEE4210C2}" r="E39" connectionId="0">
    <xmlCellPr id="1" xr6:uid="{68BB73B3-6395-49EE-AED3-D0E47B7BB7D3}" uniqueName="Vimpact">
      <xmlPr mapId="7" xpath="/MAKE/PP/AEB_VRU/Cyclist/LONGITUDINAL/Daytime/CBLA_50/_40km_h/@Vimpact" xmlDataType="decimal"/>
    </xmlCellPr>
  </singleXmlCell>
  <singleXmlCell id="4903" xr6:uid="{BC2C7BC4-1BC8-4118-8F4C-667E1C898869}" r="F39" connectionId="0">
    <xmlCellPr id="1" xr6:uid="{8CE41862-E976-413D-86C2-49FE4ABACFC3}" uniqueName="Points">
      <xmlPr mapId="7" xpath="/MAKE/PP/AEB_VRU/Cyclist/LONGITUDINAL/Daytime/CBLA_50/_40km_h/@Points" xmlDataType="decimal"/>
    </xmlCellPr>
  </singleXmlCell>
  <singleXmlCell id="4904" xr6:uid="{AE6284E4-FC22-4D08-BFED-BB82C9B91C71}" r="D40" connectionId="0">
    <xmlCellPr id="1" xr6:uid="{FB46D146-2A5A-4C77-BE42-053DB8523C25}" uniqueName="OEM_Predict">
      <xmlPr mapId="7" xpath="/MAKE/PP/AEB_VRU/Cyclist/LONGITUDINAL/Daytime/CBLA_50/_45km_h/@OEM_Predict" xmlDataType="string"/>
    </xmlCellPr>
  </singleXmlCell>
  <singleXmlCell id="4905" xr6:uid="{5CF83129-8573-450E-A293-D65ED86B1761}" r="E40" connectionId="0">
    <xmlCellPr id="1" xr6:uid="{ABF4B914-1009-448A-B44C-E47599720615}" uniqueName="Vimpact">
      <xmlPr mapId="7" xpath="/MAKE/PP/AEB_VRU/Cyclist/LONGITUDINAL/Daytime/CBLA_50/_45km_h/@Vimpact" xmlDataType="decimal"/>
    </xmlCellPr>
  </singleXmlCell>
  <singleXmlCell id="4906" xr6:uid="{1BB1DA0C-C6D9-4D51-8D0E-B4F23CFEF32D}" r="F40" connectionId="0">
    <xmlCellPr id="1" xr6:uid="{B225419A-FA1A-4D20-ABCF-14088B7B8263}" uniqueName="Points">
      <xmlPr mapId="7" xpath="/MAKE/PP/AEB_VRU/Cyclist/LONGITUDINAL/Daytime/CBLA_50/_45km_h/@Points" xmlDataType="decimal"/>
    </xmlCellPr>
  </singleXmlCell>
  <singleXmlCell id="4907" xr6:uid="{8D5B1DCF-1331-4E2C-AA82-A962F80BAD07}" r="D41" connectionId="0">
    <xmlCellPr id="1" xr6:uid="{546BA20D-D383-4728-9066-095D99F4D26A}" uniqueName="OEM_Predict">
      <xmlPr mapId="7" xpath="/MAKE/PP/AEB_VRU/Cyclist/LONGITUDINAL/Daytime/CBLA_50/_50km_h/@OEM_Predict" xmlDataType="string"/>
    </xmlCellPr>
  </singleXmlCell>
  <singleXmlCell id="4908" xr6:uid="{2918BAC5-5EC5-41F4-8FC0-078F16E70485}" r="E41" connectionId="0">
    <xmlCellPr id="1" xr6:uid="{3DF5ACEF-EF3C-4DB0-B568-FEB872D3014C}" uniqueName="Vimpact">
      <xmlPr mapId="7" xpath="/MAKE/PP/AEB_VRU/Cyclist/LONGITUDINAL/Daytime/CBLA_50/_50km_h/@Vimpact" xmlDataType="decimal"/>
    </xmlCellPr>
  </singleXmlCell>
  <singleXmlCell id="4909" xr6:uid="{FE35F427-D1D4-49DA-B4BD-567BCA6B0EA7}" r="F41" connectionId="0">
    <xmlCellPr id="1" xr6:uid="{EED573ED-F3E5-44D5-9D21-277C8AC655B8}" uniqueName="Points">
      <xmlPr mapId="7" xpath="/MAKE/PP/AEB_VRU/Cyclist/LONGITUDINAL/Daytime/CBLA_50/_50km_h/@Points" xmlDataType="decimal"/>
    </xmlCellPr>
  </singleXmlCell>
  <singleXmlCell id="4910" xr6:uid="{D8727049-2C69-4F4C-B5ED-A2F9665F7822}" r="D42" connectionId="0">
    <xmlCellPr id="1" xr6:uid="{E4265479-C9A4-43B1-85F9-CD1375F6A589}" uniqueName="OEM_Predict">
      <xmlPr mapId="7" xpath="/MAKE/PP/AEB_VRU/Cyclist/LONGITUDINAL/Daytime/CBLA_50/_55km_h/@OEM_Predict" xmlDataType="string"/>
    </xmlCellPr>
  </singleXmlCell>
  <singleXmlCell id="4911" xr6:uid="{533C1D02-A53F-49DD-B7C7-DA3239808E31}" r="E42" connectionId="0">
    <xmlCellPr id="1" xr6:uid="{34B669BA-A1AB-482C-8035-E601B7548382}" uniqueName="Vimpact">
      <xmlPr mapId="7" xpath="/MAKE/PP/AEB_VRU/Cyclist/LONGITUDINAL/Daytime/CBLA_50/_55km_h/@Vimpact" xmlDataType="decimal"/>
    </xmlCellPr>
  </singleXmlCell>
  <singleXmlCell id="4912" xr6:uid="{0B6501ED-65CB-4AA9-AA02-BD7DE282A73B}" r="F42" connectionId="0">
    <xmlCellPr id="1" xr6:uid="{4476CC43-FB8C-4D72-BD37-6F9565A5A1D1}" uniqueName="Points">
      <xmlPr mapId="7" xpath="/MAKE/PP/AEB_VRU/Cyclist/LONGITUDINAL/Daytime/CBLA_50/_55km_h/@Points" xmlDataType="decimal"/>
    </xmlCellPr>
  </singleXmlCell>
  <singleXmlCell id="4913" xr6:uid="{1C88D444-A249-47FD-99B8-022B937F8AAA}" r="D43" connectionId="0">
    <xmlCellPr id="1" xr6:uid="{23EB3C9D-86DE-4936-876B-F32DD51B6733}" uniqueName="OEM_Predict">
      <xmlPr mapId="7" xpath="/MAKE/PP/AEB_VRU/Cyclist/LONGITUDINAL/Daytime/CBLA_50/_60km_h/@OEM_Predict" xmlDataType="string"/>
    </xmlCellPr>
  </singleXmlCell>
  <singleXmlCell id="4914" xr6:uid="{96920EC3-0D98-40E7-B57D-10E36E6A4BF4}" r="E43" connectionId="0">
    <xmlCellPr id="1" xr6:uid="{6FC0A01A-9747-43A8-848B-1598845F0E1B}" uniqueName="Vimpact">
      <xmlPr mapId="7" xpath="/MAKE/PP/AEB_VRU/Cyclist/LONGITUDINAL/Daytime/CBLA_50/_60km_h/@Vimpact" xmlDataType="decimal"/>
    </xmlCellPr>
  </singleXmlCell>
  <singleXmlCell id="4915" xr6:uid="{6DC8E547-D67D-4F55-9104-C968111F86F4}" r="F43" connectionId="0">
    <xmlCellPr id="1" xr6:uid="{654B1F5B-7D7D-46D7-B45E-5CF93B6CA2F5}" uniqueName="Points">
      <xmlPr mapId="7" xpath="/MAKE/PP/AEB_VRU/Cyclist/LONGITUDINAL/Daytime/CBLA_50/_60km_h/@Points" xmlDataType="decimal"/>
    </xmlCellPr>
  </singleXmlCell>
  <singleXmlCell id="4916" xr6:uid="{DF80A6AE-7EBC-4B24-B558-DA2D93B86722}" r="G48" connectionId="0">
    <xmlCellPr id="1" xr6:uid="{1378FD08-F411-4C36-8F21-4412FD25A4BD}" uniqueName="Score">
      <xmlPr mapId="7" xpath="/MAKE/PP/AEB_VRU/Cyclist/LONGITUDINAL/Daytime/CBLA_25/@Score" xmlDataType="decimal"/>
    </xmlCellPr>
  </singleXmlCell>
  <singleXmlCell id="4917" xr6:uid="{F7D298F9-DEF2-480A-A1A7-B5E80937D8DE}" r="G41" connectionId="0">
    <xmlCellPr id="1" xr6:uid="{B14875EF-5CCD-4E5D-98AD-1A05B91930FC}" uniqueName="TTfcw">
      <xmlPr mapId="7" xpath="/MAKE/PP/AEB_VRU/Cyclist/LONGITUDINAL/Daytime/CBLA_25/_50km_h/@TTfcw" xmlDataType="decimal"/>
    </xmlCellPr>
  </singleXmlCell>
  <singleXmlCell id="4918" xr6:uid="{063636FD-3BE3-42DA-8B3F-78EC23DB48B5}" r="I41" connectionId="0">
    <xmlCellPr id="1" xr6:uid="{5213174F-8B4B-4E1D-A503-FE7E1BF6F002}" uniqueName="Points">
      <xmlPr mapId="7" xpath="/MAKE/PP/AEB_VRU/Cyclist/LONGITUDINAL/Daytime/CBLA_25/_50km_h/@Points" xmlDataType="decimal"/>
    </xmlCellPr>
  </singleXmlCell>
  <singleXmlCell id="4919" xr6:uid="{B652B4BE-CE7F-446D-B0FE-EF56B903D856}" r="G42" connectionId="0">
    <xmlCellPr id="1" xr6:uid="{4A4E2A8B-01B1-4EFA-9DDD-9DC4DAA3CD73}" uniqueName="TTfcw">
      <xmlPr mapId="7" xpath="/MAKE/PP/AEB_VRU/Cyclist/LONGITUDINAL/Daytime/CBLA_25/_55km_h/@TTfcw" xmlDataType="decimal"/>
    </xmlCellPr>
  </singleXmlCell>
  <singleXmlCell id="4920" xr6:uid="{6A44871D-849F-4113-BEB9-AF447BAECA11}" r="I42" connectionId="0">
    <xmlCellPr id="1" xr6:uid="{A83DD428-5572-4156-8FAB-B32AD6A5576B}" uniqueName="Points">
      <xmlPr mapId="7" xpath="/MAKE/PP/AEB_VRU/Cyclist/LONGITUDINAL/Daytime/CBLA_25/_55km_h/@Points" xmlDataType="decimal"/>
    </xmlCellPr>
  </singleXmlCell>
  <singleXmlCell id="4921" xr6:uid="{FD815BC8-B103-4C57-A15E-3BB798244B79}" r="G43" connectionId="0">
    <xmlCellPr id="1" xr6:uid="{710650FB-B3FD-4A1B-B584-B7D92C2D2905}" uniqueName="TTfcw">
      <xmlPr mapId="7" xpath="/MAKE/PP/AEB_VRU/Cyclist/LONGITUDINAL/Daytime/CBLA_25/_60km_h/@TTfcw" xmlDataType="decimal"/>
    </xmlCellPr>
  </singleXmlCell>
  <singleXmlCell id="4922" xr6:uid="{53AC1CB5-424C-4361-A6B5-FED9F83D4D6E}" r="I43" connectionId="0">
    <xmlCellPr id="1" xr6:uid="{9A8C422B-2103-4764-A908-DEA3B01E4B94}" uniqueName="Points">
      <xmlPr mapId="7" xpath="/MAKE/PP/AEB_VRU/Cyclist/LONGITUDINAL/Daytime/CBLA_25/_60km_h/@Points" xmlDataType="decimal"/>
    </xmlCellPr>
  </singleXmlCell>
  <singleXmlCell id="4923" xr6:uid="{E132A4E8-FE00-4E0E-A13A-668D397E13E9}" r="G44" connectionId="0">
    <xmlCellPr id="1" xr6:uid="{748D8959-972F-4F2E-BC5B-F5112CADFB1C}" uniqueName="TTfcw">
      <xmlPr mapId="7" xpath="/MAKE/PP/AEB_VRU/Cyclist/LONGITUDINAL/Daytime/CBLA_25/_65km_h/@TTfcw" xmlDataType="decimal"/>
    </xmlCellPr>
  </singleXmlCell>
  <singleXmlCell id="4924" xr6:uid="{895ABDE9-D796-4D44-9155-E0E443CCEFED}" r="I44" connectionId="0">
    <xmlCellPr id="1" xr6:uid="{3947C1DB-FBC6-4D95-82F9-D57C4CAF8372}" uniqueName="Points">
      <xmlPr mapId="7" xpath="/MAKE/PP/AEB_VRU/Cyclist/LONGITUDINAL/Daytime/CBLA_25/_65km_h/@Points" xmlDataType="decimal"/>
    </xmlCellPr>
  </singleXmlCell>
  <singleXmlCell id="4925" xr6:uid="{3C7DCC73-EB69-4A6C-B146-697E953A9DB1}" r="G45" connectionId="0">
    <xmlCellPr id="1" xr6:uid="{BB15E9C6-CD02-4D6B-BFFE-AE4E16E89F5D}" uniqueName="TTfcw">
      <xmlPr mapId="7" xpath="/MAKE/PP/AEB_VRU/Cyclist/LONGITUDINAL/Daytime/CBLA_25/_70km_h/@TTfcw" xmlDataType="decimal"/>
    </xmlCellPr>
  </singleXmlCell>
  <singleXmlCell id="4926" xr6:uid="{5E1E6DCF-BB2C-4269-99BC-13AEAD54D074}" r="I45" connectionId="0">
    <xmlCellPr id="1" xr6:uid="{730C8A0D-98B8-405A-A328-E33D1316C733}" uniqueName="Points">
      <xmlPr mapId="7" xpath="/MAKE/PP/AEB_VRU/Cyclist/LONGITUDINAL/Daytime/CBLA_25/_70km_h/@Points" xmlDataType="decimal"/>
    </xmlCellPr>
  </singleXmlCell>
  <singleXmlCell id="4927" xr6:uid="{F4C18733-AB3A-4D1F-9B22-3716DFBA900B}" r="G46" connectionId="0">
    <xmlCellPr id="1" xr6:uid="{2A4EBC54-AE01-4EDB-83A2-D4B8591B368F}" uniqueName="TTfcw">
      <xmlPr mapId="7" xpath="/MAKE/PP/AEB_VRU/Cyclist/LONGITUDINAL/Daytime/CBLA_25/_75km_h/@TTfcw" xmlDataType="decimal"/>
    </xmlCellPr>
  </singleXmlCell>
  <singleXmlCell id="4928" xr6:uid="{1E0B941E-698C-467E-BD5D-F4D3C5A6B2D8}" r="I46" connectionId="0">
    <xmlCellPr id="1" xr6:uid="{AFCFA14F-E577-4A2C-8F95-4C151366B3F4}" uniqueName="Points">
      <xmlPr mapId="7" xpath="/MAKE/PP/AEB_VRU/Cyclist/LONGITUDINAL/Daytime/CBLA_25/_75km_h/@Points" xmlDataType="decimal"/>
    </xmlCellPr>
  </singleXmlCell>
  <singleXmlCell id="4929" xr6:uid="{CF5E30DB-342D-4CA4-A25D-7C8AAF791987}" r="G47" connectionId="0">
    <xmlCellPr id="1" xr6:uid="{0555D6DC-CF8C-46C1-B688-873A5256378F}" uniqueName="TTfcw">
      <xmlPr mapId="7" xpath="/MAKE/PP/AEB_VRU/Cyclist/LONGITUDINAL/Daytime/CBLA_25/_80km_h/@TTfcw" xmlDataType="decimal"/>
    </xmlCellPr>
  </singleXmlCell>
  <singleXmlCell id="4930" xr6:uid="{C3B9A9D6-D076-473F-B1B7-B1D49AA39D03}" r="I47" connectionId="0">
    <xmlCellPr id="1" xr6:uid="{A0AE84C3-E67C-4D29-9B55-F12F7B788D5E}" uniqueName="Points">
      <xmlPr mapId="7" xpath="/MAKE/PP/AEB_VRU/Cyclist/LONGITUDINAL/Daytime/CBLA_25/_80km_h/@Points" xmlDataType="decimal"/>
    </xmlCellPr>
  </singleXmlCell>
  <singleXmlCell id="4931" xr6:uid="{ACC1F328-20E3-4DF6-AC0B-960098F8237B}" r="D56" connectionId="0">
    <xmlCellPr id="1" xr6:uid="{1766176D-F246-4D08-8DD6-B683DEDC6860}" uniqueName="opposite_points">
      <xmlPr mapId="7" xpath="/MAKE/PP/AEB_VRU/Cyclist/TURNING/Daytime/@opposite_points" xmlDataType="decimal"/>
    </xmlCellPr>
  </singleXmlCell>
  <singleXmlCell id="4932" xr6:uid="{0D6E0970-0157-402A-A60F-756B3C30AE20}" r="D53" connectionId="0">
    <xmlCellPr id="1" xr6:uid="{E3BEAB2F-2531-4982-A7B8-ADFE29C215BD}" uniqueName="Vimpact">
      <xmlPr mapId="7" xpath="/MAKE/PP/AEB_VRU/Cyclist/TURNING/Daytime/CPTA_far_opposite/_10km_h/@Vimpact" xmlDataType="decimal"/>
    </xmlCellPr>
  </singleXmlCell>
  <singleXmlCell id="4933" xr6:uid="{54485B39-BA95-4DB7-86F7-DE267C47FFDE}" r="F53" connectionId="0">
    <xmlCellPr id="1" xr6:uid="{52777696-35D2-4687-A3C4-6919E7CE9474}" uniqueName="Points">
      <xmlPr mapId="7" xpath="/MAKE/PP/AEB_VRU/Cyclist/TURNING/Daytime/CPTA_far_opposite/_10km_h/@Points" xmlDataType="decimal"/>
    </xmlCellPr>
  </singleXmlCell>
  <singleXmlCell id="4934" xr6:uid="{792283A1-BB10-4321-BB81-FD56A7EC595B}" r="D54" connectionId="0">
    <xmlCellPr id="1" xr6:uid="{0E88E206-0D46-4097-B941-071A731B5076}" uniqueName="Vimpact">
      <xmlPr mapId="7" xpath="/MAKE/PP/AEB_VRU/Cyclist/TURNING/Daytime/CPTA_far_opposite/_15km_h/@Vimpact" xmlDataType="decimal"/>
    </xmlCellPr>
  </singleXmlCell>
  <singleXmlCell id="4935" xr6:uid="{F820F9F6-C376-491F-AC5D-FD0A813446C9}" r="F54" connectionId="0">
    <xmlCellPr id="1" xr6:uid="{9421E6E2-4C0B-4705-A18C-3D2A8E74F2E9}" uniqueName="Points">
      <xmlPr mapId="7" xpath="/MAKE/PP/AEB_VRU/Cyclist/TURNING/Daytime/CPTA_far_opposite/_15km_h/@Points" xmlDataType="decimal"/>
    </xmlCellPr>
  </singleXmlCell>
  <singleXmlCell id="4936" xr6:uid="{7EFA0E31-4085-4DB0-9247-3DA417876224}" r="D55" connectionId="0">
    <xmlCellPr id="1" xr6:uid="{9370405D-0BE4-4459-92D9-C8AC75FC894F}" uniqueName="Vimpact">
      <xmlPr mapId="7" xpath="/MAKE/PP/AEB_VRU/Cyclist/TURNING/Daytime/CPTA_far_opposite/_20km_h/@Vimpact" xmlDataType="decimal"/>
    </xmlCellPr>
  </singleXmlCell>
  <singleXmlCell id="4937" xr6:uid="{F0AAB72E-83EA-4AC9-BE5D-A41ACD8F62AA}" r="F55" connectionId="0">
    <xmlCellPr id="1" xr6:uid="{A6EA8409-4431-44D4-8715-960B9CBDAA8B}" uniqueName="Points">
      <xmlPr mapId="7" xpath="/MAKE/PP/AEB_VRU/Cyclist/TURNING/Daytime/CPTA_far_opposite/_20km_h/@Points" xmlDataType="decimal"/>
    </xmlCellPr>
  </singleXmlCell>
  <singleXmlCell id="4938" xr6:uid="{4C086965-17E2-4707-8EBD-B4747FF0AA4D}" r="G53" connectionId="0">
    <xmlCellPr id="1" xr6:uid="{C4D168A1-163E-4DF9-8B5A-6AB03F28451D}" uniqueName="Vimpact">
      <xmlPr mapId="7" xpath="/MAKE/PP/AEB_VRU/Cyclist/TURNING/Daytime/CPTA_near_opposite/_10km_h/@Vimpact" xmlDataType="decimal"/>
    </xmlCellPr>
  </singleXmlCell>
  <singleXmlCell id="4939" xr6:uid="{F1F2971F-FCB0-4D25-B5C4-FC5BAC9706E0}" r="I53" connectionId="0">
    <xmlCellPr id="1" xr6:uid="{0D5CF144-BAB2-4AB6-8A04-7B08E0DDB649}" uniqueName="Points">
      <xmlPr mapId="7" xpath="/MAKE/PP/AEB_VRU/Cyclist/TURNING/Daytime/CPTA_near_opposite/_10km_h/@Points" xmlDataType="decimal"/>
    </xmlCellPr>
  </singleXmlCell>
  <singleXmlCell id="4941" xr6:uid="{45A117B0-0ABC-4FDC-B2EF-BB3EF55FE448}" r="C59" connectionId="0">
    <xmlCellPr id="1" xr6:uid="{7E87D06A-13A0-40C8-A2FC-780FAF32CFCB}" uniqueName="Door_Type">
      <xmlPr mapId="7" xpath="/MAKE/PP/AEB_VRU/Cyclist/Dooring/@Door_Type" xmlDataType="string"/>
    </xmlCellPr>
  </singleXmlCell>
  <singleXmlCell id="4942" xr6:uid="{562AA84F-7CAA-475B-98EA-9174C225C7F5}" r="D61" connectionId="0">
    <xmlCellPr id="1" xr6:uid="{E0261049-ED32-4BFE-AEBB-4A84A628C82F}" uniqueName="TTCstart">
      <xmlPr mapId="7" xpath="/MAKE/PP/AEB_VRU/Cyclist/Dooring/Driver_Door/Information/@TTCstart" xmlDataType="decimal"/>
    </xmlCellPr>
  </singleXmlCell>
  <singleXmlCell id="4943" xr6:uid="{4E2F67C5-A0B7-4922-9DAB-1476DC26A5B2}" r="E61" connectionId="0">
    <xmlCellPr id="1" xr6:uid="{ACD1E582-6DE5-4B16-AA06-CC262946EF69}" uniqueName="TTCend">
      <xmlPr mapId="7" xpath="/MAKE/PP/AEB_VRU/Cyclist/Dooring/Driver_Door/Information/@TTCend" xmlDataType="decimal"/>
    </xmlCellPr>
  </singleXmlCell>
  <singleXmlCell id="4944" xr6:uid="{D4AF0683-4E2F-4735-8663-F076C897C4FA}" r="F61" connectionId="0">
    <xmlCellPr id="1" xr6:uid="{21465657-62A9-429F-B7D6-3FE12B220E61}" uniqueName="Points">
      <xmlPr mapId="7" xpath="/MAKE/PP/AEB_VRU/Cyclist/Dooring/Driver_Door/Information/@Points" xmlDataType="decimal"/>
    </xmlCellPr>
  </singleXmlCell>
  <singleXmlCell id="4945" xr6:uid="{9EF86DAD-F0CF-4FA0-A619-5E89DCACEAFA}" r="D62" connectionId="0">
    <xmlCellPr id="1" xr6:uid="{3B9F335F-158C-4D56-99DC-94FB070FE91E}" uniqueName="TTCstart">
      <xmlPr mapId="7" xpath="/MAKE/PP/AEB_VRU/Cyclist/Dooring/Driver_Door/Warning/@TTCstart" xmlDataType="decimal"/>
    </xmlCellPr>
  </singleXmlCell>
  <singleXmlCell id="4946" xr6:uid="{FB2031EB-58A9-4A45-8DFF-875D76874398}" r="E62" connectionId="0">
    <xmlCellPr id="1" xr6:uid="{56989EE0-62A8-47B9-8D0B-92C158723302}" uniqueName="TTCend">
      <xmlPr mapId="7" xpath="/MAKE/PP/AEB_VRU/Cyclist/Dooring/Driver_Door/Warning/@TTCend" xmlDataType="decimal"/>
    </xmlCellPr>
  </singleXmlCell>
  <singleXmlCell id="4947" xr6:uid="{D7802021-1642-4B5B-B7C2-E284E9B9364E}" r="F62" connectionId="0">
    <xmlCellPr id="1" xr6:uid="{07BDA938-37CB-4790-B981-6E76D400E289}" uniqueName="Points">
      <xmlPr mapId="7" xpath="/MAKE/PP/AEB_VRU/Cyclist/Dooring/Driver_Door/Warning/@Points" xmlDataType="decimal"/>
    </xmlCellPr>
  </singleXmlCell>
  <singleXmlCell id="4948" xr6:uid="{A2D14AA6-6350-43A8-BB64-BEDA46EC3516}" r="D63" connectionId="0">
    <xmlCellPr id="1" xr6:uid="{DB64D55C-97B2-42F5-9D7C-4177D484022E}" uniqueName="TTCstart">
      <xmlPr mapId="7" xpath="/MAKE/PP/AEB_VRU/Cyclist/Dooring/Driver_Door/Retention/@TTCstart" xmlDataType="decimal"/>
    </xmlCellPr>
  </singleXmlCell>
  <singleXmlCell id="4949" xr6:uid="{43671117-4835-405E-82B3-272D20D7D040}" r="E63" connectionId="0">
    <xmlCellPr id="1" xr6:uid="{113E23E3-6790-44F2-80F1-B21AD0E8C35F}" uniqueName="TTCend">
      <xmlPr mapId="7" xpath="/MAKE/PP/AEB_VRU/Cyclist/Dooring/Driver_Door/Retention/@TTCend" xmlDataType="decimal"/>
    </xmlCellPr>
  </singleXmlCell>
  <singleXmlCell id="4950" xr6:uid="{182995F9-3779-4103-A7EF-4CB53F7F6046}" r="F63" connectionId="0">
    <xmlCellPr id="1" xr6:uid="{23D8CFD9-23BD-4E61-B6BC-0C69050E8411}" uniqueName="Points">
      <xmlPr mapId="7" xpath="/MAKE/PP/AEB_VRU/Cyclist/Dooring/Driver_Door/Retention/@Points" xmlDataType="decimal"/>
    </xmlCellPr>
  </singleXmlCell>
  <singleXmlCell id="4956" xr6:uid="{FE577431-912E-461E-94C2-B072EEC5F608}" r="G68" connectionId="0">
    <xmlCellPr id="1" xr6:uid="{58CF69F5-4931-484E-87B1-A476E5CCAD5F}" uniqueName="CBFA-50">
      <xmlPr mapId="7" xpath="/MAKE/PP/AEB_VRU/Cyclist/SUMMARY/@CBFA-50" xmlDataType="decimal"/>
    </xmlCellPr>
  </singleXmlCell>
  <singleXmlCell id="4957" xr6:uid="{EBBD09DF-CF43-438E-A559-4F0CB9D7E718}" r="G69" connectionId="0">
    <xmlCellPr id="1" xr6:uid="{1F749953-CDEE-46D9-BC58-6510D42E3524}" uniqueName="CBNA-50">
      <xmlPr mapId="7" xpath="/MAKE/PP/AEB_VRU/Cyclist/SUMMARY/@CBNA-50" xmlDataType="decimal"/>
    </xmlCellPr>
  </singleXmlCell>
  <singleXmlCell id="4958" xr6:uid="{45C825ED-1C02-4FA6-9170-D7425A3CC829}" r="G70" connectionId="0">
    <xmlCellPr id="1" xr6:uid="{4E9B1374-683E-4D58-ACC4-3294B9F675FE}" uniqueName="CBNAO-50">
      <xmlPr mapId="7" xpath="/MAKE/PP/AEB_VRU/Cyclist/SUMMARY/@CBNAO-50" xmlDataType="decimal"/>
    </xmlCellPr>
  </singleXmlCell>
  <singleXmlCell id="4959" xr6:uid="{4F48AF25-77B2-477A-A453-7E472BF90824}" r="G71" connectionId="0">
    <xmlCellPr id="1" xr6:uid="{2CC69928-695C-4930-B8AA-1C75596F3EFE}" uniqueName="CBLA">
      <xmlPr mapId="7" xpath="/MAKE/PP/AEB_VRU/Cyclist/SUMMARY/@CBLA" xmlDataType="decimal"/>
    </xmlCellPr>
  </singleXmlCell>
  <singleXmlCell id="4960" xr6:uid="{52A10EF0-F85F-49AB-A2A0-F7622BF2B684}" r="G72" connectionId="0">
    <xmlCellPr id="1" xr6:uid="{CA787DDC-FD7E-43CB-B3D5-E636F012E259}" uniqueName="CBTA">
      <xmlPr mapId="7" xpath="/MAKE/PP/AEB_VRU/Cyclist/SUMMARY/@CBTA" xmlDataType="decimal"/>
    </xmlCellPr>
  </singleXmlCell>
  <singleXmlCell id="4961" xr6:uid="{D710666B-DA49-43C8-8812-99E05D2BB437}" r="G73" connectionId="0">
    <xmlCellPr id="1" xr6:uid="{A45826C1-6839-42A6-B0B8-E7F559CCBBF6}" uniqueName="CBDA">
      <xmlPr mapId="7" xpath="/MAKE/PP/AEB_VRU/Cyclist/SUMMARY/@CBDA" xmlDataType="decimal"/>
    </xmlCellPr>
  </singleXmlCell>
  <singleXmlCell id="4962" xr6:uid="{056773CC-C325-4F93-8C1D-50D985747BB8}" r="D76" connectionId="0">
    <xmlCellPr id="1" xr6:uid="{550088AD-5E45-4BA3-BD34-31A0E43EC9CF}" uniqueName="Score">
      <xmlPr mapId="7" xpath="/MAKE/PP/AEB_VRU/Cyclist/@Score" xmlDataType="decimal"/>
    </xmlCellPr>
  </singleXmlCell>
  <singleXmlCell id="5092" xr6:uid="{C074D7B2-5B60-4AF0-B041-CE7901A24B68}" r="D6" connectionId="0">
    <xmlCellPr id="1" xr6:uid="{A1385B14-91CB-4199-B8C4-6BF8796CC22F}" uniqueName="System_Name">
      <xmlPr mapId="7" xpath="/MAKE/PP/AEB_VRU/Cyclist/System_Details/System_Name" xmlDataType="string"/>
    </xmlCellPr>
  </singleXmlCell>
  <singleXmlCell id="5093" xr6:uid="{CBED3A77-F46F-4D0D-8483-18D9B8B9CA76}" r="D7" connectionId="0">
    <xmlCellPr id="1" xr6:uid="{E215D57F-3709-4678-8A29-48890185F446}" uniqueName="Functionality">
      <xmlPr mapId="7" xpath="/MAKE/PP/AEB_VRU/Cyclist/System_Details/Functionality" xmlDataType="string"/>
    </xmlCellPr>
  </singleXmlCell>
  <singleXmlCell id="5094" xr6:uid="{3E7058D2-0C69-4CAD-9F03-FC6F7062607B}" r="D8" connectionId="0">
    <xmlCellPr id="1" xr6:uid="{AFA6B915-7649-481B-B253-5F3E91365445}" uniqueName="Min_Speed">
      <xmlPr mapId="7" xpath="/MAKE/PP/AEB_VRU/Cyclist/System_Details/Min_Speed" xmlDataType="decimal"/>
    </xmlCellPr>
  </singleXmlCell>
  <singleXmlCell id="5095" xr6:uid="{7875F979-68F7-4C51-A94E-EBA2BBFDC5A5}" r="D9" connectionId="0">
    <xmlCellPr id="1" xr6:uid="{1A3E1FF7-F16D-460C-8492-66431804588A}" uniqueName="Max_Speed">
      <xmlPr mapId="7" xpath="/MAKE/PP/AEB_VRU/Cyclist/System_Details/Max_Speed" xmlDataType="decimal"/>
    </xmlCellPr>
  </singleXmlCell>
  <singleXmlCell id="5096" xr6:uid="{B76C5D46-5B04-4CBF-ACC2-D3E63DB23573}" r="D15" connectionId="0">
    <xmlCellPr id="1" xr6:uid="{472C23FB-7B73-4E6C-8B98-E6D739A4ADF3}" uniqueName="Pass_Fail">
      <xmlPr mapId="7" xpath="/MAKE/PP/AEB_VRU/Cyclist/Prerequisites/@Pass_Fail" xmlDataType="string"/>
    </xmlCellPr>
  </singleXmlCell>
  <singleXmlCell id="5097" xr6:uid="{7685AFAE-5A48-407B-971E-5D50C71F829F}" r="D13" connectionId="0">
    <xmlCellPr id="1" xr6:uid="{E5DDDA0E-9CF3-44A8-A5B8-E0104C156DBE}" uniqueName="Default_On">
      <xmlPr mapId="7" xpath="/MAKE/PP/AEB_VRU/Cyclist/Prerequisites/Default_On" xmlDataType="string"/>
    </xmlCellPr>
  </singleXmlCell>
  <singleXmlCell id="5098" xr6:uid="{F27E548E-8E2E-402C-85D6-7CA3ADFEF897}" r="D14" connectionId="0">
    <xmlCellPr id="1" xr6:uid="{FE2C4D43-B348-4AC8-9AB6-342FA340D8D6}" uniqueName="Off_below_80">
      <xmlPr mapId="7" xpath="/MAKE/PP/AEB_VRU/Cyclist/Prerequisites/Off_below_80" xmlDataType="string"/>
    </xmlCellPr>
  </singleXmlCell>
  <singleXmlCell id="5287" xr6:uid="{228AE236-95DF-421E-9200-BB831F95CBA9}" r="D64" connectionId="0">
    <xmlCellPr id="1" xr6:uid="{F170E8D9-9AD1-4079-A8E8-F3BB0CFA1137}" uniqueName="Score">
      <xmlPr mapId="7" xpath="/MAKE/PP/AEB_VRU/Cyclist/Dooring/Driver_Door/@Score" xmlDataType="decimal"/>
    </xmlCellPr>
  </singleXmlCell>
  <singleXmlCell id="2308" xr6:uid="{865FD5A5-F4CF-4418-91B9-5C127FF2BE9D}" r="I62" connectionId="0">
    <xmlCellPr id="1" xr6:uid="{E5C677BB-2F49-46BD-AE3D-5E4171E5E286}" uniqueName="Result">
      <xmlPr mapId="7" xpath="/MAKE/PP/AEB_VRU/Cyclist/Dooring/All_Doors/Warning/@Result" xmlDataType="string"/>
    </xmlCellPr>
  </singleXmlCell>
  <singleXmlCell id="5314" xr6:uid="{9082597F-6D88-4224-94CB-72972D8E5EA9}" r="R62" connectionId="0">
    <xmlCellPr id="1" xr6:uid="{44982C6E-4978-4C66-88FD-5B5F4CD332EB}" uniqueName="TTCstart">
      <xmlPr mapId="7" xpath="/MAKE/PP/AEB_VRU/Cyclist/Dooring/All_Doors/Retention/@TTCstart" xmlDataType="decimal"/>
    </xmlCellPr>
  </singleXmlCell>
  <singleXmlCell id="5323" xr6:uid="{AAD77840-14C6-4851-9C7A-6326141C0467}" r="R63" connectionId="0">
    <xmlCellPr id="1" xr6:uid="{D25D196F-A81B-431A-AAAD-175D7659C145}" uniqueName="TTCend">
      <xmlPr mapId="7" xpath="/MAKE/PP/AEB_VRU/Cyclist/Dooring/All_Doors/Retention/@TTCend" xmlDataType="decimal"/>
    </xmlCellPr>
  </singleXmlCell>
</singleXmlCells>
</file>

<file path=xl/tables/tableSingleCells18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1286" xr6:uid="{0E71E1EA-1E50-46F5-A87C-81C179AC3C4A}" r="D6" connectionId="0">
    <xmlCellPr id="1" xr6:uid="{A960E1FD-5A71-4770-8B5B-29652C9F547B}" uniqueName="System_Name">
      <xmlPr mapId="7" xpath="/MAKE/PP/AEB_VRU/Motorcyclist/@System_Name" xmlDataType="string"/>
    </xmlCellPr>
  </singleXmlCell>
  <singleXmlCell id="1289" xr6:uid="{1724FC0A-11DE-4189-885C-947BBE1F0E55}" r="D7" connectionId="0">
    <xmlCellPr id="1" xr6:uid="{B927C7DC-A428-4A18-BD35-436BCD4631FE}" uniqueName="Functionality">
      <xmlPr mapId="7" xpath="/MAKE/PP/AEB_VRU/Motorcyclist/@Functionality" xmlDataType="string"/>
    </xmlCellPr>
  </singleXmlCell>
  <singleXmlCell id="5102" xr6:uid="{74D8FED6-4A81-4F38-BBA5-9665610F3D2B}" r="D8" connectionId="0">
    <xmlCellPr id="1" xr6:uid="{C4DBBA77-87EF-4080-860D-3706AF2685F2}" uniqueName="Min_Speed">
      <xmlPr mapId="7" xpath="/MAKE/PP/AEB_VRU/Motorcyclist/@Min_Speed" xmlDataType="decimal"/>
    </xmlCellPr>
  </singleXmlCell>
  <singleXmlCell id="5103" xr6:uid="{F2F8DEC9-55B1-4398-AC0B-11561369342B}" r="D9" connectionId="0">
    <xmlCellPr id="1" xr6:uid="{3A3048DA-4D77-4B4D-AD5E-5EDE4E41A31F}" uniqueName="Max_Speed">
      <xmlPr mapId="7" xpath="/MAKE/PP/AEB_VRU/Motorcyclist/@Max_Speed" xmlDataType="decimal"/>
    </xmlCellPr>
  </singleXmlCell>
  <singleXmlCell id="5104" xr6:uid="{12FF94B9-0F84-4542-BB5C-4BD4A1222B27}" r="D15" connectionId="0">
    <xmlCellPr id="1" xr6:uid="{94B35F05-8BB4-43E9-B056-BBC9FD6AEE69}" uniqueName="Pass_Fail">
      <xmlPr mapId="7" xpath="/MAKE/PP/AEB_VRU/Motorcyclist/Prerequisites/@Pass_Fail" xmlDataType="string"/>
    </xmlCellPr>
  </singleXmlCell>
  <singleXmlCell id="5105" xr6:uid="{6FE1E2E5-7AE2-487E-9EB3-958E5D626F77}" r="D13" connectionId="0">
    <xmlCellPr id="1" xr6:uid="{AE01758F-C0FD-4310-907F-F096C144680E}" uniqueName="Default_On">
      <xmlPr mapId="7" xpath="/MAKE/PP/AEB_VRU/Motorcyclist/Prerequisites/Default_On" xmlDataType="string"/>
    </xmlCellPr>
  </singleXmlCell>
  <singleXmlCell id="5106" xr6:uid="{2DCF3B56-A46F-4EA6-8057-6FA817204EF8}" r="D14" connectionId="0">
    <xmlCellPr id="1" xr6:uid="{61031F93-3625-407C-BE44-0115DEDB9FEB}" uniqueName="Off_Below_80">
      <xmlPr mapId="7" xpath="/MAKE/PP/AEB_VRU/Motorcyclist/Prerequisites/Off_Below_80" xmlDataType="string"/>
    </xmlCellPr>
  </singleXmlCell>
  <singleXmlCell id="5107" xr6:uid="{D4A59439-FDCD-494B-A781-AAD0F1FB1B37}" r="D21" connectionId="0">
    <xmlCellPr id="1" xr6:uid="{84BE4167-11BE-405A-AC93-EBE17A073AAC}" uniqueName="OEM">
      <xmlPr mapId="7" xpath="/MAKE/PP/AEB_VRU/Motorcyclist/Longitundinal/Daytime/CMRs_50/AEB/_10_kmh/@OEM" xmlDataType="string"/>
    </xmlCellPr>
  </singleXmlCell>
  <singleXmlCell id="5108" xr6:uid="{1B15773E-E808-49F2-A967-712EBFD2DD8F}" r="E21" connectionId="0">
    <xmlCellPr id="1" xr6:uid="{1386AB3A-F4E2-4E92-8572-BE524A40FEBF}" uniqueName="Vimpact">
      <xmlPr mapId="7" xpath="/MAKE/PP/AEB_VRU/Motorcyclist/Longitundinal/Daytime/CMRs_50/AEB/_10_kmh/@Vimpact" xmlDataType="decimal"/>
    </xmlCellPr>
  </singleXmlCell>
  <singleXmlCell id="5109" xr6:uid="{97109FF0-B2C5-47EE-9C38-CFA239C29A4E}" r="F21" connectionId="0">
    <xmlCellPr id="1" xr6:uid="{F650D71C-E70B-423A-8BAD-B336694E63C8}" uniqueName="Points">
      <xmlPr mapId="7" xpath="/MAKE/PP/AEB_VRU/Motorcyclist/Longitundinal/Daytime/CMRs_50/AEB/_10_kmh/@Points" xmlDataType="decimal"/>
    </xmlCellPr>
  </singleXmlCell>
  <singleXmlCell id="5110" xr6:uid="{C1476A49-08FA-4DE6-A129-D3A86032260A}" r="D22" connectionId="0">
    <xmlCellPr id="1" xr6:uid="{043A30CF-6F6D-4FF4-89EA-7422B86BB2F6}" uniqueName="OEM">
      <xmlPr mapId="7" xpath="/MAKE/PP/AEB_VRU/Motorcyclist/Longitundinal/Daytime/CMRs_50/AEB/_15_kmh/@OEM" xmlDataType="string"/>
    </xmlCellPr>
  </singleXmlCell>
  <singleXmlCell id="5111" xr6:uid="{6188090B-0A9E-4629-AF37-CE235714306C}" r="E22" connectionId="0">
    <xmlCellPr id="1" xr6:uid="{F02D37EA-69F9-4FEF-9BAB-878981C4ECB0}" uniqueName="Vimpact">
      <xmlPr mapId="7" xpath="/MAKE/PP/AEB_VRU/Motorcyclist/Longitundinal/Daytime/CMRs_50/AEB/_15_kmh/@Vimpact" xmlDataType="decimal"/>
    </xmlCellPr>
  </singleXmlCell>
  <singleXmlCell id="5112" xr6:uid="{632EAFA4-B540-47C9-8CAA-FAB1128F42A1}" r="F22" connectionId="0">
    <xmlCellPr id="1" xr6:uid="{94B54315-8893-4B7C-8041-F590B8042FFD}" uniqueName="Points">
      <xmlPr mapId="7" xpath="/MAKE/PP/AEB_VRU/Motorcyclist/Longitundinal/Daytime/CMRs_50/AEB/_15_kmh/@Points" xmlDataType="decimal"/>
    </xmlCellPr>
  </singleXmlCell>
  <singleXmlCell id="5113" xr6:uid="{63344FB2-8B4C-4F0F-BE88-BC972B45F383}" r="D23" connectionId="0">
    <xmlCellPr id="1" xr6:uid="{9D48D482-9004-4429-837A-29005E5643E0}" uniqueName="OEM">
      <xmlPr mapId="7" xpath="/MAKE/PP/AEB_VRU/Motorcyclist/Longitundinal/Daytime/CMRs_50/AEB/_20_kmh/@OEM" xmlDataType="string"/>
    </xmlCellPr>
  </singleXmlCell>
  <singleXmlCell id="5114" xr6:uid="{E5C8A51D-485C-4513-88C1-A072B77BC396}" r="E23" connectionId="0">
    <xmlCellPr id="1" xr6:uid="{27107025-ED26-4DB2-98D5-56658D04F074}" uniqueName="Vimpact">
      <xmlPr mapId="7" xpath="/MAKE/PP/AEB_VRU/Motorcyclist/Longitundinal/Daytime/CMRs_50/AEB/_20_kmh/@Vimpact" xmlDataType="decimal"/>
    </xmlCellPr>
  </singleXmlCell>
  <singleXmlCell id="5115" xr6:uid="{213CC6F5-8528-4D5A-985E-0603C4389551}" r="F23" connectionId="0">
    <xmlCellPr id="1" xr6:uid="{70B7AA94-05A8-4B55-BC8C-80B06BDED9DC}" uniqueName="Points">
      <xmlPr mapId="7" xpath="/MAKE/PP/AEB_VRU/Motorcyclist/Longitundinal/Daytime/CMRs_50/AEB/_20_kmh/@Points" xmlDataType="decimal"/>
    </xmlCellPr>
  </singleXmlCell>
  <singleXmlCell id="5116" xr6:uid="{CB1A4192-44A4-4721-8966-BB691AAF02EF}" r="D24" connectionId="0">
    <xmlCellPr id="1" xr6:uid="{BAF37CC6-E6B9-452D-B211-5765AEC1448A}" uniqueName="OEM">
      <xmlPr mapId="7" xpath="/MAKE/PP/AEB_VRU/Motorcyclist/Longitundinal/Daytime/CMRs_50/AEB/_25_kmh/@OEM" xmlDataType="string"/>
    </xmlCellPr>
  </singleXmlCell>
  <singleXmlCell id="5117" xr6:uid="{3B7A6AE3-31E8-4216-A710-9D9C11AF328F}" r="E24" connectionId="0">
    <xmlCellPr id="1" xr6:uid="{4FABAB99-825D-4CB9-8450-59F3A7549969}" uniqueName="Vimpact">
      <xmlPr mapId="7" xpath="/MAKE/PP/AEB_VRU/Motorcyclist/Longitundinal/Daytime/CMRs_50/AEB/_25_kmh/@Vimpact" xmlDataType="decimal"/>
    </xmlCellPr>
  </singleXmlCell>
  <singleXmlCell id="5118" xr6:uid="{043E5C86-95D0-4E99-BE74-0E225736184E}" r="F24" connectionId="0">
    <xmlCellPr id="1" xr6:uid="{12ACB14E-F4EA-4359-8821-8F5DF6EA9A82}" uniqueName="Points">
      <xmlPr mapId="7" xpath="/MAKE/PP/AEB_VRU/Motorcyclist/Longitundinal/Daytime/CMRs_50/AEB/_25_kmh/@Points" xmlDataType="decimal"/>
    </xmlCellPr>
  </singleXmlCell>
  <singleXmlCell id="5119" xr6:uid="{2358546A-630D-44F0-9B69-9B8188593C45}" r="D25" connectionId="0">
    <xmlCellPr id="1" xr6:uid="{C1DE4613-62BC-4105-B091-F06B3A976AD2}" uniqueName="OEM">
      <xmlPr mapId="7" xpath="/MAKE/PP/AEB_VRU/Motorcyclist/Longitundinal/Daytime/CMRs_50/AEB/_30_kmh/@OEM" xmlDataType="string"/>
    </xmlCellPr>
  </singleXmlCell>
  <singleXmlCell id="5120" xr6:uid="{8AD30DFC-75F9-4F6D-9313-E0B7225BF2ED}" r="E25" connectionId="0">
    <xmlCellPr id="1" xr6:uid="{4DB8EB86-338F-4E82-9B1E-5046711B6246}" uniqueName="Vimpact">
      <xmlPr mapId="7" xpath="/MAKE/PP/AEB_VRU/Motorcyclist/Longitundinal/Daytime/CMRs_50/AEB/_30_kmh/@Vimpact" xmlDataType="decimal"/>
    </xmlCellPr>
  </singleXmlCell>
  <singleXmlCell id="5121" xr6:uid="{31D2A380-84FD-45C2-A20C-CC5B393C907C}" r="F25" connectionId="0">
    <xmlCellPr id="1" xr6:uid="{1ED95D81-9FEF-455B-A1C6-7D67F0804D51}" uniqueName="Points">
      <xmlPr mapId="7" xpath="/MAKE/PP/AEB_VRU/Motorcyclist/Longitundinal/Daytime/CMRs_50/AEB/_30_kmh/@Points" xmlDataType="decimal"/>
    </xmlCellPr>
  </singleXmlCell>
  <singleXmlCell id="5122" xr6:uid="{713032C2-A476-4038-9D3B-6029C318CA52}" r="D26" connectionId="0">
    <xmlCellPr id="1" xr6:uid="{EB96961F-43E3-42BD-B0FB-25887EB9677B}" uniqueName="OEM">
      <xmlPr mapId="7" xpath="/MAKE/PP/AEB_VRU/Motorcyclist/Longitundinal/Daytime/CMRs_50/AEB/_35_kmh/@OEM" xmlDataType="string"/>
    </xmlCellPr>
  </singleXmlCell>
  <singleXmlCell id="5123" xr6:uid="{6A85B574-AC51-4B5F-98A9-8469D9BA98B5}" r="E26" connectionId="0">
    <xmlCellPr id="1" xr6:uid="{B6EDF730-79C6-4DE1-B416-AD74C8661009}" uniqueName="Vimpact">
      <xmlPr mapId="7" xpath="/MAKE/PP/AEB_VRU/Motorcyclist/Longitundinal/Daytime/CMRs_50/AEB/_35_kmh/@Vimpact" xmlDataType="decimal"/>
    </xmlCellPr>
  </singleXmlCell>
  <singleXmlCell id="5124" xr6:uid="{919746E6-9607-4525-BD6B-D2D53DB52CC3}" r="F26" connectionId="0">
    <xmlCellPr id="1" xr6:uid="{04D1D1F0-FED5-474E-839E-2EBBFD3C7AFB}" uniqueName="Points">
      <xmlPr mapId="7" xpath="/MAKE/PP/AEB_VRU/Motorcyclist/Longitundinal/Daytime/CMRs_50/AEB/_35_kmh/@Points" xmlDataType="decimal"/>
    </xmlCellPr>
  </singleXmlCell>
  <singleXmlCell id="5125" xr6:uid="{86629A34-F9B4-4F81-8320-374E585EB682}" r="D27" connectionId="0">
    <xmlCellPr id="1" xr6:uid="{CB5EC03C-F95A-4A82-9333-7CFBFC80645B}" uniqueName="OEM">
      <xmlPr mapId="7" xpath="/MAKE/PP/AEB_VRU/Motorcyclist/Longitundinal/Daytime/CMRs_50/AEB/_40_kmh/@OEM" xmlDataType="string"/>
    </xmlCellPr>
  </singleXmlCell>
  <singleXmlCell id="5126" xr6:uid="{F354EDE1-14DF-417C-8090-AC3F04A00228}" r="E27" connectionId="0">
    <xmlCellPr id="1" xr6:uid="{7911F469-3ACC-4ACA-BCEF-8909BB2C562D}" uniqueName="Vimpact">
      <xmlPr mapId="7" xpath="/MAKE/PP/AEB_VRU/Motorcyclist/Longitundinal/Daytime/CMRs_50/AEB/_40_kmh/@Vimpact" xmlDataType="decimal"/>
    </xmlCellPr>
  </singleXmlCell>
  <singleXmlCell id="5127" xr6:uid="{075ED791-41FA-46BF-8007-C1A1ABE66DA6}" r="F27" connectionId="0">
    <xmlCellPr id="1" xr6:uid="{F6CBF37D-0C06-47DE-9179-7D473FBD70FC}" uniqueName="Points">
      <xmlPr mapId="7" xpath="/MAKE/PP/AEB_VRU/Motorcyclist/Longitundinal/Daytime/CMRs_50/AEB/_40_kmh/@Points" xmlDataType="decimal"/>
    </xmlCellPr>
  </singleXmlCell>
  <singleXmlCell id="5128" xr6:uid="{A8A61169-C317-41C0-8ADC-2BA9BF0E8B5B}" r="D28" connectionId="0">
    <xmlCellPr id="1" xr6:uid="{31B01C7E-BA20-45D3-9544-54A23630210D}" uniqueName="OEM">
      <xmlPr mapId="7" xpath="/MAKE/PP/AEB_VRU/Motorcyclist/Longitundinal/Daytime/CMRs_50/AEB/_45_kmh/@OEM" xmlDataType="string"/>
    </xmlCellPr>
  </singleXmlCell>
  <singleXmlCell id="5129" xr6:uid="{7F186435-98E3-4DE8-BFB0-E253A18B0882}" r="E28" connectionId="0">
    <xmlCellPr id="1" xr6:uid="{D0D09134-CEBF-481A-80B0-241190B70862}" uniqueName="Vimpact">
      <xmlPr mapId="7" xpath="/MAKE/PP/AEB_VRU/Motorcyclist/Longitundinal/Daytime/CMRs_50/AEB/_45_kmh/@Vimpact" xmlDataType="decimal"/>
    </xmlCellPr>
  </singleXmlCell>
  <singleXmlCell id="5130" xr6:uid="{C896D354-CE80-4EDD-B712-9BAEF2BCA18E}" r="F28" connectionId="0">
    <xmlCellPr id="1" xr6:uid="{DA86A785-07A6-46E7-8B66-3BBA298CD7E4}" uniqueName="Points">
      <xmlPr mapId="7" xpath="/MAKE/PP/AEB_VRU/Motorcyclist/Longitundinal/Daytime/CMRs_50/AEB/_45_kmh/@Points" xmlDataType="decimal"/>
    </xmlCellPr>
  </singleXmlCell>
  <singleXmlCell id="5131" xr6:uid="{320F7CCC-A38B-40BE-8416-6772D543AEE9}" r="D29" connectionId="0">
    <xmlCellPr id="1" xr6:uid="{0BBB1712-0492-4C2F-B1A9-D772EAE89F01}" uniqueName="OEM">
      <xmlPr mapId="7" xpath="/MAKE/PP/AEB_VRU/Motorcyclist/Longitundinal/Daytime/CMRs_50/AEB/_50_kmh/@OEM" xmlDataType="string"/>
    </xmlCellPr>
  </singleXmlCell>
  <singleXmlCell id="5132" xr6:uid="{2AAF1DA3-8B49-4DED-AE04-D93D1507649A}" r="E29" connectionId="0">
    <xmlCellPr id="1" xr6:uid="{41E429DC-FBB0-49E2-B701-E26FEBAE63D8}" uniqueName="Vimpact">
      <xmlPr mapId="7" xpath="/MAKE/PP/AEB_VRU/Motorcyclist/Longitundinal/Daytime/CMRs_50/AEB/_50_kmh/@Vimpact" xmlDataType="decimal"/>
    </xmlCellPr>
  </singleXmlCell>
  <singleXmlCell id="5133" xr6:uid="{B694C274-713F-4484-A0E8-BF0C695EF9E0}" r="F29" connectionId="0">
    <xmlCellPr id="1" xr6:uid="{AA360F41-1BA7-457A-AC71-D0D9197991FF}" uniqueName="Points">
      <xmlPr mapId="7" xpath="/MAKE/PP/AEB_VRU/Motorcyclist/Longitundinal/Daytime/CMRs_50/AEB/_50_kmh/@Points" xmlDataType="decimal"/>
    </xmlCellPr>
  </singleXmlCell>
  <singleXmlCell id="5134" xr6:uid="{B72D60F6-AE2F-4B78-8577-ABED852ED18F}" r="D30" connectionId="0">
    <xmlCellPr id="1" xr6:uid="{537B0D9D-9AB7-488C-B4B3-D97BD6D7D132}" uniqueName="OEM">
      <xmlPr mapId="7" xpath="/MAKE/PP/AEB_VRU/Motorcyclist/Longitundinal/Daytime/CMRs_50/AEB/_55_kmh/@OEM" xmlDataType="string"/>
    </xmlCellPr>
  </singleXmlCell>
  <singleXmlCell id="5135" xr6:uid="{E8EF87CC-E746-4017-8298-AAC6D08A0BA3}" r="E30" connectionId="0">
    <xmlCellPr id="1" xr6:uid="{AFCE4048-FC08-4217-9886-7CE68F241616}" uniqueName="Vimpact">
      <xmlPr mapId="7" xpath="/MAKE/PP/AEB_VRU/Motorcyclist/Longitundinal/Daytime/CMRs_50/AEB/_55_kmh/@Vimpact" xmlDataType="decimal"/>
    </xmlCellPr>
  </singleXmlCell>
  <singleXmlCell id="5136" xr6:uid="{5827972A-F633-4B58-84AA-5455F16CCCFA}" r="F30" connectionId="0">
    <xmlCellPr id="1" xr6:uid="{50712B76-A592-498D-8020-B45B59B9C6E0}" uniqueName="Points">
      <xmlPr mapId="7" xpath="/MAKE/PP/AEB_VRU/Motorcyclist/Longitundinal/Daytime/CMRs_50/AEB/_55_kmh/@Points" xmlDataType="decimal"/>
    </xmlCellPr>
  </singleXmlCell>
  <singleXmlCell id="5137" xr6:uid="{F920FC07-3411-4EB1-BC98-65A72441C5F5}" r="D31" connectionId="0">
    <xmlCellPr id="1" xr6:uid="{AC54217E-9D69-4C43-AF51-231AD3497D5E}" uniqueName="OEM">
      <xmlPr mapId="7" xpath="/MAKE/PP/AEB_VRU/Motorcyclist/Longitundinal/Daytime/CMRs_50/AEB/_60_kmh/@OEM" xmlDataType="string"/>
    </xmlCellPr>
  </singleXmlCell>
  <singleXmlCell id="5138" xr6:uid="{F68C8F09-064B-4217-A8A2-B4D9DB41FD5D}" r="E31" connectionId="0">
    <xmlCellPr id="1" xr6:uid="{98A26771-E273-4584-A291-5E1079B8445D}" uniqueName="Vimpact">
      <xmlPr mapId="7" xpath="/MAKE/PP/AEB_VRU/Motorcyclist/Longitundinal/Daytime/CMRs_50/AEB/_60_kmh/@Vimpact" xmlDataType="decimal"/>
    </xmlCellPr>
  </singleXmlCell>
  <singleXmlCell id="5139" xr6:uid="{CCD96A4B-5780-4D13-ABCD-82B780DCE348}" r="F31" connectionId="0">
    <xmlCellPr id="1" xr6:uid="{63A12042-C8A5-4946-98A8-93412D65AD91}" uniqueName="Points">
      <xmlPr mapId="7" xpath="/MAKE/PP/AEB_VRU/Motorcyclist/Longitundinal/Daytime/CMRs_50/AEB/_60_kmh/@Points" xmlDataType="decimal"/>
    </xmlCellPr>
  </singleXmlCell>
  <singleXmlCell id="5140" xr6:uid="{8349A21F-DBF9-4D47-AA61-1CFA24C245C2}" r="G25" connectionId="0">
    <xmlCellPr id="1" xr6:uid="{1CE56C6F-AA05-4784-A2A8-661EE47D486C}" uniqueName="OEM">
      <xmlPr mapId="7" xpath="/MAKE/PP/AEB_VRU/Motorcyclist/Longitundinal/Daytime/CMRs_50/FCW/_30_kmh/@OEM" xmlDataType="string"/>
    </xmlCellPr>
  </singleXmlCell>
  <singleXmlCell id="5141" xr6:uid="{E0612E57-2F02-4126-86C3-44E234A84AA2}" r="H25" connectionId="0">
    <xmlCellPr id="1" xr6:uid="{7D8392E2-1FD3-402E-B336-6402B077BB0A}" uniqueName="Vimpact">
      <xmlPr mapId="7" xpath="/MAKE/PP/AEB_VRU/Motorcyclist/Longitundinal/Daytime/CMRs_50/FCW/_30_kmh/@Vimpact" xmlDataType="decimal"/>
    </xmlCellPr>
  </singleXmlCell>
  <singleXmlCell id="5142" xr6:uid="{9A01A7A3-B826-4838-9980-CC0D549FCE44}" r="I25" connectionId="0">
    <xmlCellPr id="1" xr6:uid="{83D43F90-D474-43A6-83B4-AE8F84438A62}" uniqueName="Points">
      <xmlPr mapId="7" xpath="/MAKE/PP/AEB_VRU/Motorcyclist/Longitundinal/Daytime/CMRs_50/FCW/_30_kmh/@Points" xmlDataType="decimal"/>
    </xmlCellPr>
  </singleXmlCell>
  <singleXmlCell id="5143" xr6:uid="{FCC34DCB-E533-412E-8381-46AFA4365011}" r="G26" connectionId="0">
    <xmlCellPr id="1" xr6:uid="{034D18B0-D384-4058-AF50-7D4468F062BA}" uniqueName="OEM">
      <xmlPr mapId="7" xpath="/MAKE/PP/AEB_VRU/Motorcyclist/Longitundinal/Daytime/CMRs_50/FCW/_35_kmh/@OEM" xmlDataType="string"/>
    </xmlCellPr>
  </singleXmlCell>
  <singleXmlCell id="5144" xr6:uid="{4B521A5E-92F8-409E-9E01-3A9E5D1F568A}" r="H26" connectionId="0">
    <xmlCellPr id="1" xr6:uid="{8A82103C-EF82-4F04-B131-BCEF59574F69}" uniqueName="Vimpact">
      <xmlPr mapId="7" xpath="/MAKE/PP/AEB_VRU/Motorcyclist/Longitundinal/Daytime/CMRs_50/FCW/_35_kmh/@Vimpact" xmlDataType="decimal"/>
    </xmlCellPr>
  </singleXmlCell>
  <singleXmlCell id="5145" xr6:uid="{8CAA1A14-5EEA-48A3-A780-9E61DFA45FA6}" r="I26" connectionId="0">
    <xmlCellPr id="1" xr6:uid="{FFCDE255-9FAB-47F0-932D-794B0CEB70CF}" uniqueName="Points">
      <xmlPr mapId="7" xpath="/MAKE/PP/AEB_VRU/Motorcyclist/Longitundinal/Daytime/CMRs_50/FCW/_35_kmh/@Points" xmlDataType="decimal"/>
    </xmlCellPr>
  </singleXmlCell>
  <singleXmlCell id="5146" xr6:uid="{840A4BDA-C66A-4CF3-96C0-975E617A2C81}" r="G27" connectionId="0">
    <xmlCellPr id="1" xr6:uid="{4296824C-6166-4583-A503-915E14060810}" uniqueName="OEM">
      <xmlPr mapId="7" xpath="/MAKE/PP/AEB_VRU/Motorcyclist/Longitundinal/Daytime/CMRs_50/FCW/_40_kmh/@OEM" xmlDataType="string"/>
    </xmlCellPr>
  </singleXmlCell>
  <singleXmlCell id="5147" xr6:uid="{2FA9F8F3-904D-433B-A8D0-0CA5D074B97C}" r="H27" connectionId="0">
    <xmlCellPr id="1" xr6:uid="{3BC913F7-A808-4CEC-8174-0212E98EC5C7}" uniqueName="Vimpact">
      <xmlPr mapId="7" xpath="/MAKE/PP/AEB_VRU/Motorcyclist/Longitundinal/Daytime/CMRs_50/FCW/_40_kmh/@Vimpact" xmlDataType="decimal"/>
    </xmlCellPr>
  </singleXmlCell>
  <singleXmlCell id="5148" xr6:uid="{8BC88FEF-6906-4F41-8350-D8873F2D1010}" r="I27" connectionId="0">
    <xmlCellPr id="1" xr6:uid="{2CC4E0DF-7D66-4A6C-9256-BE5123793CF3}" uniqueName="Points">
      <xmlPr mapId="7" xpath="/MAKE/PP/AEB_VRU/Motorcyclist/Longitundinal/Daytime/CMRs_50/FCW/_40_kmh/@Points" xmlDataType="decimal"/>
    </xmlCellPr>
  </singleXmlCell>
  <singleXmlCell id="5149" xr6:uid="{F9193714-D892-4493-BAAE-C0E61752246C}" r="G28" connectionId="0">
    <xmlCellPr id="1" xr6:uid="{BC350D20-AE12-430D-8554-B1A9FC588FD7}" uniqueName="OEM">
      <xmlPr mapId="7" xpath="/MAKE/PP/AEB_VRU/Motorcyclist/Longitundinal/Daytime/CMRs_50/FCW/_45_kmh/@OEM" xmlDataType="string"/>
    </xmlCellPr>
  </singleXmlCell>
  <singleXmlCell id="5150" xr6:uid="{06AC84F5-E004-45C9-87B1-4F765C09447D}" r="H28" connectionId="0">
    <xmlCellPr id="1" xr6:uid="{5ED0335D-8068-4AEC-8980-026E8B72CF5F}" uniqueName="Vimpact">
      <xmlPr mapId="7" xpath="/MAKE/PP/AEB_VRU/Motorcyclist/Longitundinal/Daytime/CMRs_50/FCW/_45_kmh/@Vimpact" xmlDataType="decimal"/>
    </xmlCellPr>
  </singleXmlCell>
  <singleXmlCell id="5151" xr6:uid="{D3617938-59D5-45F3-998D-616690D08E53}" r="I28" connectionId="0">
    <xmlCellPr id="1" xr6:uid="{8C664B74-E1C1-4833-9A65-80FD351F897E}" uniqueName="Points">
      <xmlPr mapId="7" xpath="/MAKE/PP/AEB_VRU/Motorcyclist/Longitundinal/Daytime/CMRs_50/FCW/_45_kmh/@Points" xmlDataType="decimal"/>
    </xmlCellPr>
  </singleXmlCell>
  <singleXmlCell id="5152" xr6:uid="{674F971B-BB53-42EE-AF35-A5114D9246BE}" r="G29" connectionId="0">
    <xmlCellPr id="1" xr6:uid="{0D395595-43B8-4526-A6C3-9FA3EE8AF911}" uniqueName="OEM">
      <xmlPr mapId="7" xpath="/MAKE/PP/AEB_VRU/Motorcyclist/Longitundinal/Daytime/CMRs_50/FCW/_50_kmh/@OEM" xmlDataType="string"/>
    </xmlCellPr>
  </singleXmlCell>
  <singleXmlCell id="5153" xr6:uid="{5F9C74F0-ABF3-4089-85E3-4EC08E77E6F2}" r="H29" connectionId="0">
    <xmlCellPr id="1" xr6:uid="{1867954F-7739-4B27-BB3B-6171ADF9C3AB}" uniqueName="Vimpact">
      <xmlPr mapId="7" xpath="/MAKE/PP/AEB_VRU/Motorcyclist/Longitundinal/Daytime/CMRs_50/FCW/_50_kmh/@Vimpact" xmlDataType="decimal"/>
    </xmlCellPr>
  </singleXmlCell>
  <singleXmlCell id="5154" xr6:uid="{53E793B8-75AF-4524-AE3F-96C80674044B}" r="I29" connectionId="0">
    <xmlCellPr id="1" xr6:uid="{DF6C0D1C-5F87-4E9B-92FB-B5261CC53C0F}" uniqueName="Points">
      <xmlPr mapId="7" xpath="/MAKE/PP/AEB_VRU/Motorcyclist/Longitundinal/Daytime/CMRs_50/FCW/_50_kmh/@Points" xmlDataType="decimal"/>
    </xmlCellPr>
  </singleXmlCell>
  <singleXmlCell id="5155" xr6:uid="{62A4F135-730C-4EF5-869A-A69A113ABA1A}" r="G30" connectionId="0">
    <xmlCellPr id="1" xr6:uid="{A86B7743-CD4B-4387-BD10-C6529767DBC1}" uniqueName="OEM">
      <xmlPr mapId="7" xpath="/MAKE/PP/AEB_VRU/Motorcyclist/Longitundinal/Daytime/CMRs_50/FCW/_55_kmh/@OEM" xmlDataType="string"/>
    </xmlCellPr>
  </singleXmlCell>
  <singleXmlCell id="5156" xr6:uid="{7CC2B064-232F-4ACD-BE08-957B8DBC27A5}" r="H30" connectionId="0">
    <xmlCellPr id="1" xr6:uid="{F97EA176-7332-4251-882E-F947C88A0D92}" uniqueName="Vimpact">
      <xmlPr mapId="7" xpath="/MAKE/PP/AEB_VRU/Motorcyclist/Longitundinal/Daytime/CMRs_50/FCW/_55_kmh/@Vimpact" xmlDataType="decimal"/>
    </xmlCellPr>
  </singleXmlCell>
  <singleXmlCell id="5157" xr6:uid="{7ED57D3E-0190-4513-8E2C-045439E021B1}" r="I30" connectionId="0">
    <xmlCellPr id="1" xr6:uid="{264E7ABF-F571-4DE7-8493-1622DF10AFC5}" uniqueName="Points">
      <xmlPr mapId="7" xpath="/MAKE/PP/AEB_VRU/Motorcyclist/Longitundinal/Daytime/CMRs_50/FCW/_55_kmh/@Points" xmlDataType="decimal"/>
    </xmlCellPr>
  </singleXmlCell>
  <singleXmlCell id="5158" xr6:uid="{B296B591-C387-40D0-A337-6F96C17557BE}" r="G31" connectionId="0">
    <xmlCellPr id="1" xr6:uid="{E3C10F49-EB64-482A-95E1-ADC115EAA9B2}" uniqueName="OEM">
      <xmlPr mapId="7" xpath="/MAKE/PP/AEB_VRU/Motorcyclist/Longitundinal/Daytime/CMRs_50/FCW/_60_kmh/@OEM" xmlDataType="string"/>
    </xmlCellPr>
  </singleXmlCell>
  <singleXmlCell id="5159" xr6:uid="{F70F77D4-530F-42C5-B698-99E947B6B9C8}" r="H31" connectionId="0">
    <xmlCellPr id="1" xr6:uid="{4AFAF679-4584-4910-88F5-92B1DA83DB00}" uniqueName="Vimpact">
      <xmlPr mapId="7" xpath="/MAKE/PP/AEB_VRU/Motorcyclist/Longitundinal/Daytime/CMRs_50/FCW/_60_kmh/@Vimpact" xmlDataType="decimal"/>
    </xmlCellPr>
  </singleXmlCell>
  <singleXmlCell id="5160" xr6:uid="{FC8279F6-BC03-4C1B-832B-5EE032A81BA9}" r="I31" connectionId="0">
    <xmlCellPr id="1" xr6:uid="{755DFCEC-19AC-4D51-82B8-692059B9312A}" uniqueName="Points">
      <xmlPr mapId="7" xpath="/MAKE/PP/AEB_VRU/Motorcyclist/Longitundinal/Daytime/CMRs_50/FCW/_60_kmh/@Points" xmlDataType="decimal"/>
    </xmlCellPr>
  </singleXmlCell>
  <singleXmlCell id="5161" xr6:uid="{DB9EC21E-CE84-4E71-AA63-3EB473267D24}" r="G32" connectionId="0">
    <xmlCellPr id="1" xr6:uid="{136F7D99-802D-4FE1-BB75-B8245A6EEFDF}" uniqueName="Score">
      <xmlPr mapId="7" xpath="/MAKE/PP/AEB_VRU/Motorcyclist/Longitundinal/Daytime/CMRs_50/FCW/@Score" xmlDataType="decimal"/>
    </xmlCellPr>
  </singleXmlCell>
  <singleXmlCell id="5162" xr6:uid="{581C9DF1-6CFF-4710-9467-9649633216C9}" r="D32" connectionId="0">
    <xmlCellPr id="1" xr6:uid="{AF8BD4E8-308C-4559-A0D4-F8030E9C4730}" uniqueName="Score">
      <xmlPr mapId="7" xpath="/MAKE/PP/AEB_VRU/Motorcyclist/Longitundinal/Daytime/CMRs_50/AEB/@Score" xmlDataType="decimal"/>
    </xmlCellPr>
  </singleXmlCell>
  <singleXmlCell id="5163" xr6:uid="{46FFCEEA-B002-4ABE-AB48-9DA1A842C6FF}" r="J32" connectionId="0">
    <xmlCellPr id="1" xr6:uid="{9FB98570-371C-4B20-BDB5-8E626F55FB1A}" uniqueName="Score">
      <xmlPr mapId="7" xpath="/MAKE/PP/AEB_VRU/Motorcyclist/Longitundinal/Daytime/CMRb_25_12/AEB/@Score" xmlDataType="decimal"/>
    </xmlCellPr>
  </singleXmlCell>
  <singleXmlCell id="5164" xr6:uid="{F021F560-0A79-4756-B424-14E9CB70E8C5}" r="J29" connectionId="0">
    <xmlCellPr id="1" xr6:uid="{2AC5D90E-BDAF-42B4-BD7C-4E3FA2A606FF}" uniqueName="OEM">
      <xmlPr mapId="7" xpath="/MAKE/PP/AEB_VRU/Motorcyclist/Longitundinal/Daytime/CMRb_25_12/AEB/_50_kmh/@OEM" xmlDataType="string"/>
    </xmlCellPr>
  </singleXmlCell>
  <singleXmlCell id="5165" xr6:uid="{8426A450-073C-4A4C-A5D0-BDCDA004BEDA}" r="K29" connectionId="0">
    <xmlCellPr id="1" xr6:uid="{6871923F-25E0-4367-ABF7-9C0201B1D0A3}" uniqueName="Vimpact">
      <xmlPr mapId="7" xpath="/MAKE/PP/AEB_VRU/Motorcyclist/Longitundinal/Daytime/CMRb_25_12/AEB/_50_kmh/@Vimpact" xmlDataType="decimal"/>
    </xmlCellPr>
  </singleXmlCell>
  <singleXmlCell id="5166" xr6:uid="{00E2A5FA-29BC-485A-9A40-92119BB7DD12}" r="L29" connectionId="0">
    <xmlCellPr id="1" xr6:uid="{5A6E66B9-9299-4154-AA60-BCEF112ECF15}" uniqueName="Points">
      <xmlPr mapId="7" xpath="/MAKE/PP/AEB_VRU/Motorcyclist/Longitundinal/Daytime/CMRb_25_12/AEB/_50_kmh/@Points" xmlDataType="decimal"/>
    </xmlCellPr>
  </singleXmlCell>
  <singleXmlCell id="5167" xr6:uid="{060C5A32-136C-49E9-876A-A4714775A402}" r="M32" connectionId="0">
    <xmlCellPr id="1" xr6:uid="{426A7FE9-AE9E-442C-BA92-A6E093CB372C}" uniqueName="Score">
      <xmlPr mapId="7" xpath="/MAKE/PP/AEB_VRU/Motorcyclist/Longitundinal/Daytime/CMRb_25_12/FCW/@Score" xmlDataType="decimal"/>
    </xmlCellPr>
  </singleXmlCell>
  <singleXmlCell id="5168" xr6:uid="{8B47FB90-E174-4F5E-AD75-149FD23EBD96}" r="M29" connectionId="0">
    <xmlCellPr id="1" xr6:uid="{A71099B5-83DC-427E-8FC4-869F06031C02}" uniqueName="OEM">
      <xmlPr mapId="7" xpath="/MAKE/PP/AEB_VRU/Motorcyclist/Longitundinal/Daytime/CMRb_25_12/FCW/_50_kmh/@OEM" xmlDataType="string"/>
    </xmlCellPr>
  </singleXmlCell>
  <singleXmlCell id="5169" xr6:uid="{FEB46E8F-AA1F-4152-B999-E15FDE4D8B91}" r="N29" connectionId="0">
    <xmlCellPr id="1" xr6:uid="{90A5A76D-91F3-4096-84B7-32309E91580F}" uniqueName="Vimpact">
      <xmlPr mapId="7" xpath="/MAKE/PP/AEB_VRU/Motorcyclist/Longitundinal/Daytime/CMRb_25_12/FCW/_50_kmh/@Vimpact" xmlDataType="decimal"/>
    </xmlCellPr>
  </singleXmlCell>
  <singleXmlCell id="5170" xr6:uid="{3E03D9D0-2BD2-4184-997D-CADC695C28AE}" r="O29" connectionId="0">
    <xmlCellPr id="1" xr6:uid="{B534C701-79CB-47A6-9096-492CABCFD85C}" uniqueName="Points">
      <xmlPr mapId="7" xpath="/MAKE/PP/AEB_VRU/Motorcyclist/Longitundinal/Daytime/CMRb_25_12/FCW/_50_kmh/@Points" xmlDataType="decimal"/>
    </xmlCellPr>
  </singleXmlCell>
  <singleXmlCell id="5171" xr6:uid="{95A24F84-07DF-4EFE-ABB8-44FA609F02BB}" r="P32" connectionId="0">
    <xmlCellPr id="1" xr6:uid="{4C43C58D-BD50-42C3-972F-D0C5757581B6}" uniqueName="Score">
      <xmlPr mapId="7" xpath="/MAKE/PP/AEB_VRU/Motorcyclist/Longitundinal/Daytime/CMRb_25_40/AEB/@Score" xmlDataType="decimal"/>
    </xmlCellPr>
  </singleXmlCell>
  <singleXmlCell id="5172" xr6:uid="{E1EBE87D-4481-4338-BD1D-15B5D70D6194}" r="S32" connectionId="0">
    <xmlCellPr id="1" xr6:uid="{2E3FB7A8-E540-4E06-B767-7AFDE874B2D0}" uniqueName="Score">
      <xmlPr mapId="7" xpath="/MAKE/PP/AEB_VRU/Motorcyclist/Longitundinal/Daytime/CMRb_25_40/FCW/@Score" xmlDataType="decimal"/>
    </xmlCellPr>
  </singleXmlCell>
  <singleXmlCell id="5173" xr6:uid="{1EF592C5-CEF4-4742-AFC7-F8EAD6E6330F}" r="P29" connectionId="0">
    <xmlCellPr id="1" xr6:uid="{4A499416-A880-4B53-A6F2-644436EE06A6}" uniqueName="OEM">
      <xmlPr mapId="7" xpath="/MAKE/PP/AEB_VRU/Motorcyclist/Longitundinal/Daytime/CMRb_25_40/AEB/_50_kmh/@OEM" xmlDataType="string"/>
    </xmlCellPr>
  </singleXmlCell>
  <singleXmlCell id="5174" xr6:uid="{9C9FCEA0-DD08-460C-8FD9-D291E5E90341}" r="Q29" connectionId="0">
    <xmlCellPr id="1" xr6:uid="{62E47CE0-17D0-48B9-8CBA-50BA4EF023CE}" uniqueName="Vimpact">
      <xmlPr mapId="7" xpath="/MAKE/PP/AEB_VRU/Motorcyclist/Longitundinal/Daytime/CMRb_25_40/AEB/_50_kmh/@Vimpact" xmlDataType="decimal"/>
    </xmlCellPr>
  </singleXmlCell>
  <singleXmlCell id="5175" xr6:uid="{2B019036-F647-4F78-B43F-E86FE0AC9F13}" r="R29" connectionId="0">
    <xmlCellPr id="1" xr6:uid="{52BA0856-4237-4514-A84D-026E5BB0E6FA}" uniqueName="Points">
      <xmlPr mapId="7" xpath="/MAKE/PP/AEB_VRU/Motorcyclist/Longitundinal/Daytime/CMRb_25_40/AEB/_50_kmh/@Points" xmlDataType="decimal"/>
    </xmlCellPr>
  </singleXmlCell>
  <singleXmlCell id="5176" xr6:uid="{4216A3E7-AB1F-4642-ABC9-9A22004F24AC}" r="S29" connectionId="0">
    <xmlCellPr id="1" xr6:uid="{922C7085-8EA0-49FC-BD7F-090F4B2701C6}" uniqueName="OEM">
      <xmlPr mapId="7" xpath="/MAKE/PP/AEB_VRU/Motorcyclist/Longitundinal/Daytime/CMRb_25_40/FCW/_50_kmh/@OEM" xmlDataType="string"/>
    </xmlCellPr>
  </singleXmlCell>
  <singleXmlCell id="5177" xr6:uid="{B6EFD1AB-A7FA-4B3D-81AC-43B876A6D732}" r="T29" connectionId="0">
    <xmlCellPr id="1" xr6:uid="{4C2CC73B-891E-498F-A26E-BA5212A2A9DD}" uniqueName="Vimpact">
      <xmlPr mapId="7" xpath="/MAKE/PP/AEB_VRU/Motorcyclist/Longitundinal/Daytime/CMRb_25_40/FCW/_50_kmh/@Vimpact" xmlDataType="decimal"/>
    </xmlCellPr>
  </singleXmlCell>
  <singleXmlCell id="5178" xr6:uid="{2F14D00C-8234-47DC-AB59-0BE6A4D8B131}" r="U29" connectionId="0">
    <xmlCellPr id="1" xr6:uid="{7A299162-F24C-4B05-817D-C981DC8BFE72}" uniqueName="Points">
      <xmlPr mapId="7" xpath="/MAKE/PP/AEB_VRU/Motorcyclist/Longitundinal/Daytime/CMRb_25_40/FCW/_50_kmh/@Points" xmlDataType="decimal"/>
    </xmlCellPr>
  </singleXmlCell>
  <singleXmlCell id="5179" xr6:uid="{BB38654E-0B2C-479C-882B-F647A315650E}" r="D41" connectionId="0">
    <xmlCellPr id="1" xr6:uid="{EF3A0A33-1D18-41A7-B11B-901B30471008}" uniqueName="Score">
      <xmlPr mapId="7" xpath="/MAKE/PP/AEB_VRU/Motorcyclist/Turning/Daytime/CMFtap_30/@Score" xmlDataType="decimal"/>
    </xmlCellPr>
  </singleXmlCell>
  <singleXmlCell id="5180" xr6:uid="{486DCD3F-237C-4B47-A541-16387C876EA3}" r="D38" connectionId="0">
    <xmlCellPr id="1" xr6:uid="{48CB8751-6DFA-413E-96A2-5C511A2465F3}" uniqueName="Vimpact">
      <xmlPr mapId="7" xpath="/MAKE/PP/AEB_VRU/Motorcyclist/Turning/Daytime/CMFtap_30/_10_kmh/@Vimpact" xmlDataType="decimal"/>
    </xmlCellPr>
  </singleXmlCell>
  <singleXmlCell id="5181" xr6:uid="{A45E15CA-1762-4909-AC0D-8E3FCCF75E36}" r="F38" connectionId="0">
    <xmlCellPr id="1" xr6:uid="{654FBC37-0AE1-49C0-9564-65B469B40312}" uniqueName="Points">
      <xmlPr mapId="7" xpath="/MAKE/PP/AEB_VRU/Motorcyclist/Turning/Daytime/CMFtap_30/_10_kmh/@Points" xmlDataType="decimal"/>
    </xmlCellPr>
  </singleXmlCell>
  <singleXmlCell id="5182" xr6:uid="{9B503A7E-EAB7-4671-AB02-919C2507C1A0}" r="D39" connectionId="0">
    <xmlCellPr id="1" xr6:uid="{74D1B581-DFF6-4A41-A9C5-940501F8DF31}" uniqueName="Vimpact">
      <xmlPr mapId="7" xpath="/MAKE/PP/AEB_VRU/Motorcyclist/Turning/Daytime/CMFtap_30/_15_kmh/@Vimpact" xmlDataType="decimal"/>
    </xmlCellPr>
  </singleXmlCell>
  <singleXmlCell id="5183" xr6:uid="{8A751414-DB71-446F-91C9-49DC5E13C7A6}" r="F39" connectionId="0">
    <xmlCellPr id="1" xr6:uid="{281A55A4-A487-46E3-BC71-6640A7746FE1}" uniqueName="Points">
      <xmlPr mapId="7" xpath="/MAKE/PP/AEB_VRU/Motorcyclist/Turning/Daytime/CMFtap_30/_15_kmh/@Points" xmlDataType="decimal"/>
    </xmlCellPr>
  </singleXmlCell>
  <singleXmlCell id="5184" xr6:uid="{34FBBA07-8388-4465-AE1D-2FEE98F703ED}" r="D40" connectionId="0">
    <xmlCellPr id="1" xr6:uid="{DFF6EF9B-612B-4AA8-B62A-77F300D441EE}" uniqueName="Vimpact">
      <xmlPr mapId="7" xpath="/MAKE/PP/AEB_VRU/Motorcyclist/Turning/Daytime/CMFtap_30/_20_kmh/@Vimpact" xmlDataType="decimal"/>
    </xmlCellPr>
  </singleXmlCell>
  <singleXmlCell id="5185" xr6:uid="{0BCCFA3E-F46E-475D-8B13-A1A0E9E5B02F}" r="F40" connectionId="0">
    <xmlCellPr id="1" xr6:uid="{67CA58C2-ED0D-4BAC-8DFF-0ADBA5CF5A6F}" uniqueName="Points">
      <xmlPr mapId="7" xpath="/MAKE/PP/AEB_VRU/Motorcyclist/Turning/Daytime/CMFtap_30/_20_kmh/@Points" xmlDataType="decimal"/>
    </xmlCellPr>
  </singleXmlCell>
  <singleXmlCell id="5186" xr6:uid="{B76A7626-9169-4E06-9C90-C4501869E135}" r="G41" connectionId="0">
    <xmlCellPr id="1" xr6:uid="{4060A972-808E-4DF3-B08A-46158EA039DE}" uniqueName="Score">
      <xmlPr mapId="7" xpath="/MAKE/PP/AEB_VRU/Motorcyclist/Turning/Daytime/CMFtap_45/@Score" xmlDataType="decimal"/>
    </xmlCellPr>
  </singleXmlCell>
  <singleXmlCell id="5187" xr6:uid="{E17FA63F-5394-4EB4-A8D1-8F1B7CBB10AB}" r="G38" connectionId="0">
    <xmlCellPr id="1" xr6:uid="{4E85EFA8-7A50-4943-A9CD-BBE9345749C3}" uniqueName="Vimpact">
      <xmlPr mapId="7" xpath="/MAKE/PP/AEB_VRU/Motorcyclist/Turning/Daytime/CMFtap_45/_10_kmh/@Vimpact" xmlDataType="decimal"/>
    </xmlCellPr>
  </singleXmlCell>
  <singleXmlCell id="5188" xr6:uid="{C8554DC7-749D-4F08-8CBD-F06479D80587}" r="I38" connectionId="0">
    <xmlCellPr id="1" xr6:uid="{4F347158-6AB6-46E6-A82B-0A5D2190CAC8}" uniqueName="Points">
      <xmlPr mapId="7" xpath="/MAKE/PP/AEB_VRU/Motorcyclist/Turning/Daytime/CMFtap_45/_10_kmh/@Points" xmlDataType="decimal"/>
    </xmlCellPr>
  </singleXmlCell>
  <singleXmlCell id="5189" xr6:uid="{A5A39B1F-D89F-458E-A745-FA7794DC18A6}" r="G39" connectionId="0">
    <xmlCellPr id="1" xr6:uid="{35E61277-ED24-48B0-A250-B6C719D13948}" uniqueName="Vimpact">
      <xmlPr mapId="7" xpath="/MAKE/PP/AEB_VRU/Motorcyclist/Turning/Daytime/CMFtap_45/_15_kmh/@Vimpact" xmlDataType="decimal"/>
    </xmlCellPr>
  </singleXmlCell>
  <singleXmlCell id="5190" xr6:uid="{88DFA502-BEAD-488E-9C67-E932188EB51C}" r="I39" connectionId="0">
    <xmlCellPr id="1" xr6:uid="{B95009EE-7193-4543-B542-B0B0A20314F9}" uniqueName="Points">
      <xmlPr mapId="7" xpath="/MAKE/PP/AEB_VRU/Motorcyclist/Turning/Daytime/CMFtap_45/_15_kmh/@Points" xmlDataType="decimal"/>
    </xmlCellPr>
  </singleXmlCell>
  <singleXmlCell id="5191" xr6:uid="{2AEE25EF-A3E6-4E77-9EB3-23F16CE1F5E4}" r="G40" connectionId="0">
    <xmlCellPr id="1" xr6:uid="{93AE023D-1E58-44FE-B480-483C64CEAA50}" uniqueName="Vimpact">
      <xmlPr mapId="7" xpath="/MAKE/PP/AEB_VRU/Motorcyclist/Turning/Daytime/CMFtap_45/_20_kmh/@Vimpact" xmlDataType="decimal"/>
    </xmlCellPr>
  </singleXmlCell>
  <singleXmlCell id="5192" xr6:uid="{B4C8320B-7E4E-4139-8C0E-22D11074ACF4}" r="I40" connectionId="0">
    <xmlCellPr id="1" xr6:uid="{4ACEBE14-C2BD-49F6-9E62-ECE999ACDB9D}" uniqueName="Points">
      <xmlPr mapId="7" xpath="/MAKE/PP/AEB_VRU/Motorcyclist/Turning/Daytime/CMFtap_45/_20_kmh/@Points" xmlDataType="decimal"/>
    </xmlCellPr>
  </singleXmlCell>
  <singleXmlCell id="5193" xr6:uid="{DA17F682-6D5F-46BC-8892-21E5FACA5BE7}" r="J41" connectionId="0">
    <xmlCellPr id="1" xr6:uid="{160EABD7-450D-4A3E-A77C-A7721D3AD96E}" uniqueName="Score">
      <xmlPr mapId="7" xpath="/MAKE/PP/AEB_VRU/Motorcyclist/Turning/Daytime/CMFtap_60/@Score" xmlDataType="decimal"/>
    </xmlCellPr>
  </singleXmlCell>
  <singleXmlCell id="5194" xr6:uid="{0AE33A95-84F5-41EA-A16D-D225CD67E61B}" r="J38" connectionId="0">
    <xmlCellPr id="1" xr6:uid="{A9D6E88F-692A-4EA0-ABF9-39384D8A6797}" uniqueName="Vimpact">
      <xmlPr mapId="7" xpath="/MAKE/PP/AEB_VRU/Motorcyclist/Turning/Daytime/CMFtap_60/_10_kmh/@Vimpact" xmlDataType="decimal"/>
    </xmlCellPr>
  </singleXmlCell>
  <singleXmlCell id="5195" xr6:uid="{C134D6D7-B9A3-40BB-AC07-4F747E65627E}" r="L38" connectionId="0">
    <xmlCellPr id="1" xr6:uid="{7115D9E0-EFFD-464C-9241-7BE880832908}" uniqueName="Points">
      <xmlPr mapId="7" xpath="/MAKE/PP/AEB_VRU/Motorcyclist/Turning/Daytime/CMFtap_60/_10_kmh/@Points" xmlDataType="decimal"/>
    </xmlCellPr>
  </singleXmlCell>
  <singleXmlCell id="5196" xr6:uid="{6A0BBAD9-1F5A-4804-A701-E66152D457CC}" r="J39" connectionId="0">
    <xmlCellPr id="1" xr6:uid="{51697DD9-5663-4E30-A02A-E3D919139917}" uniqueName="Vimpact">
      <xmlPr mapId="7" xpath="/MAKE/PP/AEB_VRU/Motorcyclist/Turning/Daytime/CMFtap_60/_15_kmh/@Vimpact" xmlDataType="decimal"/>
    </xmlCellPr>
  </singleXmlCell>
  <singleXmlCell id="5197" xr6:uid="{C136C8D1-84AE-454A-BD78-1C3A8AFC6419}" r="L39" connectionId="0">
    <xmlCellPr id="1" xr6:uid="{E892DAAF-E1D8-4785-BBA0-CF55761D4F6B}" uniqueName="Points">
      <xmlPr mapId="7" xpath="/MAKE/PP/AEB_VRU/Motorcyclist/Turning/Daytime/CMFtap_60/_15_kmh/@Points" xmlDataType="decimal"/>
    </xmlCellPr>
  </singleXmlCell>
  <singleXmlCell id="5198" xr6:uid="{CF06B8CB-777F-4652-936D-1EF309F9F165}" r="J40" connectionId="0">
    <xmlCellPr id="1" xr6:uid="{04F3607F-86E5-4311-B391-87E24A68CC4F}" uniqueName="Vimpact">
      <xmlPr mapId="7" xpath="/MAKE/PP/AEB_VRU/Motorcyclist/Turning/Daytime/CMFtap_60/_20_kmh/@Vimpact" xmlDataType="decimal"/>
    </xmlCellPr>
  </singleXmlCell>
  <singleXmlCell id="5199" xr6:uid="{0BCCFA2D-4485-4E94-9249-2873B6018DB1}" r="L40" connectionId="0">
    <xmlCellPr id="1" xr6:uid="{DAABE1FF-C462-43CC-B240-631141E404D3}" uniqueName="Points">
      <xmlPr mapId="7" xpath="/MAKE/PP/AEB_VRU/Motorcyclist/Turning/Daytime/CMFtap_60/_20_kmh/@Points" xmlDataType="decimal"/>
    </xmlCellPr>
  </singleXmlCell>
  <singleXmlCell id="5208" xr6:uid="{0AADA2B3-508E-47AE-B3B2-A07E5B5C49D0}" r="D53" connectionId="0">
    <xmlCellPr id="1" xr6:uid="{58F2FC91-920E-4FC7-88F0-0014DA50B7C7}" uniqueName="Score">
      <xmlPr mapId="7" xpath="/MAKE/PP/AEB_VRU/Motorcyclist/Lateral/Daytime/CMoncoming/Unintentional/@Score" xmlDataType="decimal"/>
    </xmlCellPr>
  </singleXmlCell>
  <singleXmlCell id="5209" xr6:uid="{9499EC9C-E618-4510-A4FA-AB01DA6A1F49}" r="D47" connectionId="0">
    <xmlCellPr id="1" xr6:uid="{DD77A4D0-03CD-42A0-9C48-6BE881657D3B}" uniqueName="_0.2_m_s">
      <xmlPr mapId="7" xpath="/MAKE/PP/AEB_VRU/Motorcyclist/Lateral/Daytime/CMoncoming/Unintentional/_0.2_m_s" xmlDataType="string"/>
    </xmlCellPr>
  </singleXmlCell>
  <singleXmlCell id="5210" xr6:uid="{4500B481-631D-4F50-8DE3-F09E00C3EFA0}" r="D48" connectionId="0">
    <xmlCellPr id="1" xr6:uid="{8F55004D-42FE-42B6-B79A-D58C39A85884}" uniqueName="_0.3_m_s">
      <xmlPr mapId="7" xpath="/MAKE/PP/AEB_VRU/Motorcyclist/Lateral/Daytime/CMoncoming/Unintentional/_0.3_m_s" xmlDataType="string"/>
    </xmlCellPr>
  </singleXmlCell>
  <singleXmlCell id="5211" xr6:uid="{EC089609-FB36-4F25-82F3-9FE0A89326EC}" r="D49" connectionId="0">
    <xmlCellPr id="1" xr6:uid="{CF454F26-4690-4296-94CD-0B1B5179BE61}" uniqueName="_0.4_m_s">
      <xmlPr mapId="7" xpath="/MAKE/PP/AEB_VRU/Motorcyclist/Lateral/Daytime/CMoncoming/Unintentional/_0.4_m_s" xmlDataType="string"/>
    </xmlCellPr>
  </singleXmlCell>
  <singleXmlCell id="5212" xr6:uid="{3CE4CC73-9D45-4291-8F6C-34C50CE82404}" r="D50" connectionId="0">
    <xmlCellPr id="1" xr6:uid="{2B0726C2-8368-4873-BA4F-2E0D768206CA}" uniqueName="_0.5_m_s">
      <xmlPr mapId="7" xpath="/MAKE/PP/AEB_VRU/Motorcyclist/Lateral/Daytime/CMoncoming/Unintentional/_0.5_m_s" xmlDataType="string"/>
    </xmlCellPr>
  </singleXmlCell>
  <singleXmlCell id="5213" xr6:uid="{C6100DB9-FEE5-4753-B064-192EA4E8AD50}" r="D51" connectionId="0">
    <xmlCellPr id="1" xr6:uid="{9B8ED0FE-801B-4E36-86E2-B165464A4D75}" uniqueName="_0.6_m_s">
      <xmlPr mapId="7" xpath="/MAKE/PP/AEB_VRU/Motorcyclist/Lateral/Daytime/CMoncoming/Unintentional/_0.6_m_s" xmlDataType="string"/>
    </xmlCellPr>
  </singleXmlCell>
  <singleXmlCell id="5214" xr6:uid="{1533B8FB-7DD4-4317-A30F-439B00DF6931}" r="D52" connectionId="0">
    <xmlCellPr id="1" xr6:uid="{595D0388-F131-477D-9A65-F15646B7A856}" uniqueName="_0.7_m_s">
      <xmlPr mapId="7" xpath="/MAKE/PP/AEB_VRU/Motorcyclist/Lateral/Daytime/CMoncoming/Unintentional/_0.7_m_s" xmlDataType="string"/>
    </xmlCellPr>
  </singleXmlCell>
  <singleXmlCell id="5215" xr6:uid="{DEE3434B-7F2B-4271-B4AB-141095D45858}" r="H53" connectionId="0">
    <xmlCellPr id="1" xr6:uid="{F7D0A409-4FE1-49EA-A74E-2366D7F4FD47}" uniqueName="Score">
      <xmlPr mapId="7" xpath="/MAKE/PP/AEB_VRU/Motorcyclist/Lateral/Daytime/CMovertaking/VUT_50_EMT_60/Unintentional/@Score" xmlDataType="decimal"/>
    </xmlCellPr>
  </singleXmlCell>
  <singleXmlCell id="5216" xr6:uid="{9A5FAF09-0926-4E48-BE4B-F6908D86F6CF}" r="H47" connectionId="0">
    <xmlCellPr id="1" xr6:uid="{4405FBA6-AD45-4377-95B9-CD83EF9FD03D}" uniqueName="_0.2_m_s">
      <xmlPr mapId="7" xpath="/MAKE/PP/AEB_VRU/Motorcyclist/Lateral/Daytime/CMovertaking/VUT_50_EMT_60/Unintentional/_0.2_m_s" xmlDataType="string"/>
    </xmlCellPr>
  </singleXmlCell>
  <singleXmlCell id="5217" xr6:uid="{91E3973C-D583-41C9-81AF-1CFB116CB879}" r="H48" connectionId="0">
    <xmlCellPr id="1" xr6:uid="{35352CFF-C2E0-447D-81C4-6D1F7547D9DA}" uniqueName="_0.3_m_s">
      <xmlPr mapId="7" xpath="/MAKE/PP/AEB_VRU/Motorcyclist/Lateral/Daytime/CMovertaking/VUT_50_EMT_60/Unintentional/_0.3_m_s" xmlDataType="string"/>
    </xmlCellPr>
  </singleXmlCell>
  <singleXmlCell id="5218" xr6:uid="{45D8EC4B-4B05-4F97-B0CB-DF28C82F8893}" r="H49" connectionId="0">
    <xmlCellPr id="1" xr6:uid="{508DCD69-B027-44A8-B824-6F540C7BE263}" uniqueName="_0.4_m_s">
      <xmlPr mapId="7" xpath="/MAKE/PP/AEB_VRU/Motorcyclist/Lateral/Daytime/CMovertaking/VUT_50_EMT_60/Unintentional/_0.4_m_s" xmlDataType="string"/>
    </xmlCellPr>
  </singleXmlCell>
  <singleXmlCell id="5219" xr6:uid="{1554CD3F-24C3-41CF-80BC-3A0965FD80B2}" r="H50" connectionId="0">
    <xmlCellPr id="1" xr6:uid="{7B317C08-2950-4AAD-ABBE-AB8D08793D0F}" uniqueName="_0.5_m_s">
      <xmlPr mapId="7" xpath="/MAKE/PP/AEB_VRU/Motorcyclist/Lateral/Daytime/CMovertaking/VUT_50_EMT_60/Unintentional/_0.5_m_s" xmlDataType="string"/>
    </xmlCellPr>
  </singleXmlCell>
  <singleXmlCell id="5220" xr6:uid="{0E2E028D-D1C9-4665-94B2-EBA1F832B7E8}" r="H51" connectionId="0">
    <xmlCellPr id="1" xr6:uid="{81D13DE8-2BDD-4862-9F16-55546AFC7377}" uniqueName="_0.6_m_s">
      <xmlPr mapId="7" xpath="/MAKE/PP/AEB_VRU/Motorcyclist/Lateral/Daytime/CMovertaking/VUT_50_EMT_60/Unintentional/_0.6_m_s" xmlDataType="string"/>
    </xmlCellPr>
  </singleXmlCell>
  <singleXmlCell id="5221" xr6:uid="{77D864EE-D453-466B-AB1E-D2A317C2250F}" r="J53" connectionId="0">
    <xmlCellPr id="1" xr6:uid="{1E649AC9-C5CB-4A97-9E79-6B67497F5B65}" uniqueName="Score">
      <xmlPr mapId="7" xpath="/MAKE/PP/AEB_VRU/Motorcyclist/Lateral/Daytime/CMovertaking/VUT_50_EMT_60/Intentional/@Score" xmlDataType="decimal"/>
    </xmlCellPr>
  </singleXmlCell>
  <singleXmlCell id="5222" xr6:uid="{1E928297-39C3-4607-A075-1B1D27F0D896}" r="J50" connectionId="0">
    <xmlCellPr id="1" xr6:uid="{E8BF51F0-E9A3-4349-88D3-687ECDD63898}" uniqueName="_0.5_m_s">
      <xmlPr mapId="7" xpath="/MAKE/PP/AEB_VRU/Motorcyclist/Lateral/Daytime/CMovertaking/VUT_50_EMT_60/Intentional/_0.5_m_s" xmlDataType="string"/>
    </xmlCellPr>
  </singleXmlCell>
  <singleXmlCell id="5223" xr6:uid="{0950C39A-356E-409A-89AA-3BE675E7B6B7}" r="J51" connectionId="0">
    <xmlCellPr id="1" xr6:uid="{6E253A68-238F-4A01-B303-1EB59B7927C7}" uniqueName="_0.6_m_s">
      <xmlPr mapId="7" xpath="/MAKE/PP/AEB_VRU/Motorcyclist/Lateral/Daytime/CMovertaking/VUT_50_EMT_60/Intentional/_0.6_m_s" xmlDataType="string"/>
    </xmlCellPr>
  </singleXmlCell>
  <singleXmlCell id="5224" xr6:uid="{A8158426-6DB5-4932-90CE-4AE548E704CA}" r="J52" connectionId="0">
    <xmlCellPr id="1" xr6:uid="{207CAE07-96CF-45F7-95A4-DC3851C38F91}" uniqueName="_0.7_m_s">
      <xmlPr mapId="7" xpath="/MAKE/PP/AEB_VRU/Motorcyclist/Lateral/Daytime/CMovertaking/VUT_50_EMT_60/Intentional/_0.7_m_s" xmlDataType="string"/>
    </xmlCellPr>
  </singleXmlCell>
  <singleXmlCell id="5225" xr6:uid="{9E6CCCC4-F814-4F11-9F02-1BB4D950CB4A}" r="L53" connectionId="0">
    <xmlCellPr id="1" xr6:uid="{6BAF669C-790D-4342-B109-2E352FD27B03}" uniqueName="Score">
      <xmlPr mapId="7" xpath="/MAKE/PP/AEB_VRU/Motorcyclist/Lateral/Daytime/CMovertaking/VUT_72_EMT_80/Unintentional/@Score" xmlDataType="decimal"/>
    </xmlCellPr>
  </singleXmlCell>
  <singleXmlCell id="5226" xr6:uid="{6FB24F32-78E3-40DE-AEE5-371493157475}" r="L47" connectionId="0">
    <xmlCellPr id="1" xr6:uid="{367E2C06-AEC4-4046-B488-4FED05A5A1F9}" uniqueName="_0.2_m_s">
      <xmlPr mapId="7" xpath="/MAKE/PP/AEB_VRU/Motorcyclist/Lateral/Daytime/CMovertaking/VUT_72_EMT_80/Unintentional/_0.2_m_s" xmlDataType="string"/>
    </xmlCellPr>
  </singleXmlCell>
  <singleXmlCell id="5227" xr6:uid="{223F2185-C6C8-4920-B53D-BAEA90516397}" r="L48" connectionId="0">
    <xmlCellPr id="1" xr6:uid="{B95C5C9F-C621-4654-B954-95BCA3A4E6C6}" uniqueName="_0.3_m_s">
      <xmlPr mapId="7" xpath="/MAKE/PP/AEB_VRU/Motorcyclist/Lateral/Daytime/CMovertaking/VUT_72_EMT_80/Unintentional/_0.3_m_s" xmlDataType="string"/>
    </xmlCellPr>
  </singleXmlCell>
  <singleXmlCell id="5228" xr6:uid="{A4AA4B4A-551B-4C00-92AA-C257FFC1BAEB}" r="L49" connectionId="0">
    <xmlCellPr id="1" xr6:uid="{AE3A9D6A-8357-46EB-8C87-8C6C536B3C3E}" uniqueName="_0.4_m_s">
      <xmlPr mapId="7" xpath="/MAKE/PP/AEB_VRU/Motorcyclist/Lateral/Daytime/CMovertaking/VUT_72_EMT_80/Unintentional/_0.4_m_s" xmlDataType="string"/>
    </xmlCellPr>
  </singleXmlCell>
  <singleXmlCell id="5229" xr6:uid="{6B50B7CD-0592-49D5-8CB5-145784C3AD2D}" r="L50" connectionId="0">
    <xmlCellPr id="1" xr6:uid="{E5D01B1A-966D-4158-A0FE-5AB5D8A6D94D}" uniqueName="_0.5_m_s">
      <xmlPr mapId="7" xpath="/MAKE/PP/AEB_VRU/Motorcyclist/Lateral/Daytime/CMovertaking/VUT_72_EMT_80/Unintentional/_0.5_m_s" xmlDataType="string"/>
    </xmlCellPr>
  </singleXmlCell>
  <singleXmlCell id="5230" xr6:uid="{0E84B6D1-CA3F-434E-8608-34BFDD21EFEF}" r="L51" connectionId="0">
    <xmlCellPr id="1" xr6:uid="{A542960D-F120-4D54-8779-AB93C508D29A}" uniqueName="_0.6_m_s">
      <xmlPr mapId="7" xpath="/MAKE/PP/AEB_VRU/Motorcyclist/Lateral/Daytime/CMovertaking/VUT_72_EMT_80/Unintentional/_0.6_m_s" xmlDataType="string"/>
    </xmlCellPr>
  </singleXmlCell>
  <singleXmlCell id="5231" xr6:uid="{C463A016-6533-4CA3-9F44-4B32BCDF0488}" r="N53" connectionId="0">
    <xmlCellPr id="1" xr6:uid="{3F0C754E-24F0-4A35-8DA4-2E2F54F9B1F1}" uniqueName="Score">
      <xmlPr mapId="7" xpath="/MAKE/PP/AEB_VRU/Motorcyclist/Lateral/Daytime/CMovertaking/VUT_72_EMT_80/Intentional/@Score" xmlDataType="decimal"/>
    </xmlCellPr>
  </singleXmlCell>
  <singleXmlCell id="5232" xr6:uid="{F801DB69-5D8D-4FD8-B963-20ADE293C1C1}" r="N50" connectionId="0">
    <xmlCellPr id="1" xr6:uid="{D66FFCFA-FD62-4B09-8235-FB01EB34D944}" uniqueName="_0.5_m_s">
      <xmlPr mapId="7" xpath="/MAKE/PP/AEB_VRU/Motorcyclist/Lateral/Daytime/CMovertaking/VUT_72_EMT_80/Intentional/_0.5_m_s" xmlDataType="string"/>
    </xmlCellPr>
  </singleXmlCell>
  <singleXmlCell id="5233" xr6:uid="{30259F46-9B4B-4DB5-B4FF-FB44E0B9876F}" r="N51" connectionId="0">
    <xmlCellPr id="1" xr6:uid="{AD128A3C-B5A7-4491-AD47-AFEAFC958CEF}" uniqueName="_0.6_m_s">
      <xmlPr mapId="7" xpath="/MAKE/PP/AEB_VRU/Motorcyclist/Lateral/Daytime/CMovertaking/VUT_72_EMT_80/Intentional/_0.6_m_s" xmlDataType="string"/>
    </xmlCellPr>
  </singleXmlCell>
  <singleXmlCell id="5234" xr6:uid="{6DFCD199-BA6C-4F43-B852-D83C5E4B5194}" r="N52" connectionId="0">
    <xmlCellPr id="1" xr6:uid="{36AB8EB0-EBA3-4C49-930E-3FD5849800A0}" uniqueName="_0.7_m_s">
      <xmlPr mapId="7" xpath="/MAKE/PP/AEB_VRU/Motorcyclist/Lateral/Daytime/CMovertaking/VUT_72_EMT_80/Intentional/_0.7_m_s" xmlDataType="string"/>
    </xmlCellPr>
  </singleXmlCell>
  <singleXmlCell id="5200" xr6:uid="{EF089CA5-59F3-4F40-9819-A749C0E0EA95}" r="D71" connectionId="0">
    <xmlCellPr id="1" xr6:uid="{8D6694BB-CD29-4E50-B281-4789C25ED548}" uniqueName="Total_Score">
      <xmlPr mapId="7" xpath="/MAKE/PP/AEB_VRU/Motorcyclist/@Total_Score" xmlDataType="decimal"/>
    </xmlCellPr>
  </singleXmlCell>
  <singleXmlCell id="5201" xr6:uid="{2B27C002-CF4D-43F9-9F51-4C0C5E93D417}" r="G58" connectionId="0">
    <xmlCellPr id="1" xr6:uid="{50D9D6C4-1DD7-44B4-83EE-B24339B24B40}" uniqueName="AEB">
      <xmlPr mapId="7" xpath="/MAKE/PP/AEB_VRU/Motorcyclist/SUMMARY/CMRs_50/@AEB" xmlDataType="decimal"/>
    </xmlCellPr>
  </singleXmlCell>
  <singleXmlCell id="5202" xr6:uid="{C480548A-D48F-4F97-9A9C-7B8AFB6CFAD3}" r="G59" connectionId="0">
    <xmlCellPr id="1" xr6:uid="{555A8D41-0D70-4513-8BD6-208C2CA13392}" uniqueName="FCW">
      <xmlPr mapId="7" xpath="/MAKE/PP/AEB_VRU/Motorcyclist/SUMMARY/CMRs_50/@FCW" xmlDataType="decimal"/>
    </xmlCellPr>
  </singleXmlCell>
  <singleXmlCell id="5203" xr6:uid="{3B744135-960D-4BB2-A3EA-20A56C235201}" r="G61" connectionId="0">
    <xmlCellPr id="1" xr6:uid="{5A67A829-CE8F-4386-B8FF-C250DA5CD514}" uniqueName="AEB">
      <xmlPr mapId="7" xpath="/MAKE/PP/AEB_VRU/Motorcyclist/SUMMARY/CMRb_25_12/@AEB" xmlDataType="decimal"/>
    </xmlCellPr>
  </singleXmlCell>
  <singleXmlCell id="5204" xr6:uid="{6B352AD4-8B1B-49BA-B4E8-186D00C516B2}" r="G62" connectionId="0">
    <xmlCellPr id="1" xr6:uid="{0BED11A0-EBA7-4206-A573-932F058CF068}" uniqueName="FCW">
      <xmlPr mapId="7" xpath="/MAKE/PP/AEB_VRU/Motorcyclist/SUMMARY/CMRb_25_12/@FCW" xmlDataType="decimal"/>
    </xmlCellPr>
  </singleXmlCell>
  <singleXmlCell id="5205" xr6:uid="{E11CDBA5-FF4E-42A4-9F3D-CAF55F547601}" r="G64" connectionId="0">
    <xmlCellPr id="1" xr6:uid="{3AFF73D5-6134-413B-9506-61C67FDC9A63}" uniqueName="AEB">
      <xmlPr mapId="7" xpath="/MAKE/PP/AEB_VRU/Motorcyclist/SUMMARY/CMRb_25_40/@AEB" xmlDataType="decimal"/>
    </xmlCellPr>
  </singleXmlCell>
  <singleXmlCell id="5206" xr6:uid="{7F4CF157-8B50-43A9-B53A-4854112DA545}" r="G65" connectionId="0">
    <xmlCellPr id="1" xr6:uid="{A460D841-D885-4C8F-B877-E0733A0289B6}" uniqueName="FCW">
      <xmlPr mapId="7" xpath="/MAKE/PP/AEB_VRU/Motorcyclist/SUMMARY/CMRb_25_40/@FCW" xmlDataType="decimal"/>
    </xmlCellPr>
  </singleXmlCell>
  <singleXmlCell id="5207" xr6:uid="{D145BFD5-9DA0-4A72-8FF7-67C6F97257F3}" r="G66" connectionId="0">
    <xmlCellPr id="1" xr6:uid="{B12CA347-B42B-428E-B558-94E1A1F2C8C1}" uniqueName="CMFtap">
      <xmlPr mapId="7" xpath="/MAKE/PP/AEB_VRU/Motorcyclist/SUMMARY/CMFtap" xmlDataType="decimal"/>
    </xmlCellPr>
  </singleXmlCell>
  <singleXmlCell id="5235" xr6:uid="{34B743DB-6336-4A48-84FA-06024417D0C4}" r="G67" connectionId="0">
    <xmlCellPr id="1" xr6:uid="{07092761-C3E4-44FD-9420-4FFFC51D7BAD}" uniqueName="CMoncoming">
      <xmlPr mapId="7" xpath="/MAKE/PP/AEB_VRU/Motorcyclist/SUMMARY/CMoncoming" xmlDataType="decimal"/>
    </xmlCellPr>
  </singleXmlCell>
  <singleXmlCell id="5236" xr6:uid="{B2E03C06-B342-45BC-BFEA-E7AED473CC48}" r="G68" connectionId="0">
    <xmlCellPr id="1" xr6:uid="{6DAF65B1-C6A9-4DC8-B34D-113A1D37B671}" uniqueName="CMovertaking">
      <xmlPr mapId="7" xpath="/MAKE/PP/AEB_VRU/Motorcyclist/SUMMARY/CMovertaking" xmlDataType="decimal"/>
    </xmlCellPr>
  </singleXmlCell>
</singleXmlCells>
</file>

<file path=xl/tables/tableSingleCells19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4987" xr6:uid="{2319F482-CF83-4B33-B95B-E3B0D47BCE6F}" r="D51" connectionId="0">
    <xmlCellPr id="1" xr6:uid="{2F81CF39-267B-435D-95D8-E0ED7E517D90}" uniqueName="TOTAL_OSM">
      <xmlPr mapId="7" xpath="/MAKE/SA/SA_OSM/@TOTAL_OSM" xmlDataType="decimal"/>
    </xmlCellPr>
  </singleXmlCell>
  <singleXmlCell id="4992" xr6:uid="{3DB43EF3-2B42-4D7F-882B-606FC5F8672C}" r="H9" connectionId="0">
    <xmlCellPr id="1" xr6:uid="{E9779062-A62B-4E8D-89EC-FB130F682A20}" uniqueName="TOTAL_SBR">
      <xmlPr mapId="7" xpath="/MAKE/SA/SA_OSM/SA_SBR/@TOTAL_SBR" xmlDataType="decimal"/>
    </xmlCellPr>
  </singleXmlCell>
  <singleXmlCell id="4997" xr6:uid="{88B17279-4150-4D29-AACE-AF480B75832A}" r="G6" connectionId="0">
    <xmlCellPr id="1" xr6:uid="{58FF7807-C378-4D8C-8667-4678B25ECED4}" uniqueName="Front_Pass_Pass_Fail">
      <xmlPr mapId="7" xpath="/MAKE/SA/SA_OSM/SA_SBR/SBR/Occupant_Detection/@Front_Pass_Pass_Fail" xmlDataType="string"/>
    </xmlCellPr>
  </singleXmlCell>
  <singleXmlCell id="4998" xr6:uid="{164E8E80-B80F-427A-A9F0-EF36A8852F87}" r="I6" connectionId="0">
    <xmlCellPr id="1" xr6:uid="{FCDF0B2D-5ECA-475B-806D-2181F3019AC3}" uniqueName="Rear_Pass_Fail">
      <xmlPr mapId="7" xpath="/MAKE/SA/SA_OSM/SA_SBR/SBR/Occupant_Detection/@Rear_Pass_Fail" xmlDataType="string"/>
    </xmlCellPr>
  </singleXmlCell>
  <singleXmlCell id="4999" xr6:uid="{AA7E16ED-1F74-4F74-9F7C-1BA0D691D980}" r="D7" connectionId="0">
    <xmlCellPr id="1" xr6:uid="{7A534E87-358E-4FCC-AEE2-579A351DF83E}" uniqueName="Driver_Pass_Fail">
      <xmlPr mapId="7" xpath="/MAKE/SA/SA_OSM/SA_SBR/SBR/Visual_Warning/@Driver_Pass_Fail" xmlDataType="string"/>
    </xmlCellPr>
  </singleXmlCell>
  <singleXmlCell id="5000" xr6:uid="{9C3A1D52-4EAE-450A-84E7-BC9DE6874E5F}" r="G7" connectionId="0">
    <xmlCellPr id="1" xr6:uid="{B9F3DE4F-34AA-425A-BFD2-FA6641305162}" uniqueName="Front_Pass_Pass_Fail">
      <xmlPr mapId="7" xpath="/MAKE/SA/SA_OSM/SA_SBR/SBR/Visual_Warning/@Front_Pass_Pass_Fail" xmlDataType="string"/>
    </xmlCellPr>
  </singleXmlCell>
  <singleXmlCell id="5001" xr6:uid="{79F144F4-2D02-4303-9112-C72E076421C8}" r="I7" connectionId="0">
    <xmlCellPr id="1" xr6:uid="{B0887083-E033-4714-88C4-CF50D770FDA1}" uniqueName="Rear_Pass_Fail">
      <xmlPr mapId="7" xpath="/MAKE/SA/SA_OSM/SA_SBR/SBR/Visual_Warning/@Rear_Pass_Fail" xmlDataType="string"/>
    </xmlCellPr>
  </singleXmlCell>
  <singleXmlCell id="5002" xr6:uid="{FDD1145F-3C06-4192-9021-6D99A8BCBAB9}" r="D8" connectionId="0">
    <xmlCellPr id="1" xr6:uid="{71B6DF3A-76F2-4B33-B429-59207E62BA66}" uniqueName="Driver_Pass_Fail">
      <xmlPr mapId="7" xpath="/MAKE/SA/SA_OSM/SA_SBR/SBR/Audible_Warning/@Driver_Pass_Fail" xmlDataType="string"/>
    </xmlCellPr>
  </singleXmlCell>
  <singleXmlCell id="5003" xr6:uid="{2D97292C-0408-480B-9017-E3ED8146C602}" r="G8" connectionId="0">
    <xmlCellPr id="1" xr6:uid="{6B5EE654-2D6D-42DE-ACF9-0BC81085DE93}" uniqueName="Front_Pass_Pass_Fail">
      <xmlPr mapId="7" xpath="/MAKE/SA/SA_OSM/SA_SBR/SBR/Audible_Warning/@Front_Pass_Pass_Fail" xmlDataType="string"/>
    </xmlCellPr>
  </singleXmlCell>
  <singleXmlCell id="5004" xr6:uid="{C07E423E-6E9E-42A2-8161-D6A8B830A0F1}" r="I8" connectionId="0">
    <xmlCellPr id="1" xr6:uid="{80AF286E-F569-4DE1-AD75-B41E3C34CE15}" uniqueName="Rear_Pass_Fail">
      <xmlPr mapId="7" xpath="/MAKE/SA/SA_OSM/SA_SBR/SBR/Audible_Warning/@Rear_Pass_Fail" xmlDataType="string"/>
    </xmlCellPr>
  </singleXmlCell>
  <singleXmlCell id="5005" xr6:uid="{F696D139-DD15-47FB-8E06-A8CF52794DBE}" r="H6" connectionId="0">
    <xmlCellPr id="1" xr6:uid="{20C9273B-2374-4E6F-967F-3895042F1092}" uniqueName="Number_of_rear_seats">
      <xmlPr mapId="7" xpath="/MAKE/SA/SA_OSM/SA_SBR/SBR/Number_of_rear_seats" xmlDataType="integer"/>
    </xmlCellPr>
  </singleXmlCell>
  <singleXmlCell id="5009" xr6:uid="{898D8431-C93E-44CF-AF18-BBC0CB7A49D3}" r="G26" connectionId="0">
    <xmlCellPr id="1" xr6:uid="{97FEFEE3-78FE-447F-A4A4-CEFB1E6A26CB}" uniqueName="Warning">
      <xmlPr mapId="7" xpath="/MAKE/SA/SA_OSM/Driver_Monitoring/Distraction/Long_Distraction/Away_from_fwd_road/Owl/@Warning" xmlDataType="string"/>
    </xmlCellPr>
  </singleXmlCell>
  <singleXmlCell id="5010" xr6:uid="{2D6BC343-8576-4822-9852-3D61FFC40409}" r="H26" connectionId="0">
    <xmlCellPr id="1" xr6:uid="{5C1AE1C3-D756-449C-AB35-2D611F88F417}" uniqueName="Intervention">
      <xmlPr mapId="7" xpath="/MAKE/SA/SA_OSM/Driver_Monitoring/Distraction/Long_Distraction/Away_from_fwd_road/Owl/@Intervention" xmlDataType="string"/>
    </xmlCellPr>
  </singleXmlCell>
  <singleXmlCell id="5011" xr6:uid="{8EFFF5D0-6B3D-47F5-9FCC-AA0976E7322C}" r="I26" connectionId="0">
    <xmlCellPr id="1" xr6:uid="{07A7BA1E-1009-4630-A1B3-A96F6B46A2C6}" uniqueName="Sub-totals">
      <xmlPr mapId="7" xpath="/MAKE/SA/SA_OSM/Driver_Monitoring/Distraction/Long_Distraction/Away_from_fwd_road/Owl/@Sub-totals" xmlDataType="decimal"/>
    </xmlCellPr>
  </singleXmlCell>
  <singleXmlCell id="5012" xr6:uid="{5CE2C532-D900-4DD7-985E-BF81377D3646}" r="G27" connectionId="0">
    <xmlCellPr id="1" xr6:uid="{58D114F0-36E4-40FE-AC03-A9CCF47D683E}" uniqueName="Warning">
      <xmlPr mapId="7" xpath="/MAKE/SA/SA_OSM/Driver_Monitoring/Distraction/Long_Distraction/Away_from_fwd_road/Lizard/@Warning" xmlDataType="string"/>
    </xmlCellPr>
  </singleXmlCell>
  <singleXmlCell id="5013" xr6:uid="{44AE5061-0309-49EF-8DD1-07C63DED0CA4}" r="H27" connectionId="0">
    <xmlCellPr id="1" xr6:uid="{AF15701E-B26B-44F4-9806-72AD65B78D20}" uniqueName="Intervention">
      <xmlPr mapId="7" xpath="/MAKE/SA/SA_OSM/Driver_Monitoring/Distraction/Long_Distraction/Away_from_fwd_road/Lizard/@Intervention" xmlDataType="string"/>
    </xmlCellPr>
  </singleXmlCell>
  <singleXmlCell id="5014" xr6:uid="{FA400C85-DA46-47DB-94E8-A31A51711E01}" r="I27" connectionId="0">
    <xmlCellPr id="1" xr6:uid="{507B7701-A903-4C96-BB7C-816076607CAB}" uniqueName="Sub-totals">
      <xmlPr mapId="7" xpath="/MAKE/SA/SA_OSM/Driver_Monitoring/Distraction/Long_Distraction/Away_from_fwd_road/Lizard/@Sub-totals" xmlDataType="decimal"/>
    </xmlCellPr>
  </singleXmlCell>
  <singleXmlCell id="5015" xr6:uid="{68C7EC75-6934-43B5-B6E6-6F0198EEC753}" r="G28" connectionId="0">
    <xmlCellPr id="1" xr6:uid="{9DAA0841-B56C-4840-B7D3-D26360FE4FA0}" uniqueName="Warning">
      <xmlPr mapId="7" xpath="/MAKE/SA/SA_OSM/Driver_Monitoring/Distraction/Long_Distraction/Away_from_fwd_road/Body_Lean/@Warning" xmlDataType="string"/>
    </xmlCellPr>
  </singleXmlCell>
  <singleXmlCell id="5016" xr6:uid="{16984639-21FC-4CA1-A5FE-128C3BDD97F1}" r="H28" connectionId="0">
    <xmlCellPr id="1" xr6:uid="{68022879-F5B6-4958-99E5-01CECD8A8629}" uniqueName="Intervention">
      <xmlPr mapId="7" xpath="/MAKE/SA/SA_OSM/Driver_Monitoring/Distraction/Long_Distraction/Away_from_fwd_road/Body_Lean/@Intervention" xmlDataType="string"/>
    </xmlCellPr>
  </singleXmlCell>
  <singleXmlCell id="5017" xr6:uid="{60394003-6534-476B-BDFC-7E417297AA45}" r="I28" connectionId="0">
    <xmlCellPr id="1" xr6:uid="{67CADC00-4285-421F-9911-7C59336DA0AE}" uniqueName="Sub-totals">
      <xmlPr mapId="7" xpath="/MAKE/SA/SA_OSM/Driver_Monitoring/Distraction/Long_Distraction/Away_from_fwd_road/Body_Lean/@Sub-totals" xmlDataType="decimal"/>
    </xmlCellPr>
  </singleXmlCell>
  <singleXmlCell id="5018" xr6:uid="{8DBB3E0E-C09A-436D-B5F3-3F1CA54B1BEF}" r="G29" connectionId="0">
    <xmlCellPr id="1" xr6:uid="{8D2C4C27-CC7C-4E2D-810A-A6BCC9DB9B75}" uniqueName="Warning">
      <xmlPr mapId="7" xpath="/MAKE/SA/SA_OSM/Driver_Monitoring/Distraction/Long_Distraction/Driving_task/Owl/@Warning" xmlDataType="string"/>
    </xmlCellPr>
  </singleXmlCell>
  <singleXmlCell id="5019" xr6:uid="{A8FAB019-A548-4DA3-99C4-2F734AC9F2D8}" r="H29" connectionId="0">
    <xmlCellPr id="1" xr6:uid="{FED8398D-528C-4B4C-B471-B9CE4D4DA2B9}" uniqueName="Intervention">
      <xmlPr mapId="7" xpath="/MAKE/SA/SA_OSM/Driver_Monitoring/Distraction/Long_Distraction/Driving_task/Owl/@Intervention" xmlDataType="string"/>
    </xmlCellPr>
  </singleXmlCell>
  <singleXmlCell id="5020" xr6:uid="{44B01D8E-7CDC-4E0A-859A-FD74674A6F3D}" r="I29" connectionId="0">
    <xmlCellPr id="1" xr6:uid="{959D5187-FD75-4641-82D5-4F66B5657C8A}" uniqueName="Sub-totals">
      <xmlPr mapId="7" xpath="/MAKE/SA/SA_OSM/Driver_Monitoring/Distraction/Long_Distraction/Driving_task/Owl/@Sub-totals" xmlDataType="decimal"/>
    </xmlCellPr>
  </singleXmlCell>
  <singleXmlCell id="5021" xr6:uid="{24A5F87C-73DD-457F-800B-4572129D6117}" r="G30" connectionId="0">
    <xmlCellPr id="1" xr6:uid="{789A7319-2EF9-41D8-A21C-0881B575014C}" uniqueName="Warning">
      <xmlPr mapId="7" xpath="/MAKE/SA/SA_OSM/Driver_Monitoring/Distraction/Long_Distraction/Driving_task/Lizard/@Warning" xmlDataType="string"/>
    </xmlCellPr>
  </singleXmlCell>
  <singleXmlCell id="5022" xr6:uid="{584BBBDD-0B9F-4093-822B-EF6C39015E86}" r="H30" connectionId="0">
    <xmlCellPr id="1" xr6:uid="{8FE03E2D-C3D6-4185-932C-2D7502205642}" uniqueName="Intervention">
      <xmlPr mapId="7" xpath="/MAKE/SA/SA_OSM/Driver_Monitoring/Distraction/Long_Distraction/Driving_task/Lizard/@Intervention" xmlDataType="string"/>
    </xmlCellPr>
  </singleXmlCell>
  <singleXmlCell id="5023" xr6:uid="{B0D1314E-7908-413E-BC72-60E2883857D9}" r="I30" connectionId="0">
    <xmlCellPr id="1" xr6:uid="{BBCEC745-4FE9-432F-9E08-1EA7F57D41F0}" uniqueName="Sub-totals">
      <xmlPr mapId="7" xpath="/MAKE/SA/SA_OSM/Driver_Monitoring/Distraction/Long_Distraction/Driving_task/Lizard/@Sub-totals" xmlDataType="decimal"/>
    </xmlCellPr>
  </singleXmlCell>
  <singleXmlCell id="5024" xr6:uid="{D8F7A7A1-1BD9-4E4F-BF17-4372F4254AD1}" r="G31" connectionId="0">
    <xmlCellPr id="1" xr6:uid="{3AFB00F8-CBE0-4E9F-A81A-FF5320091D44}" uniqueName="Warning">
      <xmlPr mapId="7" xpath="/MAKE/SA/SA_OSM/Driver_Monitoring/Distraction/Short_Distraction/Away_from_fwd_road/Owl/@Warning" xmlDataType="string"/>
    </xmlCellPr>
  </singleXmlCell>
  <singleXmlCell id="5025" xr6:uid="{077D3C5D-D2F9-4575-8534-5E49A51E88D0}" r="H31" connectionId="0">
    <xmlCellPr id="1" xr6:uid="{9F5A37E3-B9A0-43F6-8112-3D5EE2A14073}" uniqueName="Intervention">
      <xmlPr mapId="7" xpath="/MAKE/SA/SA_OSM/Driver_Monitoring/Distraction/Short_Distraction/Away_from_fwd_road/Owl/@Intervention" xmlDataType="string"/>
    </xmlCellPr>
  </singleXmlCell>
  <singleXmlCell id="5026" xr6:uid="{38975BA7-3DF0-41E8-B56E-346EAFD5233C}" r="I31" connectionId="0">
    <xmlCellPr id="1" xr6:uid="{1799C22E-1F8D-42D6-B7A1-F9EF5C4DAA41}" uniqueName="Sub-totals">
      <xmlPr mapId="7" xpath="/MAKE/SA/SA_OSM/Driver_Monitoring/Distraction/Short_Distraction/Away_from_fwd_road/Owl/@Sub-totals" xmlDataType="decimal"/>
    </xmlCellPr>
  </singleXmlCell>
  <singleXmlCell id="5027" xr6:uid="{54FD7691-A565-4EEF-9C98-2DC9E0792275}" r="G32" connectionId="0">
    <xmlCellPr id="1" xr6:uid="{85F412DB-B4A0-4617-A802-7C2D060C8E5F}" uniqueName="Warning">
      <xmlPr mapId="7" xpath="/MAKE/SA/SA_OSM/Driver_Monitoring/Distraction/Short_Distraction/Away_from_fwd_road/Lizard/@Warning" xmlDataType="string"/>
    </xmlCellPr>
  </singleXmlCell>
  <singleXmlCell id="5028" xr6:uid="{B29CD4A4-7749-4F72-822A-84F06BE98987}" r="H32" connectionId="0">
    <xmlCellPr id="1" xr6:uid="{057593AF-5352-4B3E-8A31-0837D32EF857}" uniqueName="Intervention">
      <xmlPr mapId="7" xpath="/MAKE/SA/SA_OSM/Driver_Monitoring/Distraction/Short_Distraction/Away_from_fwd_road/Lizard/@Intervention" xmlDataType="string"/>
    </xmlCellPr>
  </singleXmlCell>
  <singleXmlCell id="5029" xr6:uid="{D94D0016-E3D9-4A9E-BDDB-5F7DED6CFD44}" r="I32" connectionId="0">
    <xmlCellPr id="1" xr6:uid="{9DE92DC0-CAE4-4897-9D99-FBAC1564A1FD}" uniqueName="Sub-totals">
      <xmlPr mapId="7" xpath="/MAKE/SA/SA_OSM/Driver_Monitoring/Distraction/Short_Distraction/Away_from_fwd_road/Lizard/@Sub-totals" xmlDataType="decimal"/>
    </xmlCellPr>
  </singleXmlCell>
  <singleXmlCell id="5030" xr6:uid="{DA698746-4D2C-4D2E-B240-7D50ADD8ACD6}" r="G33" connectionId="0">
    <xmlCellPr id="1" xr6:uid="{DF62BC41-4BEF-4221-802D-34919B07C40B}" uniqueName="Warning">
      <xmlPr mapId="7" xpath="/MAKE/SA/SA_OSM/Driver_Monitoring/Distraction/Short_Distraction/Driving_task/Owl/@Warning" xmlDataType="string"/>
    </xmlCellPr>
  </singleXmlCell>
  <singleXmlCell id="5031" xr6:uid="{D39C8FC2-FDFB-4068-B019-7790482DD00D}" r="H33" connectionId="0">
    <xmlCellPr id="1" xr6:uid="{B577E1B9-CD63-456D-8FC4-8D667665D622}" uniqueName="Intervention">
      <xmlPr mapId="7" xpath="/MAKE/SA/SA_OSM/Driver_Monitoring/Distraction/Short_Distraction/Driving_task/Owl/@Intervention" xmlDataType="string"/>
    </xmlCellPr>
  </singleXmlCell>
  <singleXmlCell id="5032" xr6:uid="{A5F18453-1EE4-422C-B410-7BCF13EF4855}" r="I33" connectionId="0">
    <xmlCellPr id="1" xr6:uid="{61A77332-5026-464D-887F-478C7A15E132}" uniqueName="Sub-totals">
      <xmlPr mapId="7" xpath="/MAKE/SA/SA_OSM/Driver_Monitoring/Distraction/Short_Distraction/Driving_task/Owl/@Sub-totals" xmlDataType="decimal"/>
    </xmlCellPr>
  </singleXmlCell>
  <singleXmlCell id="5033" xr6:uid="{75A558CB-DB42-40B1-9176-4B8DCA0AC842}" r="G34" connectionId="0">
    <xmlCellPr id="1" xr6:uid="{43FD1FBE-FE87-4B49-8EC9-CC811A8FABE8}" uniqueName="Warning">
      <xmlPr mapId="7" xpath="/MAKE/SA/SA_OSM/Driver_Monitoring/Distraction/Short_Distraction/Driving_task/Lizard/@Warning" xmlDataType="string"/>
    </xmlCellPr>
  </singleXmlCell>
  <singleXmlCell id="5034" xr6:uid="{18007CC8-FB10-4AB8-91E9-271C5414B0FB}" r="H34" connectionId="0">
    <xmlCellPr id="1" xr6:uid="{6BF8C57F-BE7A-43AF-8E73-30568D0510A3}" uniqueName="Intervention">
      <xmlPr mapId="7" xpath="/MAKE/SA/SA_OSM/Driver_Monitoring/Distraction/Short_Distraction/Driving_task/Lizard/@Intervention" xmlDataType="string"/>
    </xmlCellPr>
  </singleXmlCell>
  <singleXmlCell id="5035" xr6:uid="{9F2E75C4-CFEE-4F2D-BE84-FDA1B5DB0A4D}" r="I34" connectionId="0">
    <xmlCellPr id="1" xr6:uid="{08521817-588E-4151-AD33-0F7D7556C31C}" uniqueName="Sub-totals">
      <xmlPr mapId="7" xpath="/MAKE/SA/SA_OSM/Driver_Monitoring/Distraction/Short_Distraction/Driving_task/Lizard/@Sub-totals" xmlDataType="decimal"/>
    </xmlCellPr>
  </singleXmlCell>
  <singleXmlCell id="5036" xr6:uid="{0B2FF123-0F49-44D8-B015-375B268829E1}" r="G35" connectionId="0">
    <xmlCellPr id="1" xr6:uid="{515A76A3-68BA-42D8-A8CB-3CF2E32489A4}" uniqueName="Warning">
      <xmlPr mapId="7" xpath="/MAKE/SA/SA_OSM/Driver_Monitoring/Distraction/Short_Distraction/Away_from_fwd_road_multiple/Lizard/@Warning" xmlDataType="string"/>
    </xmlCellPr>
  </singleXmlCell>
  <singleXmlCell id="5037" xr6:uid="{6C7A6DD8-138E-4370-9B29-1A790FE46C3B}" r="H35" connectionId="0">
    <xmlCellPr id="1" xr6:uid="{570CD398-A59F-4380-96C7-F08F6AC588ED}" uniqueName="Intervention">
      <xmlPr mapId="7" xpath="/MAKE/SA/SA_OSM/Driver_Monitoring/Distraction/Short_Distraction/Away_from_fwd_road_multiple/Lizard/@Intervention" xmlDataType="string"/>
    </xmlCellPr>
  </singleXmlCell>
  <singleXmlCell id="5038" xr6:uid="{4C916E75-80C5-4763-B59C-611DF99D5B63}" r="I35" connectionId="0">
    <xmlCellPr id="1" xr6:uid="{943AC22F-743D-40A0-B93C-A0069A17386A}" uniqueName="Sub-totals">
      <xmlPr mapId="7" xpath="/MAKE/SA/SA_OSM/Driver_Monitoring/Distraction/Short_Distraction/Away_from_fwd_road_multiple/Lizard/@Sub-totals" xmlDataType="decimal"/>
    </xmlCellPr>
  </singleXmlCell>
  <singleXmlCell id="5045" xr6:uid="{8F94DDB8-EC47-4BB0-8B73-8756A009565A}" r="G38" connectionId="0">
    <xmlCellPr id="1" xr6:uid="{C59757CF-203E-4BAC-9C27-13E2807D0608}" uniqueName="Warning">
      <xmlPr mapId="7" xpath="/MAKE/SA/SA_OSM/Driver_Monitoring/Distraction/Phone_Usage/Phone_Use_advanced/Lizard/@Warning" xmlDataType="string"/>
    </xmlCellPr>
  </singleXmlCell>
  <singleXmlCell id="5046" xr6:uid="{BF2EC18E-7A1C-4BEB-8002-416BEB901E09}" r="H38" connectionId="0">
    <xmlCellPr id="1" xr6:uid="{C6523E0D-1B51-4EA3-A6D7-015BACEF4187}" uniqueName="Intervention">
      <xmlPr mapId="7" xpath="/MAKE/SA/SA_OSM/Driver_Monitoring/Distraction/Phone_Usage/Phone_Use_advanced/Lizard/@Intervention" xmlDataType="string"/>
    </xmlCellPr>
  </singleXmlCell>
  <singleXmlCell id="5047" xr6:uid="{7D61AF85-4C3A-4727-99D2-633BAF866A10}" r="I38" connectionId="0">
    <xmlCellPr id="1" xr6:uid="{AC3DFFCB-8B89-42B0-A70E-429CEF23BE1C}" uniqueName="Sub-totals">
      <xmlPr mapId="7" xpath="/MAKE/SA/SA_OSM/Driver_Monitoring/Distraction/Phone_Usage/Phone_Use_advanced/Lizard/@Sub-totals" xmlDataType="decimal"/>
    </xmlCellPr>
  </singleXmlCell>
  <singleXmlCell id="5048" xr6:uid="{0C7A1E7C-AE2E-4C27-931F-0C5EEEA381DF}" r="G39" connectionId="0">
    <xmlCellPr id="1" xr6:uid="{7921176B-FFBB-4034-B85B-AEEE5FE10941}" uniqueName="Warning">
      <xmlPr mapId="7" xpath="/MAKE/SA/SA_OSM/Driver_Monitoring/Fatigue/Drowsiness/@Warning" xmlDataType="string"/>
    </xmlCellPr>
  </singleXmlCell>
  <singleXmlCell id="5049" xr6:uid="{106897CF-96CF-4303-BA2C-D2E57D5A8E94}" r="H39" connectionId="0">
    <xmlCellPr id="1" xr6:uid="{FEE67743-3274-458F-A836-FDD6C3DAE48F}" uniqueName="Intervention">
      <xmlPr mapId="7" xpath="/MAKE/SA/SA_OSM/Driver_Monitoring/Fatigue/Drowsiness/@Intervention" xmlDataType="string"/>
    </xmlCellPr>
  </singleXmlCell>
  <singleXmlCell id="5050" xr6:uid="{04F5F60A-7AF2-4346-B870-3A067CE90B3D}" r="I39" connectionId="0">
    <xmlCellPr id="1" xr6:uid="{67DB8BDE-0EEB-486D-A888-4AEBF6FE1852}" uniqueName="Sub-totals">
      <xmlPr mapId="7" xpath="/MAKE/SA/SA_OSM/Driver_Monitoring/Fatigue/Drowsiness/@Sub-totals" xmlDataType="decimal"/>
    </xmlCellPr>
  </singleXmlCell>
  <singleXmlCell id="5051" xr6:uid="{A18B2A23-69F7-4178-A327-6C81A1A74A3E}" r="G40" connectionId="0">
    <xmlCellPr id="1" xr6:uid="{B253B309-30B3-416B-93B2-5933299E60A5}" uniqueName="Warning">
      <xmlPr mapId="7" xpath="/MAKE/SA/SA_OSM/Driver_Monitoring/Fatigue/Microsleep/@Warning" xmlDataType="string"/>
    </xmlCellPr>
  </singleXmlCell>
  <singleXmlCell id="5052" xr6:uid="{67596CD6-3EAC-4D45-9344-8F4F8A164BDB}" r="H40" connectionId="0">
    <xmlCellPr id="1" xr6:uid="{96CE8B00-DDF5-4531-A629-929B15CB6A03}" uniqueName="Intervention">
      <xmlPr mapId="7" xpath="/MAKE/SA/SA_OSM/Driver_Monitoring/Fatigue/Microsleep/@Intervention" xmlDataType="string"/>
    </xmlCellPr>
  </singleXmlCell>
  <singleXmlCell id="5053" xr6:uid="{5325AC0B-4984-4B07-AF22-C02B02A16356}" r="I40" connectionId="0">
    <xmlCellPr id="1" xr6:uid="{552E693B-387B-4224-A70D-238DAED63140}" uniqueName="Sub-totals">
      <xmlPr mapId="7" xpath="/MAKE/SA/SA_OSM/Driver_Monitoring/Fatigue/Microsleep/@Sub-totals" xmlDataType="decimal"/>
    </xmlCellPr>
  </singleXmlCell>
  <singleXmlCell id="5054" xr6:uid="{24879C80-EE70-4DF6-BE6C-E0F03D79F7CC}" r="G41" connectionId="0">
    <xmlCellPr id="1" xr6:uid="{38965832-5626-471B-8C74-E15B5DD50EA3}" uniqueName="Warning">
      <xmlPr mapId="7" xpath="/MAKE/SA/SA_OSM/Driver_Monitoring/Fatigue/Sleep/@Warning" xmlDataType="string"/>
    </xmlCellPr>
  </singleXmlCell>
  <singleXmlCell id="5055" xr6:uid="{DB62478C-8937-4A97-A9A3-5199B59C1E9C}" r="H41" connectionId="0">
    <xmlCellPr id="1" xr6:uid="{F3475C6B-91A5-4C19-989C-5B8176CD976D}" uniqueName="Intervention">
      <xmlPr mapId="7" xpath="/MAKE/SA/SA_OSM/Driver_Monitoring/Fatigue/Sleep/@Intervention" xmlDataType="string"/>
    </xmlCellPr>
  </singleXmlCell>
  <singleXmlCell id="5056" xr6:uid="{447A55A4-7840-4D8F-BF15-CFFC75C106DD}" r="I41" connectionId="0">
    <xmlCellPr id="1" xr6:uid="{6E5D395A-1841-4560-88FA-A28B47F2A1D9}" uniqueName="Sub-totals">
      <xmlPr mapId="7" xpath="/MAKE/SA/SA_OSM/Driver_Monitoring/Fatigue/Sleep/@Sub-totals" xmlDataType="decimal"/>
    </xmlCellPr>
  </singleXmlCell>
  <singleXmlCell id="5060" xr6:uid="{18161605-AF64-4851-8EF1-99F205015136}" r="H42" connectionId="0">
    <xmlCellPr id="1" xr6:uid="{FD5A9E15-E854-4077-BEAB-196225ADFA7F}" uniqueName="Intervention">
      <xmlPr mapId="7" xpath="/MAKE/SA/SA_OSM/Driver_Monitoring/Sudden_Sickness/@Intervention" xmlDataType="string"/>
    </xmlCellPr>
  </singleXmlCell>
  <singleXmlCell id="5061" xr6:uid="{CBD5FA1D-5AED-4CC2-B553-339E1B0CCC52}" r="I42" connectionId="0">
    <xmlCellPr id="1" xr6:uid="{5041A9C3-F3AA-48C0-9401-07421413A7F1}" uniqueName="Sub-totals">
      <xmlPr mapId="7" xpath="/MAKE/SA/SA_OSM/Driver_Monitoring/Sudden_Sickness/@Sub-totals" xmlDataType="decimal"/>
    </xmlCellPr>
  </singleXmlCell>
  <singleXmlCell id="5063" xr6:uid="{938454B4-CD2A-43FB-AF23-280EF1921660}" r="D18" connectionId="0">
    <xmlCellPr id="1" xr6:uid="{92CDF92C-67BD-4B14-8B76-0B023FACCE7E}" uniqueName="Pass_Fail">
      <xmlPr mapId="7" xpath="/MAKE/SA/SA_OSM/Driver_Monitoring/Eligibility/@Pass_Fail" xmlDataType="string"/>
    </xmlCellPr>
  </singleXmlCell>
  <singleXmlCell id="5064" xr6:uid="{6B44A522-7B2F-44EB-B602-095A159FCDBD}" r="D12" connectionId="0">
    <xmlCellPr id="1" xr6:uid="{8414BE96-7543-4536-BEC8-AE2C560D29AA}" uniqueName="Assessment">
      <xmlPr mapId="7" xpath="/MAKE/SA/SA_OSM/Driver_Monitoring/Eligibility/Deactivation/@Assessment" xmlDataType="string"/>
    </xmlCellPr>
  </singleXmlCell>
  <singleXmlCell id="5065" xr6:uid="{DEDA8037-AA88-46E6-8A8C-B4605260C84C}" r="D13" connectionId="0">
    <xmlCellPr id="1" xr6:uid="{811E444B-496D-4935-A41E-FBC6FAEB523D}" uniqueName="Assessment">
      <xmlPr mapId="7" xpath="/MAKE/SA/SA_OSM/Driver_Monitoring/Eligibility/System_Type/@Assessment" xmlDataType="string"/>
    </xmlCellPr>
  </singleXmlCell>
  <singleXmlCell id="5066" xr6:uid="{85F905FB-D2E7-4BB1-AD7D-33380FA4EDA8}" r="D14" connectionId="0">
    <xmlCellPr id="1" xr6:uid="{2B55499C-AAD0-49D2-9E4A-852FE7938F21}" uniqueName="Assessment">
      <xmlPr mapId="7" xpath="/MAKE/SA/SA_OSM/Driver_Monitoring/Eligibility/Active_Speed/@Assessment" xmlDataType="string"/>
    </xmlCellPr>
  </singleXmlCell>
  <singleXmlCell id="5067" xr6:uid="{3FE4BE54-9C46-43B7-BB5E-E1C002B08101}" r="D15" connectionId="0">
    <xmlCellPr id="1" xr6:uid="{44866849-92FB-411F-8C77-F96C53AE11BD}" uniqueName="Assessment">
      <xmlPr mapId="7" xpath="/MAKE/SA/SA_OSM/Driver_Monitoring/Eligibility/Att_Assist_Dossier/@Assessment" xmlDataType="string"/>
    </xmlCellPr>
  </singleXmlCell>
  <singleXmlCell id="5068" xr6:uid="{0431D6B5-B119-4D03-ADF0-8E71B1924953}" r="D17" connectionId="0">
    <xmlCellPr id="1" xr6:uid="{85D5BDC0-E3FF-41E3-92BF-A0E11AD6F63F}" uniqueName="Assessment">
      <xmlPr mapId="7" xpath="/MAKE/SA/SA_OSM/Driver_Monitoring/Eligibility/Default_On/@Assessment" xmlDataType="string"/>
    </xmlCellPr>
  </singleXmlCell>
  <singleXmlCell id="5069" xr6:uid="{204901A3-1BD3-49D3-BFE4-41D430E2CB24}" r="D20" connectionId="0">
    <xmlCellPr id="1" xr6:uid="{1B1177DC-F774-4861-A579-3E076095C1FD}" uniqueName="Drivers">
      <xmlPr mapId="7" xpath="/MAKE/SA/SA_OSM/Driver_Monitoring/Noise_Variables/Drivers" xmlDataType="string"/>
    </xmlCellPr>
  </singleXmlCell>
  <singleXmlCell id="5070" xr6:uid="{6C8CD0BA-C33B-4B73-AA70-F5C16EEE935A}" r="D21" connectionId="0">
    <xmlCellPr id="1" xr6:uid="{84D96DF5-58C8-4D87-B50C-E0C7A10E24C1}" uniqueName="Occlusion">
      <xmlPr mapId="7" xpath="/MAKE/SA/SA_OSM/Driver_Monitoring/Noise_Variables/Occlusion" xmlDataType="string"/>
    </xmlCellPr>
  </singleXmlCell>
  <singleXmlCell id="5071" xr6:uid="{22AB7737-B548-40AC-828D-119B436E8669}" r="D22" connectionId="0">
    <xmlCellPr id="1" xr6:uid="{5871A604-B51F-4530-974A-3BB75906256A}" uniqueName="Driver_behavious">
      <xmlPr mapId="7" xpath="/MAKE/SA/SA_OSM/Driver_Monitoring/Noise_Variables/Driver_behavious" xmlDataType="string"/>
    </xmlCellPr>
  </singleXmlCell>
  <singleXmlCell id="5039" xr6:uid="{DC3A1430-0DBE-4711-90C4-76D2ED654E7B}" r="D45" connectionId="0">
    <xmlCellPr id="1" xr6:uid="{22EBBB41-7BB0-40C6-BC90-0A7651DDDB16}" uniqueName="Score">
      <xmlPr mapId="7" xpath="/MAKE/SA/SA_OSM/Driver_Monitoring/@Score" xmlDataType="decimal"/>
    </xmlCellPr>
  </singleXmlCell>
  <singleXmlCell id="5040" xr6:uid="{2903409C-9CE9-46B8-A68D-802596584515}" r="G36" connectionId="0">
    <xmlCellPr id="1" xr6:uid="{5271EF68-7C6C-44E3-94A0-B27E90317F55}" uniqueName="Warning">
      <xmlPr mapId="7" xpath="/MAKE/SA/SA_OSM/Driver_Monitoring/Distraction/Phone_Usage/Phone_Use_basic/Owl_plus_Lizard/@Warning" xmlDataType="string"/>
    </xmlCellPr>
  </singleXmlCell>
  <singleXmlCell id="5041" xr6:uid="{B4FA69FB-B921-45EF-A978-9872FB76D151}" r="H36" connectionId="0">
    <xmlCellPr id="1" xr6:uid="{1BAA96A0-CCD8-40F2-BEA5-DA680CAD5DF5}" uniqueName="Intervention">
      <xmlPr mapId="7" xpath="/MAKE/SA/SA_OSM/Driver_Monitoring/Distraction/Phone_Usage/Phone_Use_basic/Owl_plus_Lizard/@Intervention" xmlDataType="string"/>
    </xmlCellPr>
  </singleXmlCell>
  <singleXmlCell id="5099" xr6:uid="{99A329FD-FA79-47BE-9879-34D8B1393DFD}" r="I36" connectionId="0">
    <xmlCellPr id="1" xr6:uid="{73D0EDC9-7DD4-4975-92A5-AEC9F5D8821F}" uniqueName="Sub-totals">
      <xmlPr mapId="7" xpath="/MAKE/SA/SA_OSM/Driver_Monitoring/Distraction/Phone_Usage/Phone_Use_basic/Owl_plus_Lizard/@Sub-totals" xmlDataType="decimal"/>
    </xmlCellPr>
  </singleXmlCell>
</singleXmlCells>
</file>

<file path=xl/tables/tableSingleCells20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1211" xr6:uid="{52036D85-E81B-4F9D-BAD3-0EB306D81F1A}" r="E17" connectionId="0">
    <xmlCellPr id="1" xr6:uid="{A2B1050F-2ADB-451D-9523-830F9E4CF704}" uniqueName="Value">
      <xmlPr mapId="7" xpath="/MAKE/SA/SA_SAS/Speed_Limit_Information_Function/Advanced_Functions/Conditional_Speed_Limits/Rain_Wetness/@Value" xmlDataType="decimal"/>
    </xmlCellPr>
  </singleXmlCell>
  <singleXmlCell id="1229" xr6:uid="{BB1AB722-31DC-461B-9FDB-01A2DDE5EF8E}" r="D17" connectionId="0">
    <xmlCellPr id="1" xr6:uid="{493783C4-57C0-4D51-9CBF-6323D5C74AB1}" uniqueName="String">
      <xmlPr mapId="7" xpath="/MAKE/SA/SA_SAS/Speed_Limit_Information_Function/Advanced_Functions/Conditional_Speed_Limits/Rain_Wetness/@String" xmlDataType="string"/>
    </xmlCellPr>
  </singleXmlCell>
  <singleXmlCell id="1230" xr6:uid="{4CAFA9F9-A0A0-4905-A042-BDC91ED53D8C}" r="E18" connectionId="0">
    <xmlCellPr id="1" xr6:uid="{2484487E-DE12-430C-A126-2E5FEE7014CC}" uniqueName="Value">
      <xmlPr mapId="7" xpath="/MAKE/SA/SA_SAS/Speed_Limit_Information_Function/Advanced_Functions/Conditional_Speed_Limits/Snow_Icy/@Value" xmlDataType="decimal"/>
    </xmlCellPr>
  </singleXmlCell>
  <singleXmlCell id="1231" xr6:uid="{5553EAEA-7FB3-4F41-B26E-B59FBB3D01AB}" r="D18" connectionId="0">
    <xmlCellPr id="1" xr6:uid="{9F872874-4542-4DA7-896B-92F4AE4AFAD5}" uniqueName="String">
      <xmlPr mapId="7" xpath="/MAKE/SA/SA_SAS/Speed_Limit_Information_Function/Advanced_Functions/Conditional_Speed_Limits/Snow_Icy/@String" xmlDataType="string"/>
    </xmlCellPr>
  </singleXmlCell>
  <singleXmlCell id="1232" xr6:uid="{F27BC30B-D31E-49F8-B9CC-F78C9726D22A}" r="E19" connectionId="0">
    <xmlCellPr id="1" xr6:uid="{EF5B2FFB-1584-4494-AE1B-26EBCE26AB28}" uniqueName="Value">
      <xmlPr mapId="7" xpath="/MAKE/SA/SA_SAS/Speed_Limit_Information_Function/Advanced_Functions/Conditional_Speed_Limits/Time/@Value" xmlDataType="decimal"/>
    </xmlCellPr>
  </singleXmlCell>
  <singleXmlCell id="1233" xr6:uid="{9A34633D-C308-4E89-97FC-7CD512E5072D}" r="D19" connectionId="0">
    <xmlCellPr id="1" xr6:uid="{56FAD303-6519-4C9A-91CF-184298539ACE}" uniqueName="String">
      <xmlPr mapId="7" xpath="/MAKE/SA/SA_SAS/Speed_Limit_Information_Function/Advanced_Functions/Conditional_Speed_Limits/Time/@String" xmlDataType="string"/>
    </xmlCellPr>
  </singleXmlCell>
  <singleXmlCell id="1234" xr6:uid="{25628848-E1C3-4691-A398-CBD984DA052F}" r="D20" connectionId="0">
    <xmlCellPr id="1" xr6:uid="{4C88C54B-3F32-4F92-8358-2CC32862B2AB}" uniqueName="String">
      <xmlPr mapId="7" xpath="/MAKE/SA/SA_SAS/Speed_Limit_Information_Function/Advanced_Functions/Conditional_Speed_Limits/Distance_For_In/@String" xmlDataType="string"/>
    </xmlCellPr>
  </singleXmlCell>
  <singleXmlCell id="1235" xr6:uid="{FF25F166-B2EC-429A-B8FF-03F87A8AC1D7}" r="E20" connectionId="0">
    <xmlCellPr id="1" xr6:uid="{94A1BD47-F73E-4E8E-AD15-E947D801BC1C}" uniqueName="Value">
      <xmlPr mapId="7" xpath="/MAKE/SA/SA_SAS/Speed_Limit_Information_Function/Advanced_Functions/Conditional_Speed_Limits/Distance_For_In/@Value" xmlDataType="decimal"/>
    </xmlCellPr>
  </singleXmlCell>
  <singleXmlCell id="1236" xr6:uid="{3E2E01C8-426F-462B-8B24-D9996518A7DB}" r="E21" connectionId="0">
    <xmlCellPr id="1" xr6:uid="{43869CE1-60D1-45F5-9A0E-E3590DB670CE}" uniqueName="Value">
      <xmlPr mapId="7" xpath="/MAKE/SA/SA_SAS/Speed_Limit_Information_Function/Advanced_Functions/Conditional_Speed_Limits/Arrows/@Value" xmlDataType="decimal"/>
    </xmlCellPr>
  </singleXmlCell>
  <singleXmlCell id="1237" xr6:uid="{DAB03D29-DC3E-4032-A687-A0544E4BF1D7}" r="D21" connectionId="0">
    <xmlCellPr id="1" xr6:uid="{322F176A-9C22-44D6-A612-0F9DCE241AAE}" uniqueName="String">
      <xmlPr mapId="7" xpath="/MAKE/SA/SA_SAS/Speed_Limit_Information_Function/Advanced_Functions/Conditional_Speed_Limits/Arrows/@String" xmlDataType="string"/>
    </xmlCellPr>
  </singleXmlCell>
  <singleXmlCell id="1238" xr6:uid="{5CA85191-64FF-4033-B943-AD9DCBEB5E6C}" r="E22" connectionId="0">
    <xmlCellPr id="1" xr6:uid="{263179CD-DC1F-4C3F-93D1-3BE811D40F42}" uniqueName="Value">
      <xmlPr mapId="7" xpath="/MAKE/SA/SA_SAS/Speed_Limit_Information_Function/Advanced_Functions/Conditional_Speed_Limits/Vehicle_Categories/@Value" xmlDataType="decimal"/>
    </xmlCellPr>
  </singleXmlCell>
  <singleXmlCell id="1239" xr6:uid="{DC9813D3-B37F-4ECB-B687-8DE862410C53}" r="D22" connectionId="0">
    <xmlCellPr id="1" xr6:uid="{4B4FDE81-0035-49C6-94CD-BFBDAF13936E}" uniqueName="String">
      <xmlPr mapId="7" xpath="/MAKE/SA/SA_SAS/Speed_Limit_Information_Function/Advanced_Functions/Conditional_Speed_Limits/Vehicle_Categories/@String" xmlDataType="string"/>
    </xmlCellPr>
  </singleXmlCell>
  <singleXmlCell id="1240" xr6:uid="{2500D9B9-4231-41BC-95F0-9B93480AA900}" r="E23" connectionId="0">
    <xmlCellPr id="1" xr6:uid="{4EE339F8-0D18-4C90-9427-9D2A8FCB879A}" uniqueName="Value">
      <xmlPr mapId="7" xpath="/MAKE/SA/SA_SAS/Speed_Limit_Information_Function/Advanced_Functions/Conditional_Speed_Limits/Implicit_Highway_Motorway/@Value" xmlDataType="decimal"/>
    </xmlCellPr>
  </singleXmlCell>
  <singleXmlCell id="1241" xr6:uid="{54135DA8-8CDB-4A17-8285-382BE528ABED}" r="D23" connectionId="0">
    <xmlCellPr id="1" xr6:uid="{B4F655E4-FFED-483A-A2D1-79E6CF8B9526}" uniqueName="String">
      <xmlPr mapId="7" xpath="/MAKE/SA/SA_SAS/Speed_Limit_Information_Function/Advanced_Functions/Conditional_Speed_Limits/Implicit_Highway_Motorway/@String" xmlDataType="string"/>
    </xmlCellPr>
  </singleXmlCell>
  <singleXmlCell id="1242" xr6:uid="{65E374EA-B655-4AFA-9E6B-C952B9AAEE2C}" r="E24" connectionId="0">
    <xmlCellPr id="1" xr6:uid="{88BEA656-9BE8-415B-87BC-A5263D4F2E40}" uniqueName="Value">
      <xmlPr mapId="7" xpath="/MAKE/SA/SA_SAS/Speed_Limit_Information_Function/Advanced_Functions/Conditional_Speed_Limits/Implicit_City_Entry_Exit/@Value" xmlDataType="decimal"/>
    </xmlCellPr>
  </singleXmlCell>
  <singleXmlCell id="1243" xr6:uid="{E97D32F1-58DF-4810-8349-ED43435D4125}" r="D24" connectionId="0">
    <xmlCellPr id="1" xr6:uid="{2D43C168-E559-4655-93BB-6B25A56F5163}" uniqueName="String">
      <xmlPr mapId="7" xpath="/MAKE/SA/SA_SAS/Speed_Limit_Information_Function/Advanced_Functions/Conditional_Speed_Limits/Implicit_City_Entry_Exit/@String" xmlDataType="string"/>
    </xmlCellPr>
  </singleXmlCell>
  <singleXmlCell id="1244" xr6:uid="{4733620B-FFBD-4D48-9268-FB6BE99C8237}" r="E25" connectionId="0">
    <xmlCellPr id="1" xr6:uid="{4A92D5A1-2FA8-432A-B7E2-5AF29F860FAB}" uniqueName="Value">
      <xmlPr mapId="7" xpath="/MAKE/SA/SA_SAS/Speed_Limit_Information_Function/Advanced_Functions/Conditional_Speed_Limits/Implicit_Residential_Zones/@Value" xmlDataType="decimal"/>
    </xmlCellPr>
  </singleXmlCell>
  <singleXmlCell id="1245" xr6:uid="{2B455CB8-E8FF-4D90-B49A-E2321242DCB0}" r="D25" connectionId="0">
    <xmlCellPr id="1" xr6:uid="{CE2BCCBE-2212-48C5-8936-8AF33A8A7FAC}" uniqueName="String">
      <xmlPr mapId="7" xpath="/MAKE/SA/SA_SAS/Speed_Limit_Information_Function/Advanced_Functions/Conditional_Speed_Limits/Implicit_Residential_Zones/@String" xmlDataType="string"/>
    </xmlCellPr>
  </singleXmlCell>
  <singleXmlCell id="1246" xr6:uid="{7A57E690-4CE2-4E98-ADA1-11F1550F804B}" r="E26" connectionId="0">
    <xmlCellPr id="1" xr6:uid="{A5EABA08-6094-4A34-9C02-06113B5B2282}" uniqueName="Value">
      <xmlPr mapId="7" xpath="/MAKE/SA/SA_SAS/Speed_Limit_Information_Function/Advanced_Functions/Conditional_Speed_Limits/Dynamic_Speed_Limits/@Value" xmlDataType="decimal"/>
    </xmlCellPr>
  </singleXmlCell>
  <singleXmlCell id="1247" xr6:uid="{C64449D9-C89A-452D-9327-A6514FFA01BD}" r="D26" connectionId="0">
    <xmlCellPr id="1" xr6:uid="{EAA8427F-282D-47E7-AB5A-A978F07C75C4}" uniqueName="String">
      <xmlPr mapId="7" xpath="/MAKE/SA/SA_SAS/Speed_Limit_Information_Function/Advanced_Functions/Conditional_Speed_Limits/Dynamic_Speed_Limits/@String" xmlDataType="string"/>
    </xmlCellPr>
  </singleXmlCell>
  <singleXmlCell id="1248" xr6:uid="{0F23BE98-E765-4731-A4CF-DC3193D9BC79}" r="E29" connectionId="0">
    <xmlCellPr id="1" xr6:uid="{DC6511B7-9657-4BA1-978E-60FB43E3E197}" uniqueName="Value">
      <xmlPr mapId="7" xpath="/MAKE/SA/SA_SAS/Speed_Limit_Information_Function/Advanced_Functions/Road_Features/Curves/@Value" xmlDataType="decimal"/>
    </xmlCellPr>
  </singleXmlCell>
  <singleXmlCell id="1249" xr6:uid="{845E5179-3B12-466A-8017-26F0DE274440}" r="D29" connectionId="0">
    <xmlCellPr id="1" xr6:uid="{F7E93B94-D31B-4FC4-81C3-0F454320A5C4}" uniqueName="String">
      <xmlPr mapId="7" xpath="/MAKE/SA/SA_SAS/Speed_Limit_Information_Function/Advanced_Functions/Road_Features/Curves/@String" xmlDataType="string"/>
    </xmlCellPr>
  </singleXmlCell>
  <singleXmlCell id="1250" xr6:uid="{DB1D4EA4-74E0-4FC6-BF27-D429BBE95DA5}" r="E30" connectionId="0">
    <xmlCellPr id="1" xr6:uid="{78BC447D-25A3-4FA0-86E3-14FDD967E4C3}" uniqueName="Value">
      <xmlPr mapId="7" xpath="/MAKE/SA/SA_SAS/Speed_Limit_Information_Function/Advanced_Functions/Road_Features/Roundabouts/@Value" xmlDataType="decimal"/>
    </xmlCellPr>
  </singleXmlCell>
  <singleXmlCell id="1251" xr6:uid="{655BEA39-CFEF-4404-A254-523381A330B0}" r="D30" connectionId="0">
    <xmlCellPr id="1" xr6:uid="{19311C8E-5DE0-4FFD-A34A-510C9CEE8E3E}" uniqueName="String">
      <xmlPr mapId="7" xpath="/MAKE/SA/SA_SAS/Speed_Limit_Information_Function/Advanced_Functions/Road_Features/Roundabouts/@String" xmlDataType="string"/>
    </xmlCellPr>
  </singleXmlCell>
  <singleXmlCell id="1252" xr6:uid="{9A5006CD-81D5-47AF-A52C-D2A0C3441B4B}" r="E31" connectionId="0">
    <xmlCellPr id="1" xr6:uid="{CD2F2F4B-AA1A-4FA5-B445-FE283933EC1D}" uniqueName="Value">
      <xmlPr mapId="7" xpath="/MAKE/SA/SA_SAS/Speed_Limit_Information_Function/Advanced_Functions/Road_Features/Junctions/@Value" xmlDataType="decimal"/>
    </xmlCellPr>
  </singleXmlCell>
  <singleXmlCell id="1253" xr6:uid="{C7418789-830D-4950-A4D1-00D17B663199}" r="D31" connectionId="0">
    <xmlCellPr id="1" xr6:uid="{681324F6-43A4-481F-86DB-294897BD01DF}" uniqueName="String">
      <xmlPr mapId="7" xpath="/MAKE/SA/SA_SAS/Speed_Limit_Information_Function/Advanced_Functions/Road_Features/Junctions/@String" xmlDataType="string"/>
    </xmlCellPr>
  </singleXmlCell>
  <singleXmlCell id="1254" xr6:uid="{FC524714-8EBB-4D09-9736-61F122451939}" r="E32" connectionId="0">
    <xmlCellPr id="1" xr6:uid="{B87550E3-BE0F-46B3-9488-06257D2D3558}" uniqueName="Value">
      <xmlPr mapId="7" xpath="/MAKE/SA/SA_SAS/Speed_Limit_Information_Function/Advanced_Functions/Road_Features/Traffic_Lights/@Value" xmlDataType="decimal"/>
    </xmlCellPr>
  </singleXmlCell>
  <singleXmlCell id="1255" xr6:uid="{01DAC350-6E11-4316-BFA0-42E212B34330}" r="D32" connectionId="0">
    <xmlCellPr id="1" xr6:uid="{2509B910-791C-42F7-A8BD-4AD35BC4FA0E}" uniqueName="String">
      <xmlPr mapId="7" xpath="/MAKE/SA/SA_SAS/Speed_Limit_Information_Function/Advanced_Functions/Road_Features/Traffic_Lights/@String" xmlDataType="string"/>
    </xmlCellPr>
  </singleXmlCell>
  <singleXmlCell id="1256" xr6:uid="{5BDCE794-FAA3-42BE-97D0-EAB2E933DA51}" r="E33" connectionId="0">
    <xmlCellPr id="1" xr6:uid="{0C372C81-679F-4559-BBD0-F9BDAB1206D0}" uniqueName="Value">
      <xmlPr mapId="7" xpath="/MAKE/SA/SA_SAS/Speed_Limit_Information_Function/Advanced_Functions/Road_Features/Stop_Signs/@Value" xmlDataType="decimal"/>
    </xmlCellPr>
  </singleXmlCell>
  <singleXmlCell id="1257" xr6:uid="{469AF99D-3B02-4A83-91B4-A1AA77D3ECDC}" r="D33" connectionId="0">
    <xmlCellPr id="1" xr6:uid="{D3F9AAF8-DAD0-4BBA-8AF6-EB10D177C44D}" uniqueName="String">
      <xmlPr mapId="7" xpath="/MAKE/SA/SA_SAS/Speed_Limit_Information_Function/Advanced_Functions/Road_Features/Stop_Signs/@String" xmlDataType="string"/>
    </xmlCellPr>
  </singleXmlCell>
  <singleXmlCell id="1258" xr6:uid="{BD06EEE4-2AEF-44D6-9A07-0B7DD1C86950}" r="E34" connectionId="0">
    <xmlCellPr id="1" xr6:uid="{BD754F02-6153-44D2-9056-614ED1F2F117}" uniqueName="Value">
      <xmlPr mapId="7" xpath="/MAKE/SA/SA_SAS/Speed_Limit_Information_Function/Advanced_Functions/Road_Features/Yield_Signs/@Value" xmlDataType="decimal"/>
    </xmlCellPr>
  </singleXmlCell>
  <singleXmlCell id="1259" xr6:uid="{89DA683D-6C21-4A36-9B16-666FF90E7ADB}" r="D34" connectionId="0">
    <xmlCellPr id="1" xr6:uid="{B7AB4AE3-BBC3-483C-99B8-BA93659BD0E2}" uniqueName="String">
      <xmlPr mapId="7" xpath="/MAKE/SA/SA_SAS/Speed_Limit_Information_Function/Advanced_Functions/Road_Features/Yield_Signs/@String" xmlDataType="string"/>
    </xmlCellPr>
  </singleXmlCell>
  <singleXmlCell id="1260" xr6:uid="{A6266457-0C96-45C0-988F-0BE5F29B4A6F}" r="E35" connectionId="0">
    <xmlCellPr id="1" xr6:uid="{937AF43D-71D2-4479-8BED-6CE3CCB2F07E}" uniqueName="Value">
      <xmlPr mapId="7" xpath="/MAKE/SA/SA_SAS/Speed_Limit_Information_Function/Advanced_Functions/Road_Features/No-Entry/@Value" xmlDataType="decimal"/>
    </xmlCellPr>
  </singleXmlCell>
  <singleXmlCell id="1261" xr6:uid="{C28249F4-4D29-4530-AB25-D19FE4165148}" r="D35" connectionId="0">
    <xmlCellPr id="1" xr6:uid="{8DF116FD-FF02-4BBF-AF0E-A38ABB950370}" uniqueName="String">
      <xmlPr mapId="7" xpath="/MAKE/SA/SA_SAS/Speed_Limit_Information_Function/Advanced_Functions/Road_Features/No-Entry/@String" xmlDataType="string"/>
    </xmlCellPr>
  </singleXmlCell>
  <singleXmlCell id="1262" xr6:uid="{931F465E-A840-4F9D-A42C-E21FF11DA6DB}" r="E38" connectionId="0">
    <xmlCellPr id="1" xr6:uid="{9AA4A44A-C61D-455C-A16D-86681D938E88}" uniqueName="Value">
      <xmlPr mapId="7" xpath="/MAKE/SA/SA_SAS/Speed_Limit_Information_Function/Advanced_Functions/Local_Hazards/Traffic_Jams/@Value" xmlDataType="decimal"/>
    </xmlCellPr>
  </singleXmlCell>
  <singleXmlCell id="1263" xr6:uid="{D72C9262-62B3-4A98-BA0E-0611C530C363}" r="D38" connectionId="0">
    <xmlCellPr id="1" xr6:uid="{9341DA2A-BAA5-449F-AE6E-C6D369BEE09B}" uniqueName="String">
      <xmlPr mapId="7" xpath="/MAKE/SA/SA_SAS/Speed_Limit_Information_Function/Advanced_Functions/Local_Hazards/Traffic_Jams/@String" xmlDataType="string"/>
    </xmlCellPr>
  </singleXmlCell>
  <singleXmlCell id="1264" xr6:uid="{9565B153-0E2E-4ACD-919E-26F440DEA3F9}" r="E39" connectionId="0">
    <xmlCellPr id="1" xr6:uid="{A46EC9DB-BCD3-40B3-B627-590EA45EE59E}" uniqueName="Value">
      <xmlPr mapId="7" xpath="/MAKE/SA/SA_SAS/Speed_Limit_Information_Function/Advanced_Functions/Local_Hazards/Construction_Zones/@Value" xmlDataType="decimal"/>
    </xmlCellPr>
  </singleXmlCell>
  <singleXmlCell id="1265" xr6:uid="{F6F58C3E-6C12-4B7F-9811-331A953FEA09}" r="D39" connectionId="0">
    <xmlCellPr id="1" xr6:uid="{D449D78B-3554-4FC1-B6C8-DBF8C0B19193}" uniqueName="String">
      <xmlPr mapId="7" xpath="/MAKE/SA/SA_SAS/Speed_Limit_Information_Function/Advanced_Functions/Local_Hazards/Construction_Zones/@String" xmlDataType="string"/>
    </xmlCellPr>
  </singleXmlCell>
  <singleXmlCell id="1266" xr6:uid="{16FD30DF-48CD-4CD6-AA5E-6F92B1BC10C4}" r="E40" connectionId="0">
    <xmlCellPr id="1" xr6:uid="{6B78AEB9-A6AF-4A7F-8DA8-59B1C2755F98}" uniqueName="Value">
      <xmlPr mapId="7" xpath="/MAKE/SA/SA_SAS/Speed_Limit_Information_Function/Advanced_Functions/Local_Hazards/Accident_Ahead/@Value" xmlDataType="decimal"/>
    </xmlCellPr>
  </singleXmlCell>
  <singleXmlCell id="1267" xr6:uid="{34A5D7F0-9AB8-4CEE-B538-4CD7E6347521}" r="D40" connectionId="0">
    <xmlCellPr id="1" xr6:uid="{027E995E-B57A-49FD-AAF0-FC99918ACDC5}" uniqueName="String">
      <xmlPr mapId="7" xpath="/MAKE/SA/SA_SAS/Speed_Limit_Information_Function/Advanced_Functions/Local_Hazards/Accident_Ahead/@String" xmlDataType="string"/>
    </xmlCellPr>
  </singleXmlCell>
  <singleXmlCell id="1268" xr6:uid="{A8DADFEA-C6F5-402A-BB0D-27FBDAC2F1CF}" r="E41" connectionId="0">
    <xmlCellPr id="1" xr6:uid="{A791B982-63D6-44B0-85E7-A289FAA41E21}" uniqueName="Value">
      <xmlPr mapId="7" xpath="/MAKE/SA/SA_SAS/Speed_Limit_Information_Function/Advanced_Functions/Local_Hazards/Wrong_Way_Driver/@Value" xmlDataType="decimal"/>
    </xmlCellPr>
  </singleXmlCell>
  <singleXmlCell id="1269" xr6:uid="{57E320AE-CA5E-44AF-992C-29110195F6A3}" r="D41" connectionId="0">
    <xmlCellPr id="1" xr6:uid="{8809151E-2941-4B82-AC82-CD0FB9863CB5}" uniqueName="String">
      <xmlPr mapId="7" xpath="/MAKE/SA/SA_SAS/Speed_Limit_Information_Function/Advanced_Functions/Local_Hazards/Wrong_Way_Driver/@String" xmlDataType="string"/>
    </xmlCellPr>
  </singleXmlCell>
  <singleXmlCell id="1270" xr6:uid="{EA089ABE-2D08-4B77-9C02-87115F927AAA}" r="E42" connectionId="0">
    <xmlCellPr id="1" xr6:uid="{5DB9418A-24D6-46AD-8E83-CE25656FAE56}" uniqueName="Value">
      <xmlPr mapId="7" xpath="/MAKE/SA/SA_SAS/Speed_Limit_Information_Function/Advanced_Functions/Local_Hazards/Stopped_Vehicle/@Value" xmlDataType="decimal"/>
    </xmlCellPr>
  </singleXmlCell>
  <singleXmlCell id="1271" xr6:uid="{46C0C2C3-224A-4C2D-AE1F-540024D3AB6D}" r="D42" connectionId="0">
    <xmlCellPr id="1" xr6:uid="{AEB99D54-79ED-4A2D-A356-ADE2B5FA19CF}" uniqueName="String">
      <xmlPr mapId="7" xpath="/MAKE/SA/SA_SAS/Speed_Limit_Information_Function/Advanced_Functions/Local_Hazards/Stopped_Vehicle/@String" xmlDataType="string"/>
    </xmlCellPr>
  </singleXmlCell>
  <singleXmlCell id="1272" xr6:uid="{2E6E5319-0667-4460-8DFB-50A9EC2B4768}" r="E43" connectionId="0">
    <xmlCellPr id="1" xr6:uid="{DA476CC4-0A5B-427C-A392-FD9295883960}" uniqueName="Value">
      <xmlPr mapId="7" xpath="/MAKE/SA/SA_SAS/Speed_Limit_Information_Function/Advanced_Functions/Local_Hazards/Items_in_Road/@Value" xmlDataType="decimal"/>
    </xmlCellPr>
  </singleXmlCell>
  <singleXmlCell id="1273" xr6:uid="{26B0C9B4-6299-48DE-A696-7B61DBF68316}" r="D43" connectionId="0">
    <xmlCellPr id="1" xr6:uid="{B4ECCC3C-3F08-4DAB-ACA8-386C3FED1574}" uniqueName="String">
      <xmlPr mapId="7" xpath="/MAKE/SA/SA_SAS/Speed_Limit_Information_Function/Advanced_Functions/Local_Hazards/Items_in_Road/@String" xmlDataType="string"/>
    </xmlCellPr>
  </singleXmlCell>
  <singleXmlCell id="1274" xr6:uid="{760FDB1E-EE2B-4AAD-84E3-58F25F4C9924}" r="E44" connectionId="0">
    <xmlCellPr id="1" xr6:uid="{7F537910-3AAC-4EA7-8C71-E2EBCFFE88FF}" uniqueName="Value">
      <xmlPr mapId="7" xpath="/MAKE/SA/SA_SAS/Speed_Limit_Information_Function/Advanced_Functions/Local_Hazards/Poor_Conditions/@Value" xmlDataType="decimal"/>
    </xmlCellPr>
  </singleXmlCell>
  <singleXmlCell id="1275" xr6:uid="{01A3077A-813C-48AD-9A67-FA1DBFC7D05D}" r="D44" connectionId="0">
    <xmlCellPr id="1" xr6:uid="{1FCC4E6E-6962-43B1-A64C-64DA23339C38}" uniqueName="String">
      <xmlPr mapId="7" xpath="/MAKE/SA/SA_SAS/Speed_Limit_Information_Function/Advanced_Functions/Local_Hazards/Poor_Conditions/@String" xmlDataType="string"/>
    </xmlCellPr>
  </singleXmlCell>
  <singleXmlCell id="1276" xr6:uid="{A4768B28-6402-4D8E-9AED-8FD495476589}" r="E45" connectionId="0">
    <xmlCellPr id="1" xr6:uid="{FEFDF06B-D209-4524-A4D0-D73B7D2904EB}" uniqueName="Value">
      <xmlPr mapId="7" xpath="/MAKE/SA/SA_SAS/Speed_Limit_Information_Function/Advanced_Functions/Local_Hazards/Poor_Weather/@Value" xmlDataType="decimal"/>
    </xmlCellPr>
  </singleXmlCell>
  <singleXmlCell id="1277" xr6:uid="{F1DCC3F4-7A14-4EF1-AB18-68A653CF3273}" r="D45" connectionId="0">
    <xmlCellPr id="1" xr6:uid="{6AF5051F-E52D-4950-B83E-C3BE2E914F91}" uniqueName="String">
      <xmlPr mapId="7" xpath="/MAKE/SA/SA_SAS/Speed_Limit_Information_Function/Advanced_Functions/Local_Hazards/Poor_Weather/@String" xmlDataType="string"/>
    </xmlCellPr>
  </singleXmlCell>
  <singleXmlCell id="1278" xr6:uid="{C624CAD3-AC48-4198-9308-E136E3ED4A0C}" r="E46" connectionId="0">
    <xmlCellPr id="1" xr6:uid="{B3DF9DEC-9610-4220-B31F-CE3A612CAFBA}" uniqueName="Value">
      <xmlPr mapId="7" xpath="/MAKE/SA/SA_SAS/Speed_Limit_Information_Function/Advanced_Functions/Local_Hazards/Emergency_Vehicle/@Value" xmlDataType="decimal"/>
    </xmlCellPr>
  </singleXmlCell>
  <singleXmlCell id="1279" xr6:uid="{6BF5DAED-B2CD-48B1-B00C-9C080C84B344}" r="D46" connectionId="0">
    <xmlCellPr id="1" xr6:uid="{24373699-7E52-4835-8E05-B8DE7F328B2A}" uniqueName="String">
      <xmlPr mapId="7" xpath="/MAKE/SA/SA_SAS/Speed_Limit_Information_Function/Advanced_Functions/Local_Hazards/Emergency_Vehicle/@String" xmlDataType="string"/>
    </xmlCellPr>
  </singleXmlCell>
  <singleXmlCell id="1288" xr6:uid="{19319E70-62BB-4C05-8429-ACC848ED5C82}" r="D6" connectionId="0">
    <xmlCellPr id="1" xr6:uid="{C207BCBA-7220-42CD-A16D-2695089374C7}" uniqueName="System_Name">
      <xmlPr mapId="7" xpath="/MAKE/SA/SA_SAS/@System_Name" xmlDataType="string"/>
    </xmlCellPr>
  </singleXmlCell>
  <singleXmlCell id="1290" xr6:uid="{3CFBE51F-F9F6-46D0-AF92-7B2C39FF34F5}" r="D52" connectionId="0">
    <xmlCellPr id="1" xr6:uid="{496618D3-0AE7-4F97-B3B1-A396CA732B64}" uniqueName="Score">
      <xmlPr mapId="7" xpath="/MAKE/SA/SA_SAS/Speed_Limit_Information_Function/@Score" xmlDataType="decimal"/>
    </xmlCellPr>
  </singleXmlCell>
  <singleXmlCell id="898" xr6:uid="{88D2FCCF-A165-4865-A330-8EACFF17FE9C}" r="D72" connectionId="0">
    <xmlCellPr id="1" xr6:uid="{C436145B-61E6-4E55-9342-A1C49708792C}" uniqueName="TOTAL_SAS">
      <xmlPr mapId="7" xpath="/MAKE/SA/SA_SAS/@TOTAL_SAS" xmlDataType="decimal"/>
    </xmlCellPr>
  </singleXmlCell>
  <singleXmlCell id="1210" xr6:uid="{B822D130-D18A-416D-B1C7-FD1BF531ED44}" r="E27" connectionId="0">
    <xmlCellPr id="1" xr6:uid="{95CEBD6F-9A29-491C-8680-AD1224D3042E}" uniqueName="Total">
      <xmlPr mapId="7" xpath="/MAKE/SA/SA_SAS/Speed_Limit_Information_Function/Advanced_Functions/Conditional_Speed_Limits/@Total" xmlDataType="decimal"/>
    </xmlCellPr>
  </singleXmlCell>
  <singleXmlCell id="1280" xr6:uid="{05D38438-EC12-41A7-B67E-F90D8146EA43}" r="E36" connectionId="0">
    <xmlCellPr id="1" xr6:uid="{83AC40CC-443C-4882-97BB-3173EDCB9ABC}" uniqueName="Total">
      <xmlPr mapId="7" xpath="/MAKE/SA/SA_SAS/Speed_Limit_Information_Function/Advanced_Functions/Road_Features/@Total" xmlDataType="decimal"/>
    </xmlCellPr>
  </singleXmlCell>
  <singleXmlCell id="1283" xr6:uid="{4472CFBF-FA70-4AFE-BB4D-4ED7536A3F1F}" r="E47" connectionId="0">
    <xmlCellPr id="1" xr6:uid="{65DDDE09-9A52-49DA-96F9-762DBE183E07}" uniqueName="Total">
      <xmlPr mapId="7" xpath="/MAKE/SA/SA_SAS/Speed_Limit_Information_Function/Advanced_Functions/Local_Hazards/@Total" xmlDataType="decimal"/>
    </xmlCellPr>
  </singleXmlCell>
  <singleXmlCell id="1291" xr6:uid="{E1F1F7F6-9672-4EC5-A5A8-B252E46757FC}" r="E50" connectionId="0">
    <xmlCellPr id="1" xr6:uid="{60BF8A1F-FD04-405D-B214-C2B110DADE6B}" uniqueName="Total">
      <xmlPr mapId="7" xpath="/MAKE/SA/SA_SAS/Speed_Limit_Information_Function/Advanced_Functions/System_Updates/@Total" xmlDataType="decimal"/>
    </xmlCellPr>
  </singleXmlCell>
  <singleXmlCell id="1292" xr6:uid="{A773E27B-F5D2-49B4-BD9D-649EC7428358}" r="E49" connectionId="0">
    <xmlCellPr id="1" xr6:uid="{0CC82DE9-FB4D-427B-A4B8-B0EF9B0AA28D}" uniqueName="Value">
      <xmlPr mapId="7" xpath="/MAKE/SA/SA_SAS/Speed_Limit_Information_Function/Advanced_Functions/System_Updates/System_Updates/@Value" xmlDataType="decimal"/>
    </xmlCellPr>
  </singleXmlCell>
  <singleXmlCell id="1293" xr6:uid="{DBC90204-0DC8-4BBD-B551-D92F3B9F7C21}" r="D49" connectionId="0">
    <xmlCellPr id="1" xr6:uid="{06AB591A-7958-4B3F-9B6E-8818164DD30A}" uniqueName="String">
      <xmlPr mapId="7" xpath="/MAKE/SA/SA_SAS/Speed_Limit_Information_Function/Advanced_Functions/System_Updates/System_Updates/@String" xmlDataType="string"/>
    </xmlCellPr>
  </singleXmlCell>
  <singleXmlCell id="1294" xr6:uid="{5D1A399E-3287-420F-B866-C95AE9474FAF}" r="D66" connectionId="0">
    <xmlCellPr id="1" xr6:uid="{88155A49-04FE-4075-B869-8BEBFCBCA0DF}" uniqueName="Points">
      <xmlPr mapId="7" xpath="/MAKE/SA/SA_SAS/Speed_Limitation_Function/@Points" xmlDataType="decimal"/>
    </xmlCellPr>
  </singleXmlCell>
  <singleXmlCell id="1302" xr6:uid="{10C013BF-E5F1-4952-AA11-ADD82DD10B7A}" r="D58" connectionId="0">
    <xmlCellPr id="1" xr6:uid="{BB9D637E-84FA-4F78-B1F4-A2BB6DB42388}" uniqueName="Value">
      <xmlPr mapId="7" xpath="/MAKE/SA/SA_SAS/Speed_Limitation_Function/Test_50k/Vstab/@Value" xmlDataType="decimal"/>
    </xmlCellPr>
  </singleXmlCell>
  <singleXmlCell id="1303" xr6:uid="{4E45E9F4-008E-4C46-BFE6-8137F2F12A49}" r="E58" connectionId="0">
    <xmlCellPr id="1" xr6:uid="{1935E948-0D78-4399-8C1F-28535598FED0}" uniqueName="Pass_Fail">
      <xmlPr mapId="7" xpath="/MAKE/SA/SA_SAS/Speed_Limitation_Function/Test_50k/Vstab/@Pass_Fail" xmlDataType="string"/>
    </xmlCellPr>
  </singleXmlCell>
  <singleXmlCell id="1304" xr6:uid="{915B671A-D187-4C5B-B70A-661B496E682B}" r="D59" connectionId="0">
    <xmlCellPr id="1" xr6:uid="{0302B542-BE95-4030-B268-55815788665B}" uniqueName="Value">
      <xmlPr mapId="7" xpath="/MAKE/SA/SA_SAS/Speed_Limitation_Function/Test_50k/Max_Variation/@Value" xmlDataType="decimal"/>
    </xmlCellPr>
  </singleXmlCell>
  <singleXmlCell id="1305" xr6:uid="{DA20ED8F-8769-41C4-B1DC-853633FA731F}" r="E59" connectionId="0">
    <xmlCellPr id="1" xr6:uid="{7FC9F057-DB7E-4A00-9C6A-7B75E490BD5B}" uniqueName="Pass_Fail">
      <xmlPr mapId="7" xpath="/MAKE/SA/SA_SAS/Speed_Limitation_Function/Test_50k/Max_Variation/@Pass_Fail" xmlDataType="string"/>
    </xmlCellPr>
  </singleXmlCell>
  <singleXmlCell id="1306" xr6:uid="{946F4A27-DF7C-4721-B8B5-5E5DED003D6C}" r="D61" connectionId="0">
    <xmlCellPr id="1" xr6:uid="{7101D4B9-B781-488F-A1EC-B809BC18C1A5}" uniqueName="Value">
      <xmlPr mapId="7" xpath="/MAKE/SA/SA_SAS/Speed_Limitation_Function/Test_80k/Vstab/@Value" xmlDataType="decimal"/>
    </xmlCellPr>
  </singleXmlCell>
  <singleXmlCell id="1307" xr6:uid="{A5554200-7273-4894-AA6D-FFC14A68DB57}" r="E61" connectionId="0">
    <xmlCellPr id="1" xr6:uid="{373366B7-4DA2-4A3A-8240-3D907152A071}" uniqueName="Pass_Fail">
      <xmlPr mapId="7" xpath="/MAKE/SA/SA_SAS/Speed_Limitation_Function/Test_80k/Vstab/@Pass_Fail" xmlDataType="string"/>
    </xmlCellPr>
  </singleXmlCell>
  <singleXmlCell id="1308" xr6:uid="{2812975E-FC1B-43F8-B11C-9DDFB50175CF}" r="D62" connectionId="0">
    <xmlCellPr id="1" xr6:uid="{4567763F-0325-480D-B00B-5F66B2D7BA9F}" uniqueName="Value">
      <xmlPr mapId="7" xpath="/MAKE/SA/SA_SAS/Speed_Limitation_Function/Test_80k/Max_Variation/@Value" xmlDataType="decimal"/>
    </xmlCellPr>
  </singleXmlCell>
  <singleXmlCell id="1309" xr6:uid="{FD697F95-DD9A-4BDE-BF03-01EBF875AD58}" r="E62" connectionId="0">
    <xmlCellPr id="1" xr6:uid="{1CED0DF8-E005-4360-82CE-14D9C3E74587}" uniqueName="Pass_Fail">
      <xmlPr mapId="7" xpath="/MAKE/SA/SA_SAS/Speed_Limitation_Function/Test_80k/Max_Variation/@Pass_Fail" xmlDataType="string"/>
    </xmlCellPr>
  </singleXmlCell>
  <singleXmlCell id="1310" xr6:uid="{D7B8ACE1-EC49-4B13-B2AF-8F1DA27B6728}" r="D64" connectionId="0">
    <xmlCellPr id="1" xr6:uid="{C8279FDD-93AD-444F-B3EB-7D55D3226FA9}" uniqueName="Value">
      <xmlPr mapId="7" xpath="/MAKE/SA/SA_SAS/Speed_Limitation_Function/Test_120k/Vstab/@Value" xmlDataType="decimal"/>
    </xmlCellPr>
  </singleXmlCell>
  <singleXmlCell id="1311" xr6:uid="{310364BB-E8FA-4A0E-BB15-330C40B2A4A5}" r="E64" connectionId="0">
    <xmlCellPr id="1" xr6:uid="{C6D1B2C4-8565-4A46-A5B7-7894136F03D6}" uniqueName="Pass_Fail">
      <xmlPr mapId="7" xpath="/MAKE/SA/SA_SAS/Speed_Limitation_Function/Test_120k/Vstab/@Pass_Fail" xmlDataType="string"/>
    </xmlCellPr>
  </singleXmlCell>
  <singleXmlCell id="1312" xr6:uid="{810944CD-128A-48BE-9C5F-4DC245E6DC1B}" r="D65" connectionId="0">
    <xmlCellPr id="1" xr6:uid="{68BF13D0-6519-4366-8F89-E1CDDADC5872}" uniqueName="Value">
      <xmlPr mapId="7" xpath="/MAKE/SA/SA_SAS/Speed_Limitation_Function/Test_120k/Max_Variation/@Value" xmlDataType="decimal"/>
    </xmlCellPr>
  </singleXmlCell>
  <singleXmlCell id="1313" xr6:uid="{9210F590-C94A-49E8-8CF2-6C52984F3073}" r="E65" connectionId="0">
    <xmlCellPr id="1" xr6:uid="{C2C8C160-BD71-4DF8-8686-E6BAB8C2026E}" uniqueName="Pass_Fail">
      <xmlPr mapId="7" xpath="/MAKE/SA/SA_SAS/Speed_Limitation_Function/Test_120k/Max_Variation/@Pass_Fail" xmlDataType="string"/>
    </xmlCellPr>
  </singleXmlCell>
  <singleXmlCell id="1314" xr6:uid="{FF0C7A33-6F5D-43E8-AD3A-AA9B674E94F4}" r="D69" connectionId="0">
    <xmlCellPr id="1" xr6:uid="{355C9EB8-4826-48E8-AF8A-B9CE4993A47A}" uniqueName="SLIF">
      <xmlPr mapId="7" xpath="/MAKE/SA/SA_SAS/SUMMARY/@SLIF" xmlDataType="decimal"/>
    </xmlCellPr>
  </singleXmlCell>
  <singleXmlCell id="1315" xr6:uid="{B8D40A6A-C4E4-4A7E-99E1-9BBEA4F84BDE}" r="D70" connectionId="0">
    <xmlCellPr id="1" xr6:uid="{E165B670-F65F-4D03-A3A2-C0BCA181D211}" uniqueName="Speed_Limitation">
      <xmlPr mapId="7" xpath="/MAKE/SA/SA_SAS/SUMMARY/@Speed_Limitation" xmlDataType="decimal"/>
    </xmlCellPr>
  </singleXmlCell>
  <singleXmlCell id="1320" xr6:uid="{A776C075-5175-4B8F-85D3-AA951D3F2E37}" r="D55" connectionId="0">
    <xmlCellPr id="1" xr6:uid="{6B0E7F79-8396-412C-9C4F-38280CDB1FF2}" uniqueName="Setting_Vadj">
      <xmlPr mapId="7" xpath="/MAKE/SA/SA_SAS/Speed_Limitation_Function/Setting_Vadj" xmlDataType="string"/>
    </xmlCellPr>
  </singleXmlCell>
  <singleXmlCell id="1281" xr6:uid="{AE5CCD51-C73E-47A8-B465-3BFD2E81DA4D}" r="D14" connectionId="0">
    <xmlCellPr id="1" xr6:uid="{085163CC-BE7E-497F-A67D-8AE6D8229A69}" uniqueName="Type">
      <xmlPr mapId="7" xpath="/MAKE/SA/SA_SAS/Speed_Limit_Information_Function/General_Requirements/Type_of_Warning/@Type" xmlDataType="string"/>
    </xmlCellPr>
  </singleXmlCell>
  <singleXmlCell id="1282" xr6:uid="{F609C613-BED7-4BE1-ADE8-83177A7D1004}" r="E14" connectionId="0">
    <xmlCellPr id="1" xr6:uid="{5C5F3662-247E-48DA-8AE9-1B49D8FC726F}" uniqueName="Pass_Fail">
      <xmlPr mapId="7" xpath="/MAKE/SA/SA_SAS/Speed_Limit_Information_Function/General_Requirements/Type_of_Warning/@Pass_Fail" xmlDataType="string"/>
    </xmlCellPr>
  </singleXmlCell>
  <singleXmlCell id="1284" xr6:uid="{ADE20818-C57C-486E-84FF-4F4984500A44}" r="E13" connectionId="0">
    <xmlCellPr id="1" xr6:uid="{6F4B1B37-A954-478E-9FEA-9592BA5CBF1F}" uniqueName="Warning_in_direct_view">
      <xmlPr mapId="7" xpath="/MAKE/SA/SA_SAS/Speed_Limit_Information_Function/General_Requirements/Warning_in_direct_view" xmlDataType="string"/>
    </xmlCellPr>
  </singleXmlCell>
  <singleXmlCell id="1285" xr6:uid="{DD6ECF33-E787-4F0F-93AB-21D04D7967DF}" r="E12" connectionId="0">
    <xmlCellPr id="1" xr6:uid="{7998BCBC-3A16-4E02-97CB-F25DA277E7CF}" uniqueName="Warning_Default_ON">
      <xmlPr mapId="7" xpath="/MAKE/SA/SA_SAS/Speed_Limit_Information_Function/General_Requirements/Warning_Default_ON" xmlDataType="string"/>
    </xmlCellPr>
  </singleXmlCell>
  <singleXmlCell id="1287" xr6:uid="{F8F1BD86-453A-471E-A731-085436A59D4B}" r="D9" connectionId="0">
    <xmlCellPr id="1" xr6:uid="{0CB8DA8D-B181-49C0-B467-41829A6BC681}" uniqueName="Type_of_system">
      <xmlPr mapId="7" xpath="/MAKE/SA/SA_SAS/Speed_Limit_Information_Function/General_Requirements/Type_of_system" xmlDataType="string"/>
    </xmlCellPr>
  </singleXmlCell>
  <singleXmlCell id="5100" xr6:uid="{51A52D83-8073-4D59-92E6-3F2CD406FA85}" r="D15" connectionId="0">
    <xmlCellPr id="1" xr6:uid="{B2BDEA51-09A0-4EF7-B509-9DB934843370}" uniqueName="Value">
      <xmlPr mapId="7" xpath="/MAKE/SA/SA_SAS/Speed_Limit_Information_Function/General_Requirements/@Value" xmlDataType="decimal"/>
    </xmlCellPr>
  </singleXmlCell>
  <singleXmlCell id="5101" xr6:uid="{58090622-B4E2-4E79-95D1-F4B719E122C9}" r="E10" connectionId="0">
    <xmlCellPr id="1" xr6:uid="{7E8864D7-59EF-4501-AF94-85E949DAF96F}" uniqueName="GSR_Compliant">
      <xmlPr mapId="7" xpath="/MAKE/SA/SA_SAS/Speed_Limit_Information_Function/General_Requirements/GSR_Compliant" xmlDataType="string"/>
    </xmlCellPr>
  </singleXmlCell>
</singleXmlCells>
</file>

<file path=xl/tables/tableSingleCells2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702" xr6:uid="{388F3764-F755-4D50-966B-7B86ED5D3117}" r="D5" connectionId="0">
    <xmlCellPr id="1" xr6:uid="{35297576-01C1-4E35-AD73-D38F924CD41F}" uniqueName="System_Name">
      <xmlPr mapId="7" xpath="/MAKE/SA/SA_AEB_Car_to_Car/System_Details/System_Name" xmlDataType="string"/>
    </xmlCellPr>
  </singleXmlCell>
  <singleXmlCell id="703" xr6:uid="{7392BA06-D4B2-41B2-A97B-0D8AB90A5F72}" r="D7" connectionId="0">
    <xmlCellPr id="1" xr6:uid="{33E247C7-FEC5-4B84-A40C-E6E6FA8E6F46}" uniqueName="AEB">
      <xmlPr mapId="7" xpath="/MAKE/SA/SA_AEB_Car_to_Car/System_Details/Functionality/@AEB" xmlDataType="anyType"/>
    </xmlCellPr>
  </singleXmlCell>
  <singleXmlCell id="704" xr6:uid="{FB50021C-7FC3-4379-B339-04C1D29125A7}" r="I7" connectionId="0">
    <xmlCellPr id="1" xr6:uid="{6E0B1067-8E1B-4B96-864C-40E6B0C33994}" uniqueName="FCW">
      <xmlPr mapId="7" xpath="/MAKE/SA/SA_AEB_Car_to_Car/System_Details/Functionality/@FCW" xmlDataType="anyType"/>
    </xmlCellPr>
  </singleXmlCell>
  <singleXmlCell id="705" xr6:uid="{6D41500A-6544-47E7-9AAC-ABC3FB95C3A2}" r="D8" connectionId="0">
    <xmlCellPr id="1" xr6:uid="{677CBAC6-C0FC-4E2C-B253-2766155D8B0D}" uniqueName="AEB">
      <xmlPr mapId="7" xpath="/MAKE/SA/SA_AEB_Car_to_Car/System_Details/Speed_Min/@AEB" xmlDataType="integer"/>
    </xmlCellPr>
  </singleXmlCell>
  <singleXmlCell id="809" xr6:uid="{B484F411-3BA1-40F3-A518-D73378570467}" r="I8" connectionId="0">
    <xmlCellPr id="1" xr6:uid="{DFDC9920-97DD-4A59-A6E7-C6762E43A70C}" uniqueName="FCW">
      <xmlPr mapId="7" xpath="/MAKE/SA/SA_AEB_Car_to_Car/System_Details/Speed_Min/@FCW" xmlDataType="integer"/>
    </xmlCellPr>
  </singleXmlCell>
  <singleXmlCell id="810" xr6:uid="{C41A6FE0-BB8E-42A7-8A1F-9D7525B7FB70}" r="D9" connectionId="0">
    <xmlCellPr id="1" xr6:uid="{26C53CED-8C14-44A6-ACE9-46682349F2F4}" uniqueName="AEB">
      <xmlPr mapId="7" xpath="/MAKE/SA/SA_AEB_Car_to_Car/System_Details/Speed_Max/@AEB" xmlDataType="integer"/>
    </xmlCellPr>
  </singleXmlCell>
  <singleXmlCell id="811" xr6:uid="{A102BB52-1AED-44C1-9A3A-517943BCC7DB}" r="I9" connectionId="0">
    <xmlCellPr id="1" xr6:uid="{27D16C9A-4437-43A6-A14D-B0A39C8AC965}" uniqueName="FCW">
      <xmlPr mapId="7" xpath="/MAKE/SA/SA_AEB_Car_to_Car/System_Details/Speed_Max/@FCW" xmlDataType="integer"/>
    </xmlCellPr>
  </singleXmlCell>
  <singleXmlCell id="814" xr6:uid="{45E2C925-68DD-41A8-B25C-7F314D0D0CB3}" r="D12" connectionId="0">
    <xmlCellPr id="1" xr6:uid="{3E7FB5FD-FFC9-4AD0-BE2D-F436A8D597C1}" uniqueName="AEB">
      <xmlPr mapId="7" xpath="/MAKE/SA/SA_AEB_Car_to_Car/Prerequisites/Default_On/@AEB" xmlDataType="anyType"/>
    </xmlCellPr>
  </singleXmlCell>
  <singleXmlCell id="815" xr6:uid="{204CBAC5-2BB5-43EB-8D3D-066E742EF26A}" r="I12" connectionId="0">
    <xmlCellPr id="1" xr6:uid="{17F76385-73DE-423E-A32E-7273935CD169}" uniqueName="FCW">
      <xmlPr mapId="7" xpath="/MAKE/SA/SA_AEB_Car_to_Car/Prerequisites/Default_On/@FCW" xmlDataType="anyType"/>
    </xmlCellPr>
  </singleXmlCell>
  <singleXmlCell id="816" xr6:uid="{5836CB0F-EC3E-46C6-8AFC-9AC4A66E186C}" r="D13" connectionId="0">
    <xmlCellPr id="1" xr6:uid="{2B055489-A74A-458A-93BB-02F4E653D73D}" uniqueName="AEB">
      <xmlPr mapId="7" xpath="/MAKE/SA/SA_AEB_Car_to_Car/Prerequisites/Loud_Clear_FCW/@AEB" xmlDataType="anyType"/>
    </xmlCellPr>
  </singleXmlCell>
  <singleXmlCell id="817" xr6:uid="{691C507F-966A-47E4-B379-4A20AC234202}" r="I13" connectionId="0">
    <xmlCellPr id="1" xr6:uid="{23DDAEA5-1BCE-47B4-A7E6-58E4403C2891}" uniqueName="FCW">
      <xmlPr mapId="7" xpath="/MAKE/SA/SA_AEB_Car_to_Car/Prerequisites/Loud_Clear_FCW/@FCW" xmlDataType="anyType"/>
    </xmlCellPr>
  </singleXmlCell>
  <singleXmlCell id="818" xr6:uid="{61361C08-0C3E-4E70-8378-FF4E64FFF936}" r="D14" connectionId="0">
    <xmlCellPr id="1" xr6:uid="{711B35F9-480C-4E13-B79B-98CCC0460504}" uniqueName="AEB">
      <xmlPr mapId="7" xpath="/MAKE/SA/SA_AEB_Car_to_Car/Prerequisites/Off_Below_130/@AEB" xmlDataType="anyType"/>
    </xmlCellPr>
  </singleXmlCell>
  <singleXmlCell id="819" xr6:uid="{1BE98815-AB3D-4E2B-8311-72634BA55E1E}" r="I14" connectionId="0">
    <xmlCellPr id="1" xr6:uid="{919DBC21-9E18-49E2-B83A-359D48BAFD24}" uniqueName="FCW">
      <xmlPr mapId="7" xpath="/MAKE/SA/SA_AEB_Car_to_Car/Prerequisites/Off_Below_130/@FCW" xmlDataType="anyType"/>
    </xmlCellPr>
  </singleXmlCell>
  <singleXmlCell id="820" xr6:uid="{AB0BB023-0B5E-4561-98EC-6BC42389EB2D}" r="D15" connectionId="0">
    <xmlCellPr id="1" xr6:uid="{59254406-DFB6-4472-85AB-36E7CD9F4DEA}" uniqueName="Result">
      <xmlPr mapId="7" xpath="/MAKE/SA/SA_AEB_Car_to_Car/Prerequisites/@Result" xmlDataType="anyType"/>
    </xmlCellPr>
  </singleXmlCell>
  <singleXmlCell id="821" xr6:uid="{86EE23F7-989B-4484-8ADF-11EE976D357D}" r="D18" connectionId="0">
    <xmlCellPr id="1" xr6:uid="{D5C9E6DA-530B-434E-8E4E-90869133C6F9}" uniqueName="Overlap-50">
      <xmlPr mapId="7" xpath="/MAKE/SA/SA_AEB_Car_to_Car/CCRs/AEB_Prediction/Speed_10/@Overlap-50" xmlDataType="string"/>
    </xmlCellPr>
  </singleXmlCell>
  <singleXmlCell id="822" xr6:uid="{7B309F74-DBF9-46FC-AF4D-F73900ECCD92}" r="E18" connectionId="0">
    <xmlCellPr id="1" xr6:uid="{BCDFD2D6-29B9-465A-A0E5-E5351CB2EDE3}" uniqueName="Overlap-25">
      <xmlPr mapId="7" xpath="/MAKE/SA/SA_AEB_Car_to_Car/CCRs/AEB_Prediction/Speed_10/@Overlap-25" xmlDataType="string"/>
    </xmlCellPr>
  </singleXmlCell>
  <singleXmlCell id="823" xr6:uid="{25645CBC-796E-4E5A-A2B1-0D6871F37FB0}" r="F18" connectionId="0">
    <xmlCellPr id="1" xr6:uid="{EF078EB8-EAF2-4ACB-9DB3-9DF2CA5ABEB9}" uniqueName="Overlap0">
      <xmlPr mapId="7" xpath="/MAKE/SA/SA_AEB_Car_to_Car/CCRs/AEB_Prediction/Speed_10/@Overlap0" xmlDataType="string"/>
    </xmlCellPr>
  </singleXmlCell>
  <singleXmlCell id="824" xr6:uid="{8B401A6E-A3BD-4CF1-8720-C276BD45AEAA}" r="G18" connectionId="0">
    <xmlCellPr id="1" xr6:uid="{D8E6D498-139A-45C5-9EFA-49BD2ED008D6}" uniqueName="Overlap25">
      <xmlPr mapId="7" xpath="/MAKE/SA/SA_AEB_Car_to_Car/CCRs/AEB_Prediction/Speed_10/@Overlap25" xmlDataType="string"/>
    </xmlCellPr>
  </singleXmlCell>
  <singleXmlCell id="825" xr6:uid="{BD285A4E-D3BE-491B-91CF-A231CBE5D649}" r="H18" connectionId="0">
    <xmlCellPr id="1" xr6:uid="{60B2ACE8-B383-47F3-AE97-A3BC2DCD6FF4}" uniqueName="Overlap50">
      <xmlPr mapId="7" xpath="/MAKE/SA/SA_AEB_Car_to_Car/CCRs/AEB_Prediction/Speed_10/@Overlap50" xmlDataType="string"/>
    </xmlCellPr>
  </singleXmlCell>
  <singleXmlCell id="826" xr6:uid="{7F82853A-28A5-48D8-A733-B3409E64B873}" r="D19" connectionId="0">
    <xmlCellPr id="1" xr6:uid="{268BB616-5A2B-4B4E-97C1-6734F67D6F6E}" uniqueName="Overlap-50">
      <xmlPr mapId="7" xpath="/MAKE/SA/SA_AEB_Car_to_Car/CCRs/AEB_Prediction/Speed_15/@Overlap-50" xmlDataType="string"/>
    </xmlCellPr>
  </singleXmlCell>
  <singleXmlCell id="827" xr6:uid="{96205A4A-9F7A-44CB-8CCB-F1658C0F9F5D}" r="E19" connectionId="0">
    <xmlCellPr id="1" xr6:uid="{891F566B-FF17-45F8-A7C1-5E3EE5F03670}" uniqueName="Overlap-25">
      <xmlPr mapId="7" xpath="/MAKE/SA/SA_AEB_Car_to_Car/CCRs/AEB_Prediction/Speed_15/@Overlap-25" xmlDataType="string"/>
    </xmlCellPr>
  </singleXmlCell>
  <singleXmlCell id="828" xr6:uid="{AD254933-0F68-43A1-B234-49BB0B6F531E}" r="F19" connectionId="0">
    <xmlCellPr id="1" xr6:uid="{4C1DEC29-87E3-4798-921C-AFE5A630B584}" uniqueName="Overlap0">
      <xmlPr mapId="7" xpath="/MAKE/SA/SA_AEB_Car_to_Car/CCRs/AEB_Prediction/Speed_15/@Overlap0" xmlDataType="string"/>
    </xmlCellPr>
  </singleXmlCell>
  <singleXmlCell id="829" xr6:uid="{FB4D72E6-CF74-40E4-A99B-9E4BFEDCAE42}" r="G19" connectionId="0">
    <xmlCellPr id="1" xr6:uid="{C4B56717-CD8B-44EC-9EC4-15AF58072360}" uniqueName="Overlap25">
      <xmlPr mapId="7" xpath="/MAKE/SA/SA_AEB_Car_to_Car/CCRs/AEB_Prediction/Speed_15/@Overlap25" xmlDataType="string"/>
    </xmlCellPr>
  </singleXmlCell>
  <singleXmlCell id="830" xr6:uid="{EB55A91F-A45F-4481-A613-E0C599D42F6E}" r="H19" connectionId="0">
    <xmlCellPr id="1" xr6:uid="{0FD9A81D-867E-4960-AE5C-F6A1AF3EE7E0}" uniqueName="Overlap50">
      <xmlPr mapId="7" xpath="/MAKE/SA/SA_AEB_Car_to_Car/CCRs/AEB_Prediction/Speed_15/@Overlap50" xmlDataType="string"/>
    </xmlCellPr>
  </singleXmlCell>
  <singleXmlCell id="831" xr6:uid="{9877C31F-52AC-4C08-B4B1-332FBA930E9B}" r="D20" connectionId="0">
    <xmlCellPr id="1" xr6:uid="{80435C2C-4AD4-4A2B-85ED-178A71674499}" uniqueName="Overlap-50">
      <xmlPr mapId="7" xpath="/MAKE/SA/SA_AEB_Car_to_Car/CCRs/AEB_Prediction/Speed_20/@Overlap-50" xmlDataType="string"/>
    </xmlCellPr>
  </singleXmlCell>
  <singleXmlCell id="832" xr6:uid="{BF66CDBF-6A9B-4E7B-917B-1DB019A01239}" r="E20" connectionId="0">
    <xmlCellPr id="1" xr6:uid="{7694DBF9-CB35-4737-981F-4831487563A3}" uniqueName="Overlap-25">
      <xmlPr mapId="7" xpath="/MAKE/SA/SA_AEB_Car_to_Car/CCRs/AEB_Prediction/Speed_20/@Overlap-25" xmlDataType="string"/>
    </xmlCellPr>
  </singleXmlCell>
  <singleXmlCell id="833" xr6:uid="{3BFA2A21-5A4F-4E94-B13E-686ACA7F7368}" r="F20" connectionId="0">
    <xmlCellPr id="1" xr6:uid="{C6906EF1-F911-4E3B-8C57-7A1E92CA18F8}" uniqueName="Overlap0">
      <xmlPr mapId="7" xpath="/MAKE/SA/SA_AEB_Car_to_Car/CCRs/AEB_Prediction/Speed_20/@Overlap0" xmlDataType="string"/>
    </xmlCellPr>
  </singleXmlCell>
  <singleXmlCell id="834" xr6:uid="{A3F1B798-B331-4022-AF39-1CFDBC8B0618}" r="G20" connectionId="0">
    <xmlCellPr id="1" xr6:uid="{2BCFF2F3-DC66-48D6-946B-6ACADE642EA1}" uniqueName="Overlap25">
      <xmlPr mapId="7" xpath="/MAKE/SA/SA_AEB_Car_to_Car/CCRs/AEB_Prediction/Speed_20/@Overlap25" xmlDataType="string"/>
    </xmlCellPr>
  </singleXmlCell>
  <singleXmlCell id="835" xr6:uid="{58996250-021E-40FE-A9C5-D29D9D9AF85A}" r="H20" connectionId="0">
    <xmlCellPr id="1" xr6:uid="{7D32FE48-53E0-41D7-A1B8-B4B13C423D4D}" uniqueName="Overlap50">
      <xmlPr mapId="7" xpath="/MAKE/SA/SA_AEB_Car_to_Car/CCRs/AEB_Prediction/Speed_20/@Overlap50" xmlDataType="string"/>
    </xmlCellPr>
  </singleXmlCell>
  <singleXmlCell id="836" xr6:uid="{FB48D2A7-8742-4838-82F8-612D44AF38A8}" r="D21" connectionId="0">
    <xmlCellPr id="1" xr6:uid="{1CC00317-027C-47AB-8EBA-65B8A58B65A1}" uniqueName="Overlap-50">
      <xmlPr mapId="7" xpath="/MAKE/SA/SA_AEB_Car_to_Car/CCRs/AEB_Prediction/Speed_25/@Overlap-50" xmlDataType="string"/>
    </xmlCellPr>
  </singleXmlCell>
  <singleXmlCell id="837" xr6:uid="{968435DC-C110-49B8-8038-55EF37F45442}" r="E21" connectionId="0">
    <xmlCellPr id="1" xr6:uid="{EE6E245F-AAE6-42E5-93A5-20BDD15D8FC1}" uniqueName="Overlap-25">
      <xmlPr mapId="7" xpath="/MAKE/SA/SA_AEB_Car_to_Car/CCRs/AEB_Prediction/Speed_25/@Overlap-25" xmlDataType="string"/>
    </xmlCellPr>
  </singleXmlCell>
  <singleXmlCell id="838" xr6:uid="{266A1CD8-38AB-4AA9-996E-2075E346EE01}" r="F21" connectionId="0">
    <xmlCellPr id="1" xr6:uid="{C32F9DF0-1A22-4A2D-BB99-5FE7AE0F5127}" uniqueName="Overlap0">
      <xmlPr mapId="7" xpath="/MAKE/SA/SA_AEB_Car_to_Car/CCRs/AEB_Prediction/Speed_25/@Overlap0" xmlDataType="string"/>
    </xmlCellPr>
  </singleXmlCell>
  <singleXmlCell id="839" xr6:uid="{2BAC319E-3205-4050-910D-53FA7CB22B41}" r="G21" connectionId="0">
    <xmlCellPr id="1" xr6:uid="{3EB0DBB9-2728-4919-B8A2-2E1C9EC7F22C}" uniqueName="Overlap25">
      <xmlPr mapId="7" xpath="/MAKE/SA/SA_AEB_Car_to_Car/CCRs/AEB_Prediction/Speed_25/@Overlap25" xmlDataType="string"/>
    </xmlCellPr>
  </singleXmlCell>
  <singleXmlCell id="840" xr6:uid="{984908DA-D038-4B85-B2CA-2E3370210324}" r="H21" connectionId="0">
    <xmlCellPr id="1" xr6:uid="{EB22E0AC-1A7E-4EC2-A0C9-75559AF5D408}" uniqueName="Overlap50">
      <xmlPr mapId="7" xpath="/MAKE/SA/SA_AEB_Car_to_Car/CCRs/AEB_Prediction/Speed_25/@Overlap50" xmlDataType="string"/>
    </xmlCellPr>
  </singleXmlCell>
  <singleXmlCell id="841" xr6:uid="{6F3240F2-EFAB-4E3C-82D2-15DDC41D830E}" r="D22" connectionId="0">
    <xmlCellPr id="1" xr6:uid="{A94EC801-8F68-4A3C-BB4F-E6AF7DBED0AE}" uniqueName="Overlap-50">
      <xmlPr mapId="7" xpath="/MAKE/SA/SA_AEB_Car_to_Car/CCRs/AEB_Prediction/Speed_30/@Overlap-50" xmlDataType="string"/>
    </xmlCellPr>
  </singleXmlCell>
  <singleXmlCell id="842" xr6:uid="{B8132047-F975-44EE-9114-40C02E92332D}" r="E22" connectionId="0">
    <xmlCellPr id="1" xr6:uid="{76DCE8DC-8E81-46C4-AF09-5E25A99A4FBE}" uniqueName="Overlap-25">
      <xmlPr mapId="7" xpath="/MAKE/SA/SA_AEB_Car_to_Car/CCRs/AEB_Prediction/Speed_30/@Overlap-25" xmlDataType="string"/>
    </xmlCellPr>
  </singleXmlCell>
  <singleXmlCell id="843" xr6:uid="{F767DFFB-0339-41A0-924B-6623E94CC8CB}" r="F22" connectionId="0">
    <xmlCellPr id="1" xr6:uid="{512A94C4-5B1A-4420-8174-20F30D89B6FE}" uniqueName="Overlap0">
      <xmlPr mapId="7" xpath="/MAKE/SA/SA_AEB_Car_to_Car/CCRs/AEB_Prediction/Speed_30/@Overlap0" xmlDataType="string"/>
    </xmlCellPr>
  </singleXmlCell>
  <singleXmlCell id="844" xr6:uid="{50AF16CF-945F-42F7-9172-39B8FD2BFBCF}" r="G22" connectionId="0">
    <xmlCellPr id="1" xr6:uid="{68AEA745-3CE6-4305-A476-1F87EE9B3D9D}" uniqueName="Overlap25">
      <xmlPr mapId="7" xpath="/MAKE/SA/SA_AEB_Car_to_Car/CCRs/AEB_Prediction/Speed_30/@Overlap25" xmlDataType="string"/>
    </xmlCellPr>
  </singleXmlCell>
  <singleXmlCell id="845" xr6:uid="{FD1F64E2-5B0B-48F5-A9D5-533902707E72}" r="H22" connectionId="0">
    <xmlCellPr id="1" xr6:uid="{F55C020D-E07A-4D5F-A44A-5B8F6DDF7DA1}" uniqueName="Overlap50">
      <xmlPr mapId="7" xpath="/MAKE/SA/SA_AEB_Car_to_Car/CCRs/AEB_Prediction/Speed_30/@Overlap50" xmlDataType="string"/>
    </xmlCellPr>
  </singleXmlCell>
  <singleXmlCell id="846" xr6:uid="{B212E164-D376-4A23-A376-CF73E89E8C9D}" r="D23" connectionId="0">
    <xmlCellPr id="1" xr6:uid="{321BC8B0-48DE-42D1-9949-0CA2123DBE5D}" uniqueName="Overlap-50">
      <xmlPr mapId="7" xpath="/MAKE/SA/SA_AEB_Car_to_Car/CCRs/AEB_Prediction/Speed_35/@Overlap-50" xmlDataType="string"/>
    </xmlCellPr>
  </singleXmlCell>
  <singleXmlCell id="847" xr6:uid="{8F056625-0389-4936-B5DC-869C8B6E8165}" r="E23" connectionId="0">
    <xmlCellPr id="1" xr6:uid="{664CDB23-CD50-4306-B171-9AB67D108306}" uniqueName="Overlap-25">
      <xmlPr mapId="7" xpath="/MAKE/SA/SA_AEB_Car_to_Car/CCRs/AEB_Prediction/Speed_35/@Overlap-25" xmlDataType="string"/>
    </xmlCellPr>
  </singleXmlCell>
  <singleXmlCell id="848" xr6:uid="{8C12C41A-0086-4438-A6C0-B1EBDA9AD00E}" r="F23" connectionId="0">
    <xmlCellPr id="1" xr6:uid="{3BA5205C-3807-46ED-85FD-72158BAFF46A}" uniqueName="Overlap0">
      <xmlPr mapId="7" xpath="/MAKE/SA/SA_AEB_Car_to_Car/CCRs/AEB_Prediction/Speed_35/@Overlap0" xmlDataType="string"/>
    </xmlCellPr>
  </singleXmlCell>
  <singleXmlCell id="849" xr6:uid="{0840C454-9A25-477D-B82E-C9AF2ACA4F6B}" r="G23" connectionId="0">
    <xmlCellPr id="1" xr6:uid="{A38F57C6-4590-49CC-AF95-58685A98DFEC}" uniqueName="Overlap25">
      <xmlPr mapId="7" xpath="/MAKE/SA/SA_AEB_Car_to_Car/CCRs/AEB_Prediction/Speed_35/@Overlap25" xmlDataType="string"/>
    </xmlCellPr>
  </singleXmlCell>
  <singleXmlCell id="850" xr6:uid="{1E2881DE-34EF-47F3-A3DE-9F2478BCA331}" r="H23" connectionId="0">
    <xmlCellPr id="1" xr6:uid="{F467FFE8-73D1-4A11-86D0-8C15A0D41C4A}" uniqueName="Overlap50">
      <xmlPr mapId="7" xpath="/MAKE/SA/SA_AEB_Car_to_Car/CCRs/AEB_Prediction/Speed_35/@Overlap50" xmlDataType="string"/>
    </xmlCellPr>
  </singleXmlCell>
  <singleXmlCell id="851" xr6:uid="{36B45412-715C-465E-AAFA-0DD787A6D0D0}" r="D24" connectionId="0">
    <xmlCellPr id="1" xr6:uid="{EF41EC00-200A-491F-9A2E-6A5A76E72472}" uniqueName="Overlap-50">
      <xmlPr mapId="7" xpath="/MAKE/SA/SA_AEB_Car_to_Car/CCRs/AEB_Prediction/Speed_40/@Overlap-50" xmlDataType="string"/>
    </xmlCellPr>
  </singleXmlCell>
  <singleXmlCell id="852" xr6:uid="{EAAB0973-B853-4AB2-A32B-C5EA40A1084F}" r="E24" connectionId="0">
    <xmlCellPr id="1" xr6:uid="{CF0B76AB-9516-4D65-BFA4-4DDA22234D9E}" uniqueName="Overlap-25">
      <xmlPr mapId="7" xpath="/MAKE/SA/SA_AEB_Car_to_Car/CCRs/AEB_Prediction/Speed_40/@Overlap-25" xmlDataType="string"/>
    </xmlCellPr>
  </singleXmlCell>
  <singleXmlCell id="853" xr6:uid="{3D3AAC92-2266-4A1E-8919-9CDF527BDF84}" r="F24" connectionId="0">
    <xmlCellPr id="1" xr6:uid="{7D329721-575E-4E97-AE2B-E4949F23F84B}" uniqueName="Overlap0">
      <xmlPr mapId="7" xpath="/MAKE/SA/SA_AEB_Car_to_Car/CCRs/AEB_Prediction/Speed_40/@Overlap0" xmlDataType="string"/>
    </xmlCellPr>
  </singleXmlCell>
  <singleXmlCell id="854" xr6:uid="{ECE2CCC7-BE74-41E5-AFE7-6993F9EA8400}" r="G24" connectionId="0">
    <xmlCellPr id="1" xr6:uid="{131698F2-A004-4F63-AF5F-73789CD4AAE0}" uniqueName="Overlap25">
      <xmlPr mapId="7" xpath="/MAKE/SA/SA_AEB_Car_to_Car/CCRs/AEB_Prediction/Speed_40/@Overlap25" xmlDataType="string"/>
    </xmlCellPr>
  </singleXmlCell>
  <singleXmlCell id="855" xr6:uid="{B8945C60-64D1-48C7-803B-F5BF074AD24E}" r="H24" connectionId="0">
    <xmlCellPr id="1" xr6:uid="{BF689ECC-483F-492F-8128-79042294A79B}" uniqueName="Overlap50">
      <xmlPr mapId="7" xpath="/MAKE/SA/SA_AEB_Car_to_Car/CCRs/AEB_Prediction/Speed_40/@Overlap50" xmlDataType="string"/>
    </xmlCellPr>
  </singleXmlCell>
  <singleXmlCell id="856" xr6:uid="{334ED146-D10D-4FA9-8737-821813137DBE}" r="D25" connectionId="0">
    <xmlCellPr id="1" xr6:uid="{133EA714-D019-45DF-964D-351B4F048E8B}" uniqueName="Overlap-50">
      <xmlPr mapId="7" xpath="/MAKE/SA/SA_AEB_Car_to_Car/CCRs/AEB_Prediction/Speed_45/@Overlap-50" xmlDataType="string"/>
    </xmlCellPr>
  </singleXmlCell>
  <singleXmlCell id="857" xr6:uid="{04DA7ECC-06B3-4666-AD6B-CFE0411829C2}" r="E25" connectionId="0">
    <xmlCellPr id="1" xr6:uid="{14471FC6-8B91-4362-9D2B-ECFA591ED5A5}" uniqueName="Overlap-25">
      <xmlPr mapId="7" xpath="/MAKE/SA/SA_AEB_Car_to_Car/CCRs/AEB_Prediction/Speed_45/@Overlap-25" xmlDataType="string"/>
    </xmlCellPr>
  </singleXmlCell>
  <singleXmlCell id="858" xr6:uid="{99646A02-1451-45AC-8232-BD2F26286C30}" r="F25" connectionId="0">
    <xmlCellPr id="1" xr6:uid="{E976D419-14D2-44FA-ADCB-9F9AE29F123A}" uniqueName="Overlap0">
      <xmlPr mapId="7" xpath="/MAKE/SA/SA_AEB_Car_to_Car/CCRs/AEB_Prediction/Speed_45/@Overlap0" xmlDataType="string"/>
    </xmlCellPr>
  </singleXmlCell>
  <singleXmlCell id="859" xr6:uid="{B042475E-B645-46A2-BC03-DC9CD58BB2E3}" r="G25" connectionId="0">
    <xmlCellPr id="1" xr6:uid="{F95728A4-54FF-46D7-B0F0-947F23402A6D}" uniqueName="Overlap25">
      <xmlPr mapId="7" xpath="/MAKE/SA/SA_AEB_Car_to_Car/CCRs/AEB_Prediction/Speed_45/@Overlap25" xmlDataType="string"/>
    </xmlCellPr>
  </singleXmlCell>
  <singleXmlCell id="860" xr6:uid="{40D71639-6641-4AA0-AE31-2910F633F3F1}" r="H25" connectionId="0">
    <xmlCellPr id="1" xr6:uid="{634EC06D-D068-4406-B63C-9CE282F429DD}" uniqueName="Overlap50">
      <xmlPr mapId="7" xpath="/MAKE/SA/SA_AEB_Car_to_Car/CCRs/AEB_Prediction/Speed_45/@Overlap50" xmlDataType="string"/>
    </xmlCellPr>
  </singleXmlCell>
  <singleXmlCell id="861" xr6:uid="{D80A41C4-98C9-4049-8C32-834EC2B94E52}" r="D26" connectionId="0">
    <xmlCellPr id="1" xr6:uid="{F00BC667-8934-4659-9738-E8579F6CFC7C}" uniqueName="Overlap-50">
      <xmlPr mapId="7" xpath="/MAKE/SA/SA_AEB_Car_to_Car/CCRs/AEB_Prediction/Speed_50/@Overlap-50" xmlDataType="string"/>
    </xmlCellPr>
  </singleXmlCell>
  <singleXmlCell id="862" xr6:uid="{90F9EBE0-EDB4-4789-8931-BC29DCDBF6BB}" r="E26" connectionId="0">
    <xmlCellPr id="1" xr6:uid="{3515BD3D-6577-4A48-96EC-C8F88F10D396}" uniqueName="Overlap-25">
      <xmlPr mapId="7" xpath="/MAKE/SA/SA_AEB_Car_to_Car/CCRs/AEB_Prediction/Speed_50/@Overlap-25" xmlDataType="string"/>
    </xmlCellPr>
  </singleXmlCell>
  <singleXmlCell id="863" xr6:uid="{CD604D0C-8525-4E38-85A1-84D7F5D64BC0}" r="F26" connectionId="0">
    <xmlCellPr id="1" xr6:uid="{1D3201E5-588D-4543-85BC-ABEDF736564C}" uniqueName="Overlap0">
      <xmlPr mapId="7" xpath="/MAKE/SA/SA_AEB_Car_to_Car/CCRs/AEB_Prediction/Speed_50/@Overlap0" xmlDataType="string"/>
    </xmlCellPr>
  </singleXmlCell>
  <singleXmlCell id="864" xr6:uid="{A5CE3692-F838-4A8B-A77A-AF5EAE4DB2D2}" r="G26" connectionId="0">
    <xmlCellPr id="1" xr6:uid="{28A01965-9009-4A5E-A89F-2EBAC5B88997}" uniqueName="Overlap25">
      <xmlPr mapId="7" xpath="/MAKE/SA/SA_AEB_Car_to_Car/CCRs/AEB_Prediction/Speed_50/@Overlap25" xmlDataType="string"/>
    </xmlCellPr>
  </singleXmlCell>
  <singleXmlCell id="865" xr6:uid="{33F280F4-5C03-4F1D-B4D4-3F9104196C81}" r="H26" connectionId="0">
    <xmlCellPr id="1" xr6:uid="{70EDB3FA-F45A-4438-A593-FB9818CA728A}" uniqueName="Overlap50">
      <xmlPr mapId="7" xpath="/MAKE/SA/SA_AEB_Car_to_Car/CCRs/AEB_Prediction/Speed_50/@Overlap50" xmlDataType="string"/>
    </xmlCellPr>
  </singleXmlCell>
  <singleXmlCell id="866" xr6:uid="{91F1C9DC-7493-4DBA-A1DD-61CDD7BC9586}" r="I33" connectionId="0">
    <xmlCellPr id="1" xr6:uid="{809C6F4D-8AE2-4A3E-AE87-74F2162BE030}" uniqueName="Predicted_Score">
      <xmlPr mapId="7" xpath="/MAKE/SA/SA_AEB_Car_to_Car/CCRs/FCW_Prediction/@Predicted_Score" xmlDataType="decimal"/>
    </xmlCellPr>
  </singleXmlCell>
  <singleXmlCell id="867" xr6:uid="{D82D3A4A-D7B5-4B7A-B808-9F344DF3CA81}" r="D33" connectionId="0">
    <xmlCellPr id="1" xr6:uid="{12A08341-9737-4389-8DEB-7237F60B7986}" uniqueName="Predicted_Score">
      <xmlPr mapId="7" xpath="/MAKE/SA/SA_AEB_Car_to_Car/CCRs/AEB_Prediction/@Predicted_Score" xmlDataType="decimal"/>
    </xmlCellPr>
  </singleXmlCell>
  <singleXmlCell id="868" xr6:uid="{D83779EF-36CB-4A0D-B943-2E25C3A8DE81}" r="I27" connectionId="0">
    <xmlCellPr id="1" xr6:uid="{82CBCD45-3074-4525-A295-7CBEB5ABA887}" uniqueName="Overlap-50">
      <xmlPr mapId="7" xpath="/MAKE/SA/SA_AEB_Car_to_Car/CCRs/FCW_Prediction/Speed_55/@Overlap-50" xmlDataType="string"/>
    </xmlCellPr>
  </singleXmlCell>
  <singleXmlCell id="869" xr6:uid="{2930D2AA-EFEF-49F1-AB00-089429FB90C2}" r="J27" connectionId="0">
    <xmlCellPr id="1" xr6:uid="{49974BDC-A740-4840-B94D-0BB6C4F0FB00}" uniqueName="Overlap-25">
      <xmlPr mapId="7" xpath="/MAKE/SA/SA_AEB_Car_to_Car/CCRs/FCW_Prediction/Speed_55/@Overlap-25" xmlDataType="string"/>
    </xmlCellPr>
  </singleXmlCell>
  <singleXmlCell id="870" xr6:uid="{6870BD45-4A20-4D0F-9B5C-D58EBD6A0BEF}" r="K27" connectionId="0">
    <xmlCellPr id="1" xr6:uid="{35A1AE27-E568-4A86-AD56-243A697AE18C}" uniqueName="Overlap0">
      <xmlPr mapId="7" xpath="/MAKE/SA/SA_AEB_Car_to_Car/CCRs/FCW_Prediction/Speed_55/@Overlap0" xmlDataType="string"/>
    </xmlCellPr>
  </singleXmlCell>
  <singleXmlCell id="871" xr6:uid="{F1388D7C-A398-4BB4-8EE5-A76A34666A0F}" r="L27" connectionId="0">
    <xmlCellPr id="1" xr6:uid="{3B93BBF6-426E-4545-86EB-84FF6DF438DD}" uniqueName="Overlap25">
      <xmlPr mapId="7" xpath="/MAKE/SA/SA_AEB_Car_to_Car/CCRs/FCW_Prediction/Speed_55/@Overlap25" xmlDataType="string"/>
    </xmlCellPr>
  </singleXmlCell>
  <singleXmlCell id="872" xr6:uid="{B9687FED-9FB5-46D6-95C4-66543AB9CEEF}" r="M27" connectionId="0">
    <xmlCellPr id="1" xr6:uid="{7B1F12E4-60A2-4E74-A575-A49441418803}" uniqueName="Overlap50">
      <xmlPr mapId="7" xpath="/MAKE/SA/SA_AEB_Car_to_Car/CCRs/FCW_Prediction/Speed_55/@Overlap50" xmlDataType="string"/>
    </xmlCellPr>
  </singleXmlCell>
  <singleXmlCell id="873" xr6:uid="{2A8672B2-B0C1-453C-9A60-7635A44F6E9C}" r="I28" connectionId="0">
    <xmlCellPr id="1" xr6:uid="{7249AC0C-8621-4D8F-A7FA-2B318D295639}" uniqueName="Overlap-50">
      <xmlPr mapId="7" xpath="/MAKE/SA/SA_AEB_Car_to_Car/CCRs/FCW_Prediction/Speed_60/@Overlap-50" xmlDataType="string"/>
    </xmlCellPr>
  </singleXmlCell>
  <singleXmlCell id="874" xr6:uid="{B27061CD-6199-4B49-97D0-12DB1FE038D3}" r="J28" connectionId="0">
    <xmlCellPr id="1" xr6:uid="{D230B2A8-8C14-49C5-8247-5D17EA11A1A7}" uniqueName="Overlap-25">
      <xmlPr mapId="7" xpath="/MAKE/SA/SA_AEB_Car_to_Car/CCRs/FCW_Prediction/Speed_60/@Overlap-25" xmlDataType="string"/>
    </xmlCellPr>
  </singleXmlCell>
  <singleXmlCell id="875" xr6:uid="{B129473D-5366-40A2-A50D-DC1FEFF5055C}" r="K28" connectionId="0">
    <xmlCellPr id="1" xr6:uid="{A76D801C-B6F9-4C0F-98D4-E77DEF419857}" uniqueName="Overlap0">
      <xmlPr mapId="7" xpath="/MAKE/SA/SA_AEB_Car_to_Car/CCRs/FCW_Prediction/Speed_60/@Overlap0" xmlDataType="string"/>
    </xmlCellPr>
  </singleXmlCell>
  <singleXmlCell id="876" xr6:uid="{87305948-42E3-42B4-BB93-066846C902B3}" r="L28" connectionId="0">
    <xmlCellPr id="1" xr6:uid="{6AE3AF9C-285C-4991-8F4D-CC06C386B327}" uniqueName="Overlap25">
      <xmlPr mapId="7" xpath="/MAKE/SA/SA_AEB_Car_to_Car/CCRs/FCW_Prediction/Speed_60/@Overlap25" xmlDataType="string"/>
    </xmlCellPr>
  </singleXmlCell>
  <singleXmlCell id="877" xr6:uid="{FCC80CF5-E617-41F8-AC1B-14198C3C2BC9}" r="M28" connectionId="0">
    <xmlCellPr id="1" xr6:uid="{62CB3AF9-3D15-4F31-8A2E-9E1ECC87B125}" uniqueName="Overlap50">
      <xmlPr mapId="7" xpath="/MAKE/SA/SA_AEB_Car_to_Car/CCRs/FCW_Prediction/Speed_60/@Overlap50" xmlDataType="string"/>
    </xmlCellPr>
  </singleXmlCell>
  <singleXmlCell id="878" xr6:uid="{669569A9-FE3C-464A-8137-94630BCA318A}" r="I29" connectionId="0">
    <xmlCellPr id="1" xr6:uid="{0E003F76-E904-4499-9942-4E77608AA16C}" uniqueName="Overlap-50">
      <xmlPr mapId="7" xpath="/MAKE/SA/SA_AEB_Car_to_Car/CCRs/FCW_Prediction/Speed_65/@Overlap-50" xmlDataType="string"/>
    </xmlCellPr>
  </singleXmlCell>
  <singleXmlCell id="879" xr6:uid="{8039BBA4-54E8-4FED-ABE2-F131D9D2D895}" r="J29" connectionId="0">
    <xmlCellPr id="1" xr6:uid="{66DD20DD-31C0-432A-90F4-6FBAD5D319D7}" uniqueName="Overlap-25">
      <xmlPr mapId="7" xpath="/MAKE/SA/SA_AEB_Car_to_Car/CCRs/FCW_Prediction/Speed_65/@Overlap-25" xmlDataType="string"/>
    </xmlCellPr>
  </singleXmlCell>
  <singleXmlCell id="880" xr6:uid="{B39C383D-8128-4049-9607-44724F6F68DC}" r="K29" connectionId="0">
    <xmlCellPr id="1" xr6:uid="{47641B57-82E0-4D1F-BF99-B661D778648E}" uniqueName="Overlap0">
      <xmlPr mapId="7" xpath="/MAKE/SA/SA_AEB_Car_to_Car/CCRs/FCW_Prediction/Speed_65/@Overlap0" xmlDataType="string"/>
    </xmlCellPr>
  </singleXmlCell>
  <singleXmlCell id="881" xr6:uid="{B70AE8C7-5455-4A52-8F58-5CD0E091E857}" r="L29" connectionId="0">
    <xmlCellPr id="1" xr6:uid="{F229BE53-2EE2-4906-8AB1-7F8E00A00F16}" uniqueName="Overlap25">
      <xmlPr mapId="7" xpath="/MAKE/SA/SA_AEB_Car_to_Car/CCRs/FCW_Prediction/Speed_65/@Overlap25" xmlDataType="string"/>
    </xmlCellPr>
  </singleXmlCell>
  <singleXmlCell id="882" xr6:uid="{EBC33FFB-4BA0-45C3-BA18-3A13515E8738}" r="M29" connectionId="0">
    <xmlCellPr id="1" xr6:uid="{B5B552B0-2BE1-43BF-9831-E4B88752E543}" uniqueName="Overlap50">
      <xmlPr mapId="7" xpath="/MAKE/SA/SA_AEB_Car_to_Car/CCRs/FCW_Prediction/Speed_65/@Overlap50" xmlDataType="string"/>
    </xmlCellPr>
  </singleXmlCell>
  <singleXmlCell id="883" xr6:uid="{59A0714C-FA91-43EE-B578-2B2EC3F48FF1}" r="I30" connectionId="0">
    <xmlCellPr id="1" xr6:uid="{ECD24F97-D54B-4B4A-A383-B893C9B5EAF9}" uniqueName="Overlap-50">
      <xmlPr mapId="7" xpath="/MAKE/SA/SA_AEB_Car_to_Car/CCRs/FCW_Prediction/Speed_70/@Overlap-50" xmlDataType="string"/>
    </xmlCellPr>
  </singleXmlCell>
  <singleXmlCell id="884" xr6:uid="{F189A811-99EE-4033-9079-E81DE043088B}" r="J30" connectionId="0">
    <xmlCellPr id="1" xr6:uid="{B77AE25A-F780-4493-A865-AC002A14E615}" uniqueName="Overlap-25">
      <xmlPr mapId="7" xpath="/MAKE/SA/SA_AEB_Car_to_Car/CCRs/FCW_Prediction/Speed_70/@Overlap-25" xmlDataType="string"/>
    </xmlCellPr>
  </singleXmlCell>
  <singleXmlCell id="885" xr6:uid="{7732F150-AE24-43CF-B808-C788F2A8C537}" r="K30" connectionId="0">
    <xmlCellPr id="1" xr6:uid="{EB8529F7-A56C-4507-8D43-86D64A2FD501}" uniqueName="Overlap0">
      <xmlPr mapId="7" xpath="/MAKE/SA/SA_AEB_Car_to_Car/CCRs/FCW_Prediction/Speed_70/@Overlap0" xmlDataType="string"/>
    </xmlCellPr>
  </singleXmlCell>
  <singleXmlCell id="886" xr6:uid="{68DFB64C-5FBF-4763-98AC-2E78D95626E6}" r="L30" connectionId="0">
    <xmlCellPr id="1" xr6:uid="{DBD0F754-F148-4EBE-A843-CDAE5783FB4A}" uniqueName="Overlap25">
      <xmlPr mapId="7" xpath="/MAKE/SA/SA_AEB_Car_to_Car/CCRs/FCW_Prediction/Speed_70/@Overlap25" xmlDataType="string"/>
    </xmlCellPr>
  </singleXmlCell>
  <singleXmlCell id="887" xr6:uid="{CC721EB3-5861-49C2-8CDF-3D1C66ABA025}" r="M30" connectionId="0">
    <xmlCellPr id="1" xr6:uid="{8F7D63C4-5278-4D34-8570-40681B3C7239}" uniqueName="Overlap50">
      <xmlPr mapId="7" xpath="/MAKE/SA/SA_AEB_Car_to_Car/CCRs/FCW_Prediction/Speed_70/@Overlap50" xmlDataType="string"/>
    </xmlCellPr>
  </singleXmlCell>
  <singleXmlCell id="888" xr6:uid="{1921DAAE-4B13-4C62-8628-3536DFD5C67D}" r="I31" connectionId="0">
    <xmlCellPr id="1" xr6:uid="{357CB774-68BC-4DBC-A15D-D2AECE87898C}" uniqueName="Overlap-50">
      <xmlPr mapId="7" xpath="/MAKE/SA/SA_AEB_Car_to_Car/CCRs/FCW_Prediction/Speed_75/@Overlap-50" xmlDataType="string"/>
    </xmlCellPr>
  </singleXmlCell>
  <singleXmlCell id="889" xr6:uid="{08CF91C9-392A-4998-87F2-A425605FAC9D}" r="J31" connectionId="0">
    <xmlCellPr id="1" xr6:uid="{17DA7E7F-3EDC-4E1A-AF48-AAE6FD0108E7}" uniqueName="Overlap-25">
      <xmlPr mapId="7" xpath="/MAKE/SA/SA_AEB_Car_to_Car/CCRs/FCW_Prediction/Speed_75/@Overlap-25" xmlDataType="string"/>
    </xmlCellPr>
  </singleXmlCell>
  <singleXmlCell id="890" xr6:uid="{638A1237-A3B4-47D6-B682-AEF604A9ACD0}" r="K31" connectionId="0">
    <xmlCellPr id="1" xr6:uid="{420E525A-13F4-468C-947E-8BB524835138}" uniqueName="Overlap0">
      <xmlPr mapId="7" xpath="/MAKE/SA/SA_AEB_Car_to_Car/CCRs/FCW_Prediction/Speed_75/@Overlap0" xmlDataType="string"/>
    </xmlCellPr>
  </singleXmlCell>
  <singleXmlCell id="891" xr6:uid="{605F395B-70EE-4504-9C44-A704EF773252}" r="L31" connectionId="0">
    <xmlCellPr id="1" xr6:uid="{1617A1F8-7455-4F09-BF2E-3DEDA4A08F29}" uniqueName="Overlap25">
      <xmlPr mapId="7" xpath="/MAKE/SA/SA_AEB_Car_to_Car/CCRs/FCW_Prediction/Speed_75/@Overlap25" xmlDataType="string"/>
    </xmlCellPr>
  </singleXmlCell>
  <singleXmlCell id="892" xr6:uid="{E92A8547-DA08-487B-8F91-0E918F2C9CDE}" r="M31" connectionId="0">
    <xmlCellPr id="1" xr6:uid="{476E11E9-4837-44C2-8AB2-4885AF6DD479}" uniqueName="Overlap50">
      <xmlPr mapId="7" xpath="/MAKE/SA/SA_AEB_Car_to_Car/CCRs/FCW_Prediction/Speed_75/@Overlap50" xmlDataType="string"/>
    </xmlCellPr>
  </singleXmlCell>
  <singleXmlCell id="893" xr6:uid="{F87920D6-686C-414F-B16B-9DF7EBA283F5}" r="I32" connectionId="0">
    <xmlCellPr id="1" xr6:uid="{15E0B7E4-AFE7-4F20-A669-320ADBE51271}" uniqueName="Overlap-50">
      <xmlPr mapId="7" xpath="/MAKE/SA/SA_AEB_Car_to_Car/CCRs/FCW_Prediction/Speed_80/@Overlap-50" xmlDataType="string"/>
    </xmlCellPr>
  </singleXmlCell>
  <singleXmlCell id="894" xr6:uid="{F4E29038-6249-4E90-9968-0B1985268E78}" r="J32" connectionId="0">
    <xmlCellPr id="1" xr6:uid="{592E58E0-3D0D-4F72-8241-8BA916A3E139}" uniqueName="Overlap-25">
      <xmlPr mapId="7" xpath="/MAKE/SA/SA_AEB_Car_to_Car/CCRs/FCW_Prediction/Speed_80/@Overlap-25" xmlDataType="string"/>
    </xmlCellPr>
  </singleXmlCell>
  <singleXmlCell id="895" xr6:uid="{6B75E719-17AC-49E4-84D3-4E873D2C35ED}" r="K32" connectionId="0">
    <xmlCellPr id="1" xr6:uid="{FA2D03D6-C5EF-446A-83F2-B98D654B66FD}" uniqueName="Overlap0">
      <xmlPr mapId="7" xpath="/MAKE/SA/SA_AEB_Car_to_Car/CCRs/FCW_Prediction/Speed_80/@Overlap0" xmlDataType="string"/>
    </xmlCellPr>
  </singleXmlCell>
  <singleXmlCell id="896" xr6:uid="{8AE8F711-59BD-4F5C-A391-D90A403E43C3}" r="L32" connectionId="0">
    <xmlCellPr id="1" xr6:uid="{5CD83E4B-EE76-4A2F-95A4-4BB77ED50344}" uniqueName="Overlap25">
      <xmlPr mapId="7" xpath="/MAKE/SA/SA_AEB_Car_to_Car/CCRs/FCW_Prediction/Speed_80/@Overlap25" xmlDataType="string"/>
    </xmlCellPr>
  </singleXmlCell>
  <singleXmlCell id="897" xr6:uid="{5D2932A8-D480-4150-A7F8-F198347FF991}" r="M32" connectionId="0">
    <xmlCellPr id="1" xr6:uid="{AD3F82EF-97AC-42A7-AC58-D806D51F5C46}" uniqueName="Overlap50">
      <xmlPr mapId="7" xpath="/MAKE/SA/SA_AEB_Car_to_Car/CCRs/FCW_Prediction/Speed_80/@Overlap50" xmlDataType="string"/>
    </xmlCellPr>
  </singleXmlCell>
  <singleXmlCell id="899" xr6:uid="{0A0372C8-696C-4039-A1FC-50DEA7A202F3}" r="D48" connectionId="0">
    <xmlCellPr id="1" xr6:uid="{5ABEF08F-50E1-4298-AA3C-39E38BBE51B7}" uniqueName="Predicted_Score">
      <xmlPr mapId="7" xpath="/MAKE/SA/SA_AEB_Car_to_Car/CCRm/AEB_Prediction/@Predicted_Score" xmlDataType="decimal"/>
    </xmlCellPr>
  </singleXmlCell>
  <singleXmlCell id="900" xr6:uid="{8BA9C419-A688-4BD5-9D5B-2D7DDD6F2C29}" r="D36" connectionId="0">
    <xmlCellPr id="1" xr6:uid="{2C230173-F265-4809-8FD2-9EC171E86A85}" uniqueName="Overlap-50">
      <xmlPr mapId="7" xpath="/MAKE/SA/SA_AEB_Car_to_Car/CCRm/AEB_Prediction/Speed_30/@Overlap-50" xmlDataType="string"/>
    </xmlCellPr>
  </singleXmlCell>
  <singleXmlCell id="901" xr6:uid="{76E0C9F3-D077-4EC9-B0F1-C6EC50645473}" r="E36" connectionId="0">
    <xmlCellPr id="1" xr6:uid="{D408EA30-4655-4AB0-8B1D-DA36BDE788B1}" uniqueName="Overlap-25">
      <xmlPr mapId="7" xpath="/MAKE/SA/SA_AEB_Car_to_Car/CCRm/AEB_Prediction/Speed_30/@Overlap-25" xmlDataType="string"/>
    </xmlCellPr>
  </singleXmlCell>
  <singleXmlCell id="902" xr6:uid="{BB064B32-530E-47D3-94AF-7D77C3AE6F46}" r="F36" connectionId="0">
    <xmlCellPr id="1" xr6:uid="{FAADAB6B-99CE-4BF7-964A-7BE2AEB690A1}" uniqueName="Overlap0">
      <xmlPr mapId="7" xpath="/MAKE/SA/SA_AEB_Car_to_Car/CCRm/AEB_Prediction/Speed_30/@Overlap0" xmlDataType="string"/>
    </xmlCellPr>
  </singleXmlCell>
  <singleXmlCell id="903" xr6:uid="{1B378F7F-F7ED-459F-9CF7-5D3929BE026F}" r="G36" connectionId="0">
    <xmlCellPr id="1" xr6:uid="{B64E41A4-7AB6-44AA-A78C-52C59696F8C5}" uniqueName="Overlap25">
      <xmlPr mapId="7" xpath="/MAKE/SA/SA_AEB_Car_to_Car/CCRm/AEB_Prediction/Speed_30/@Overlap25" xmlDataType="string"/>
    </xmlCellPr>
  </singleXmlCell>
  <singleXmlCell id="904" xr6:uid="{A2160309-F2F1-4ECD-8D4C-79A0730D3C9C}" r="H36" connectionId="0">
    <xmlCellPr id="1" xr6:uid="{DC5A3FD0-A7F6-4919-8B31-4D6C489BD65E}" uniqueName="Overlap50">
      <xmlPr mapId="7" xpath="/MAKE/SA/SA_AEB_Car_to_Car/CCRm/AEB_Prediction/Speed_30/@Overlap50" xmlDataType="string"/>
    </xmlCellPr>
  </singleXmlCell>
  <singleXmlCell id="905" xr6:uid="{E0090C63-B816-4415-8FF8-859F7AED9667}" r="D37" connectionId="0">
    <xmlCellPr id="1" xr6:uid="{C1CBE45C-9067-43EE-BCED-860AA9A15DD3}" uniqueName="Overlap-50">
      <xmlPr mapId="7" xpath="/MAKE/SA/SA_AEB_Car_to_Car/CCRm/AEB_Prediction/Speed_35/@Overlap-50" xmlDataType="string"/>
    </xmlCellPr>
  </singleXmlCell>
  <singleXmlCell id="906" xr6:uid="{3E8AE71A-3B4D-46AD-9EB5-9EAB2DE3C1A6}" r="E37" connectionId="0">
    <xmlCellPr id="1" xr6:uid="{DDA71912-CD8E-4DA8-B0DB-E596EDA224F7}" uniqueName="Overlap-25">
      <xmlPr mapId="7" xpath="/MAKE/SA/SA_AEB_Car_to_Car/CCRm/AEB_Prediction/Speed_35/@Overlap-25" xmlDataType="string"/>
    </xmlCellPr>
  </singleXmlCell>
  <singleXmlCell id="907" xr6:uid="{F5882890-E2E1-4FF8-B6A2-7EF6A17A7E55}" r="F37" connectionId="0">
    <xmlCellPr id="1" xr6:uid="{59735DB2-927D-4689-BB59-F127416F6639}" uniqueName="Overlap0">
      <xmlPr mapId="7" xpath="/MAKE/SA/SA_AEB_Car_to_Car/CCRm/AEB_Prediction/Speed_35/@Overlap0" xmlDataType="string"/>
    </xmlCellPr>
  </singleXmlCell>
  <singleXmlCell id="908" xr6:uid="{92A4D43F-52D3-45A6-8989-CE7D31AF54B8}" r="G37" connectionId="0">
    <xmlCellPr id="1" xr6:uid="{6C9EE98A-C816-4FB2-B3A7-1232FBAC4C78}" uniqueName="Overlap25">
      <xmlPr mapId="7" xpath="/MAKE/SA/SA_AEB_Car_to_Car/CCRm/AEB_Prediction/Speed_35/@Overlap25" xmlDataType="string"/>
    </xmlCellPr>
  </singleXmlCell>
  <singleXmlCell id="909" xr6:uid="{166AB9EF-47B3-42D6-A0C3-54D6249D2070}" r="H37" connectionId="0">
    <xmlCellPr id="1" xr6:uid="{3F43B6E9-53E9-4121-944D-01189D087F8A}" uniqueName="Overlap50">
      <xmlPr mapId="7" xpath="/MAKE/SA/SA_AEB_Car_to_Car/CCRm/AEB_Prediction/Speed_35/@Overlap50" xmlDataType="string"/>
    </xmlCellPr>
  </singleXmlCell>
  <singleXmlCell id="910" xr6:uid="{35DD2F43-C763-4F0C-942B-F8B4F24CC13D}" r="D38" connectionId="0">
    <xmlCellPr id="1" xr6:uid="{A379CC49-0AD6-463D-ACAE-F8A9AE09DA31}" uniqueName="Overlap-50">
      <xmlPr mapId="7" xpath="/MAKE/SA/SA_AEB_Car_to_Car/CCRm/AEB_Prediction/Speed_40/@Overlap-50" xmlDataType="string"/>
    </xmlCellPr>
  </singleXmlCell>
  <singleXmlCell id="911" xr6:uid="{ECF38C00-67E8-4834-BBAA-005DD5F5741A}" r="E38" connectionId="0">
    <xmlCellPr id="1" xr6:uid="{C077E9D8-2FF0-46F8-BF1B-D628D0328DC4}" uniqueName="Overlap-25">
      <xmlPr mapId="7" xpath="/MAKE/SA/SA_AEB_Car_to_Car/CCRm/AEB_Prediction/Speed_40/@Overlap-25" xmlDataType="string"/>
    </xmlCellPr>
  </singleXmlCell>
  <singleXmlCell id="912" xr6:uid="{98250ACA-F18E-41F8-95F6-6DFA9EA983A9}" r="F38" connectionId="0">
    <xmlCellPr id="1" xr6:uid="{B4EEFC89-AA51-488D-980A-7DC0DDDA074F}" uniqueName="Overlap0">
      <xmlPr mapId="7" xpath="/MAKE/SA/SA_AEB_Car_to_Car/CCRm/AEB_Prediction/Speed_40/@Overlap0" xmlDataType="string"/>
    </xmlCellPr>
  </singleXmlCell>
  <singleXmlCell id="913" xr6:uid="{1AF302F1-C620-423D-96D2-B14DC2BB5358}" r="G38" connectionId="0">
    <xmlCellPr id="1" xr6:uid="{D00F6518-8FF0-4A62-B4DE-3C95DB79EC2D}" uniqueName="Overlap25">
      <xmlPr mapId="7" xpath="/MAKE/SA/SA_AEB_Car_to_Car/CCRm/AEB_Prediction/Speed_40/@Overlap25" xmlDataType="string"/>
    </xmlCellPr>
  </singleXmlCell>
  <singleXmlCell id="914" xr6:uid="{89B0321B-1E87-4038-A201-ADA66B8035D1}" r="H38" connectionId="0">
    <xmlCellPr id="1" xr6:uid="{C7377652-7EDF-4A2A-A4C1-3B5AE7C461EB}" uniqueName="Overlap50">
      <xmlPr mapId="7" xpath="/MAKE/SA/SA_AEB_Car_to_Car/CCRm/AEB_Prediction/Speed_40/@Overlap50" xmlDataType="string"/>
    </xmlCellPr>
  </singleXmlCell>
  <singleXmlCell id="915" xr6:uid="{65EDEE41-9C94-4BB3-BB51-3797C4529196}" r="D39" connectionId="0">
    <xmlCellPr id="1" xr6:uid="{17365DD6-222F-460A-8376-D9F9BEB995FE}" uniqueName="Overlap-50">
      <xmlPr mapId="7" xpath="/MAKE/SA/SA_AEB_Car_to_Car/CCRm/AEB_Prediction/Speed_45/@Overlap-50" xmlDataType="string"/>
    </xmlCellPr>
  </singleXmlCell>
  <singleXmlCell id="916" xr6:uid="{C2334F28-5247-4812-B780-523B8923143B}" r="E39" connectionId="0">
    <xmlCellPr id="1" xr6:uid="{2B1C8CB7-942B-4139-B2BF-D0CF2345933F}" uniqueName="Overlap-25">
      <xmlPr mapId="7" xpath="/MAKE/SA/SA_AEB_Car_to_Car/CCRm/AEB_Prediction/Speed_45/@Overlap-25" xmlDataType="string"/>
    </xmlCellPr>
  </singleXmlCell>
  <singleXmlCell id="917" xr6:uid="{60229BEC-1C54-4D34-A76B-82AE31A7A47F}" r="F39" connectionId="0">
    <xmlCellPr id="1" xr6:uid="{4D92798A-7CB2-44BD-B30F-9838E950F8B9}" uniqueName="Overlap0">
      <xmlPr mapId="7" xpath="/MAKE/SA/SA_AEB_Car_to_Car/CCRm/AEB_Prediction/Speed_45/@Overlap0" xmlDataType="string"/>
    </xmlCellPr>
  </singleXmlCell>
  <singleXmlCell id="918" xr6:uid="{5FCA453D-2CAF-44A4-93BA-EF7A68CF22AD}" r="G39" connectionId="0">
    <xmlCellPr id="1" xr6:uid="{06CA34D9-C694-42DB-BEAB-F06062945980}" uniqueName="Overlap25">
      <xmlPr mapId="7" xpath="/MAKE/SA/SA_AEB_Car_to_Car/CCRm/AEB_Prediction/Speed_45/@Overlap25" xmlDataType="string"/>
    </xmlCellPr>
  </singleXmlCell>
  <singleXmlCell id="919" xr6:uid="{EA56E55D-8D04-492D-A392-EBB9B0412C4E}" r="H39" connectionId="0">
    <xmlCellPr id="1" xr6:uid="{1F1342B6-1BBB-47FB-B4D8-C4DB02905B31}" uniqueName="Overlap50">
      <xmlPr mapId="7" xpath="/MAKE/SA/SA_AEB_Car_to_Car/CCRm/AEB_Prediction/Speed_45/@Overlap50" xmlDataType="string"/>
    </xmlCellPr>
  </singleXmlCell>
  <singleXmlCell id="920" xr6:uid="{188B3EA0-F936-41B4-87BA-86C987538FCB}" r="D40" connectionId="0">
    <xmlCellPr id="1" xr6:uid="{9F06CFB5-49DF-4470-9809-33D8CC3AF095}" uniqueName="Overlap-50">
      <xmlPr mapId="7" xpath="/MAKE/SA/SA_AEB_Car_to_Car/CCRm/AEB_Prediction/Speed_50/@Overlap-50" xmlDataType="string"/>
    </xmlCellPr>
  </singleXmlCell>
  <singleXmlCell id="921" xr6:uid="{B0F49421-E6F3-4755-B15A-F3E0D7BF9421}" r="E40" connectionId="0">
    <xmlCellPr id="1" xr6:uid="{064A3165-C031-4301-88F9-871FD92D61F6}" uniqueName="Overlap-25">
      <xmlPr mapId="7" xpath="/MAKE/SA/SA_AEB_Car_to_Car/CCRm/AEB_Prediction/Speed_50/@Overlap-25" xmlDataType="string"/>
    </xmlCellPr>
  </singleXmlCell>
  <singleXmlCell id="922" xr6:uid="{5B959F91-6DDC-477F-A917-D4359E7D9414}" r="F40" connectionId="0">
    <xmlCellPr id="1" xr6:uid="{230DE412-3585-41EE-AF97-E4831268D03E}" uniqueName="Overlap0">
      <xmlPr mapId="7" xpath="/MAKE/SA/SA_AEB_Car_to_Car/CCRm/AEB_Prediction/Speed_50/@Overlap0" xmlDataType="string"/>
    </xmlCellPr>
  </singleXmlCell>
  <singleXmlCell id="923" xr6:uid="{3AAA7A97-EB8F-47BE-AC60-589597729EF4}" r="G40" connectionId="0">
    <xmlCellPr id="1" xr6:uid="{E7EF39D2-BBF3-4020-B42C-91E80551D1F0}" uniqueName="Overlap25">
      <xmlPr mapId="7" xpath="/MAKE/SA/SA_AEB_Car_to_Car/CCRm/AEB_Prediction/Speed_50/@Overlap25" xmlDataType="string"/>
    </xmlCellPr>
  </singleXmlCell>
  <singleXmlCell id="924" xr6:uid="{1BEE3EBB-F043-4D96-9ECD-7C1F12EE9769}" r="H40" connectionId="0">
    <xmlCellPr id="1" xr6:uid="{465B2BE6-8F54-4699-B08F-3C5A48D6A667}" uniqueName="Overlap50">
      <xmlPr mapId="7" xpath="/MAKE/SA/SA_AEB_Car_to_Car/CCRm/AEB_Prediction/Speed_50/@Overlap50" xmlDataType="string"/>
    </xmlCellPr>
  </singleXmlCell>
  <singleXmlCell id="925" xr6:uid="{F3B8855E-CF61-4D5D-884C-DBC516E6E6CA}" r="D41" connectionId="0">
    <xmlCellPr id="1" xr6:uid="{D9AF90B8-6D3A-43EF-9BE1-8FE3EC816CB0}" uniqueName="Overlap-50">
      <xmlPr mapId="7" xpath="/MAKE/SA/SA_AEB_Car_to_Car/CCRm/AEB_Prediction/Speed_55/@Overlap-50" xmlDataType="string"/>
    </xmlCellPr>
  </singleXmlCell>
  <singleXmlCell id="926" xr6:uid="{98BC21F8-B400-43E2-9EC8-9608FFAC1F4E}" r="E41" connectionId="0">
    <xmlCellPr id="1" xr6:uid="{52FE9E2E-9F0E-4AC8-A902-CFC17EC61879}" uniqueName="Overlap-25">
      <xmlPr mapId="7" xpath="/MAKE/SA/SA_AEB_Car_to_Car/CCRm/AEB_Prediction/Speed_55/@Overlap-25" xmlDataType="string"/>
    </xmlCellPr>
  </singleXmlCell>
  <singleXmlCell id="927" xr6:uid="{DEA039BF-D5FC-45B9-AC31-1E0A844839A7}" r="F41" connectionId="0">
    <xmlCellPr id="1" xr6:uid="{9F47336D-36B2-423B-80C1-24628AE2D52B}" uniqueName="Overlap0">
      <xmlPr mapId="7" xpath="/MAKE/SA/SA_AEB_Car_to_Car/CCRm/AEB_Prediction/Speed_55/@Overlap0" xmlDataType="string"/>
    </xmlCellPr>
  </singleXmlCell>
  <singleXmlCell id="928" xr6:uid="{8658C06D-AA42-41B8-B787-BEEDDBF881C0}" r="G41" connectionId="0">
    <xmlCellPr id="1" xr6:uid="{0B397E65-8065-46FC-BEFA-E0F45596DF1D}" uniqueName="Overlap25">
      <xmlPr mapId="7" xpath="/MAKE/SA/SA_AEB_Car_to_Car/CCRm/AEB_Prediction/Speed_55/@Overlap25" xmlDataType="string"/>
    </xmlCellPr>
  </singleXmlCell>
  <singleXmlCell id="929" xr6:uid="{BBA6EB10-F514-43E3-B161-8CD14FFBCBE8}" r="H41" connectionId="0">
    <xmlCellPr id="1" xr6:uid="{66DEB4F2-AA63-49D8-A71A-171ECF0901B8}" uniqueName="Overlap50">
      <xmlPr mapId="7" xpath="/MAKE/SA/SA_AEB_Car_to_Car/CCRm/AEB_Prediction/Speed_55/@Overlap50" xmlDataType="string"/>
    </xmlCellPr>
  </singleXmlCell>
  <singleXmlCell id="930" xr6:uid="{82FEDBD0-80A1-445F-8E2A-30F4A566A3BE}" r="D42" connectionId="0">
    <xmlCellPr id="1" xr6:uid="{82F3E859-6147-4EAA-AC47-D395884E0588}" uniqueName="Overlap-50">
      <xmlPr mapId="7" xpath="/MAKE/SA/SA_AEB_Car_to_Car/CCRm/AEB_Prediction/Speed_60/@Overlap-50" xmlDataType="string"/>
    </xmlCellPr>
  </singleXmlCell>
  <singleXmlCell id="931" xr6:uid="{CFC9415F-D0F2-4198-8A48-08305413E8E7}" r="E42" connectionId="0">
    <xmlCellPr id="1" xr6:uid="{3701A7CC-81CA-489B-8909-8792C300C783}" uniqueName="Overlap-25">
      <xmlPr mapId="7" xpath="/MAKE/SA/SA_AEB_Car_to_Car/CCRm/AEB_Prediction/Speed_60/@Overlap-25" xmlDataType="string"/>
    </xmlCellPr>
  </singleXmlCell>
  <singleXmlCell id="932" xr6:uid="{E620D4A5-EFC7-4184-9097-5CA3DEABC302}" r="F42" connectionId="0">
    <xmlCellPr id="1" xr6:uid="{E91C8FC2-A25C-471A-9201-7F46219F0B9B}" uniqueName="Overlap0">
      <xmlPr mapId="7" xpath="/MAKE/SA/SA_AEB_Car_to_Car/CCRm/AEB_Prediction/Speed_60/@Overlap0" xmlDataType="string"/>
    </xmlCellPr>
  </singleXmlCell>
  <singleXmlCell id="933" xr6:uid="{13F92EC7-3030-4A05-A573-CC34D49BB221}" r="G42" connectionId="0">
    <xmlCellPr id="1" xr6:uid="{8159274E-89D2-4900-846B-41C3E6CB3842}" uniqueName="Overlap25">
      <xmlPr mapId="7" xpath="/MAKE/SA/SA_AEB_Car_to_Car/CCRm/AEB_Prediction/Speed_60/@Overlap25" xmlDataType="string"/>
    </xmlCellPr>
  </singleXmlCell>
  <singleXmlCell id="934" xr6:uid="{2ADC5F0B-8FAB-4C56-8E59-ECAE169622EB}" r="H42" connectionId="0">
    <xmlCellPr id="1" xr6:uid="{34628BF6-9161-49EA-89D9-AAE9894C1FFC}" uniqueName="Overlap50">
      <xmlPr mapId="7" xpath="/MAKE/SA/SA_AEB_Car_to_Car/CCRm/AEB_Prediction/Speed_60/@Overlap50" xmlDataType="string"/>
    </xmlCellPr>
  </singleXmlCell>
  <singleXmlCell id="935" xr6:uid="{A41E7116-9F89-4C3A-8710-7B7B9D114C3E}" r="D43" connectionId="0">
    <xmlCellPr id="1" xr6:uid="{149DE64B-E4BF-4617-8BDE-295292D7BF67}" uniqueName="Overlap-50">
      <xmlPr mapId="7" xpath="/MAKE/SA/SA_AEB_Car_to_Car/CCRm/AEB_Prediction/Speed_65/@Overlap-50" xmlDataType="string"/>
    </xmlCellPr>
  </singleXmlCell>
  <singleXmlCell id="936" xr6:uid="{9C3CDA8F-5B4F-47BE-A62B-0962489A2BB7}" r="E43" connectionId="0">
    <xmlCellPr id="1" xr6:uid="{E1622E7B-2E19-49EF-A95A-FBDC76E41140}" uniqueName="Overlap-25">
      <xmlPr mapId="7" xpath="/MAKE/SA/SA_AEB_Car_to_Car/CCRm/AEB_Prediction/Speed_65/@Overlap-25" xmlDataType="string"/>
    </xmlCellPr>
  </singleXmlCell>
  <singleXmlCell id="937" xr6:uid="{2E25B672-0202-41FA-A7A4-47AED2D881A4}" r="F43" connectionId="0">
    <xmlCellPr id="1" xr6:uid="{0E6A42F7-0764-4926-9CD7-2BEA0FFF2796}" uniqueName="Overlap0">
      <xmlPr mapId="7" xpath="/MAKE/SA/SA_AEB_Car_to_Car/CCRm/AEB_Prediction/Speed_65/@Overlap0" xmlDataType="string"/>
    </xmlCellPr>
  </singleXmlCell>
  <singleXmlCell id="938" xr6:uid="{2062FD65-BFDD-4865-847A-2590F7832257}" r="G43" connectionId="0">
    <xmlCellPr id="1" xr6:uid="{D6CEA212-EC98-4927-AC51-DA241F2C91E0}" uniqueName="Overlap25">
      <xmlPr mapId="7" xpath="/MAKE/SA/SA_AEB_Car_to_Car/CCRm/AEB_Prediction/Speed_65/@Overlap25" xmlDataType="string"/>
    </xmlCellPr>
  </singleXmlCell>
  <singleXmlCell id="939" xr6:uid="{6FFED4C7-20BA-4116-BD31-FBF59A6F4165}" r="H43" connectionId="0">
    <xmlCellPr id="1" xr6:uid="{3DB1F0E0-E6A4-4B93-9197-C5DFE4B595B4}" uniqueName="Overlap50">
      <xmlPr mapId="7" xpath="/MAKE/SA/SA_AEB_Car_to_Car/CCRm/AEB_Prediction/Speed_65/@Overlap50" xmlDataType="string"/>
    </xmlCellPr>
  </singleXmlCell>
  <singleXmlCell id="940" xr6:uid="{CBA3B25C-8D76-4CE6-B11B-1F2306888B80}" r="D44" connectionId="0">
    <xmlCellPr id="1" xr6:uid="{35220527-A2D5-47CB-8A76-467F223100A9}" uniqueName="Overlap-50">
      <xmlPr mapId="7" xpath="/MAKE/SA/SA_AEB_Car_to_Car/CCRm/AEB_Prediction/Speed_70/@Overlap-50" xmlDataType="string"/>
    </xmlCellPr>
  </singleXmlCell>
  <singleXmlCell id="941" xr6:uid="{4DE7E911-B7F7-4E17-B278-048203E65FB4}" r="E44" connectionId="0">
    <xmlCellPr id="1" xr6:uid="{24049DE1-0B55-461C-8C25-186E87D907B7}" uniqueName="Overlap-25">
      <xmlPr mapId="7" xpath="/MAKE/SA/SA_AEB_Car_to_Car/CCRm/AEB_Prediction/Speed_70/@Overlap-25" xmlDataType="string"/>
    </xmlCellPr>
  </singleXmlCell>
  <singleXmlCell id="942" xr6:uid="{D82240B7-BB9A-40F2-8C77-71843C0DE733}" r="F44" connectionId="0">
    <xmlCellPr id="1" xr6:uid="{087F57A9-7668-46E8-A309-515E759D0B04}" uniqueName="Overlap0">
      <xmlPr mapId="7" xpath="/MAKE/SA/SA_AEB_Car_to_Car/CCRm/AEB_Prediction/Speed_70/@Overlap0" xmlDataType="string"/>
    </xmlCellPr>
  </singleXmlCell>
  <singleXmlCell id="943" xr6:uid="{BC2840D0-75B9-463E-BF0C-B5FD7141825F}" r="G44" connectionId="0">
    <xmlCellPr id="1" xr6:uid="{DF075EC2-007D-4078-97E2-2B925728CFEC}" uniqueName="Overlap25">
      <xmlPr mapId="7" xpath="/MAKE/SA/SA_AEB_Car_to_Car/CCRm/AEB_Prediction/Speed_70/@Overlap25" xmlDataType="string"/>
    </xmlCellPr>
  </singleXmlCell>
  <singleXmlCell id="944" xr6:uid="{40817554-8939-431F-8C7D-C4494CF3F666}" r="H44" connectionId="0">
    <xmlCellPr id="1" xr6:uid="{5ADACF1B-BE07-4D06-AB36-A62476E34CC5}" uniqueName="Overlap50">
      <xmlPr mapId="7" xpath="/MAKE/SA/SA_AEB_Car_to_Car/CCRm/AEB_Prediction/Speed_70/@Overlap50" xmlDataType="string"/>
    </xmlCellPr>
  </singleXmlCell>
  <singleXmlCell id="945" xr6:uid="{3F416C7D-6A68-48B7-B301-D5F096636B30}" r="D45" connectionId="0">
    <xmlCellPr id="1" xr6:uid="{84D1B010-0DBB-47D4-9359-5CA26D0C9D7A}" uniqueName="Overlap-50">
      <xmlPr mapId="7" xpath="/MAKE/SA/SA_AEB_Car_to_Car/CCRm/AEB_Prediction/Speed_75/@Overlap-50" xmlDataType="string"/>
    </xmlCellPr>
  </singleXmlCell>
  <singleXmlCell id="946" xr6:uid="{CF1AA5A9-BE50-437D-BE4E-0C18D84D4200}" r="E45" connectionId="0">
    <xmlCellPr id="1" xr6:uid="{55DE72CB-B526-41EF-80A8-DBDC737D112A}" uniqueName="Overlap-25">
      <xmlPr mapId="7" xpath="/MAKE/SA/SA_AEB_Car_to_Car/CCRm/AEB_Prediction/Speed_75/@Overlap-25" xmlDataType="string"/>
    </xmlCellPr>
  </singleXmlCell>
  <singleXmlCell id="947" xr6:uid="{039BE67E-8D11-4101-99DA-7D6500F9B886}" r="F45" connectionId="0">
    <xmlCellPr id="1" xr6:uid="{9C57BE1D-E5A0-4433-9A66-6485A44FC913}" uniqueName="Overlap0">
      <xmlPr mapId="7" xpath="/MAKE/SA/SA_AEB_Car_to_Car/CCRm/AEB_Prediction/Speed_75/@Overlap0" xmlDataType="string"/>
    </xmlCellPr>
  </singleXmlCell>
  <singleXmlCell id="948" xr6:uid="{40DAE028-2DD8-4685-9C2C-5760F7CD78E1}" r="G45" connectionId="0">
    <xmlCellPr id="1" xr6:uid="{1162F613-8087-46CF-B8B8-E704E701D485}" uniqueName="Overlap25">
      <xmlPr mapId="7" xpath="/MAKE/SA/SA_AEB_Car_to_Car/CCRm/AEB_Prediction/Speed_75/@Overlap25" xmlDataType="string"/>
    </xmlCellPr>
  </singleXmlCell>
  <singleXmlCell id="949" xr6:uid="{473C9E99-A6E6-4662-90C3-DB4DB626E317}" r="H45" connectionId="0">
    <xmlCellPr id="1" xr6:uid="{84295839-B8CD-4862-A36F-BC70190DE501}" uniqueName="Overlap50">
      <xmlPr mapId="7" xpath="/MAKE/SA/SA_AEB_Car_to_Car/CCRm/AEB_Prediction/Speed_75/@Overlap50" xmlDataType="string"/>
    </xmlCellPr>
  </singleXmlCell>
  <singleXmlCell id="950" xr6:uid="{09F94445-B167-4969-AB02-9725AB933F24}" r="D46" connectionId="0">
    <xmlCellPr id="1" xr6:uid="{02872DC9-6ED4-4F9C-97C1-2AA9305EE70D}" uniqueName="Overlap-50">
      <xmlPr mapId="7" xpath="/MAKE/SA/SA_AEB_Car_to_Car/CCRm/AEB_Prediction/Speed_80/@Overlap-50" xmlDataType="string"/>
    </xmlCellPr>
  </singleXmlCell>
  <singleXmlCell id="951" xr6:uid="{27EFB30F-910F-4CD0-9607-DD39F5974E08}" r="E46" connectionId="0">
    <xmlCellPr id="1" xr6:uid="{F19F3F67-9EC1-49CA-920C-5196842B77AA}" uniqueName="Overlap-25">
      <xmlPr mapId="7" xpath="/MAKE/SA/SA_AEB_Car_to_Car/CCRm/AEB_Prediction/Speed_80/@Overlap-25" xmlDataType="string"/>
    </xmlCellPr>
  </singleXmlCell>
  <singleXmlCell id="952" xr6:uid="{446E1354-F549-4C12-BA58-BAFF9C9EE898}" r="F46" connectionId="0">
    <xmlCellPr id="1" xr6:uid="{A63E8188-E3E1-4318-9E60-B2AC07FBE42C}" uniqueName="Overlap0">
      <xmlPr mapId="7" xpath="/MAKE/SA/SA_AEB_Car_to_Car/CCRm/AEB_Prediction/Speed_80/@Overlap0" xmlDataType="string"/>
    </xmlCellPr>
  </singleXmlCell>
  <singleXmlCell id="953" xr6:uid="{CE916C0A-8888-4A98-9BE0-DDB284AD6081}" r="G46" connectionId="0">
    <xmlCellPr id="1" xr6:uid="{E5D8A905-6427-4028-B592-27C1B1B13143}" uniqueName="Overlap25">
      <xmlPr mapId="7" xpath="/MAKE/SA/SA_AEB_Car_to_Car/CCRm/AEB_Prediction/Speed_80/@Overlap25" xmlDataType="string"/>
    </xmlCellPr>
  </singleXmlCell>
  <singleXmlCell id="954" xr6:uid="{B83D492D-CD1F-4F7A-8446-9CBB913268CE}" r="H46" connectionId="0">
    <xmlCellPr id="1" xr6:uid="{A26BF112-DAEB-42E2-BA79-638E7BA21F37}" uniqueName="Overlap50">
      <xmlPr mapId="7" xpath="/MAKE/SA/SA_AEB_Car_to_Car/CCRm/AEB_Prediction/Speed_80/@Overlap50" xmlDataType="string"/>
    </xmlCellPr>
  </singleXmlCell>
  <singleXmlCell id="955" xr6:uid="{AB7E4AE0-6AD8-4079-9176-0F5F201165AF}" r="D53" connectionId="0">
    <xmlCellPr id="1" xr6:uid="{B1CF40C2-1B87-4C73-A100-FF9FCFC9CD53}" uniqueName="Colour">
      <xmlPr mapId="7" xpath="/MAKE/SA/SA_AEB_Car_to_Car/CCRb/AEB/_12m_2ms-2/@Colour" xmlDataType="string"/>
    </xmlCellPr>
  </singleXmlCell>
  <singleXmlCell id="956" xr6:uid="{9A1622B6-9EAE-4315-B6E0-D508540DDD1B}" r="F53" connectionId="0">
    <xmlCellPr id="1" xr6:uid="{4F977A64-E61D-486C-93C2-4C1CEFF48C3F}" uniqueName="Points">
      <xmlPr mapId="7" xpath="/MAKE/SA/SA_AEB_Car_to_Car/CCRb/AEB/_12m_2ms-2/@Points" xmlDataType="decimal"/>
    </xmlCellPr>
  </singleXmlCell>
  <singleXmlCell id="957" xr6:uid="{4BCAC32F-DCA3-4ADC-A1C7-EC2AF4170AFB}" r="D54" connectionId="0">
    <xmlCellPr id="1" xr6:uid="{95148799-CD1F-4AD2-8D50-FFC7BADB2194}" uniqueName="Colour">
      <xmlPr mapId="7" xpath="/MAKE/SA/SA_AEB_Car_to_Car/CCRb/AEB/_12m_6ms-2/@Colour" xmlDataType="string"/>
    </xmlCellPr>
  </singleXmlCell>
  <singleXmlCell id="958" xr6:uid="{CF9A1948-8DF2-4EFF-A886-352ED1FD9E50}" r="F54" connectionId="0">
    <xmlCellPr id="1" xr6:uid="{6BCF3F29-395F-4EAA-BB8D-A924582E9233}" uniqueName="Points">
      <xmlPr mapId="7" xpath="/MAKE/SA/SA_AEB_Car_to_Car/CCRb/AEB/_12m_6ms-2/@Points" xmlDataType="decimal"/>
    </xmlCellPr>
  </singleXmlCell>
  <singleXmlCell id="959" xr6:uid="{F80A887D-A64B-4327-816D-75979517621F}" r="D56" connectionId="0">
    <xmlCellPr id="1" xr6:uid="{9A800DE4-DEFE-4399-A5A5-9748305C57D3}" uniqueName="Colour">
      <xmlPr mapId="7" xpath="/MAKE/SA/SA_AEB_Car_to_Car/CCRb/AEB/_40m_2ms-2/@Colour" xmlDataType="string"/>
    </xmlCellPr>
  </singleXmlCell>
  <singleXmlCell id="960" xr6:uid="{55871085-157B-4286-8E20-2ED5F7565002}" r="F56" connectionId="0">
    <xmlCellPr id="1" xr6:uid="{37A9F76B-1D82-4BE5-9586-3F406267DD9A}" uniqueName="Points">
      <xmlPr mapId="7" xpath="/MAKE/SA/SA_AEB_Car_to_Car/CCRb/AEB/_40m_2ms-2/@Points" xmlDataType="decimal"/>
    </xmlCellPr>
  </singleXmlCell>
  <singleXmlCell id="961" xr6:uid="{6772A91E-DC72-4717-BE45-C7BFDF146562}" r="D57" connectionId="0">
    <xmlCellPr id="1" xr6:uid="{E3D37792-DB24-4F8F-B6D8-B7D5556358DB}" uniqueName="Colour">
      <xmlPr mapId="7" xpath="/MAKE/SA/SA_AEB_Car_to_Car/CCRb/AEB/_40m_6ms-2/@Colour" xmlDataType="string"/>
    </xmlCellPr>
  </singleXmlCell>
  <singleXmlCell id="962" xr6:uid="{EA38E156-417D-4107-AB72-35145EBC3DC1}" r="F57" connectionId="0">
    <xmlCellPr id="1" xr6:uid="{E1CD6BF0-3B9C-422E-A509-B7681978CCCE}" uniqueName="Points">
      <xmlPr mapId="7" xpath="/MAKE/SA/SA_AEB_Car_to_Car/CCRb/AEB/_40m_6ms-2/@Points" xmlDataType="decimal"/>
    </xmlCellPr>
  </singleXmlCell>
  <singleXmlCell id="963" xr6:uid="{F10AF032-D3BF-49AE-9C55-777E66889DB6}" r="D84" connectionId="0">
    <xmlCellPr id="1" xr6:uid="{3D056FAB-2A6B-4327-AB8D-52817CE5390D}" uniqueName="Correction_Factor">
      <xmlPr mapId="7" xpath="/MAKE/SA/SA_AEB_Car_to_Car/Verification/AEB/@Correction_Factor" xmlDataType="decimal"/>
    </xmlCellPr>
  </singleXmlCell>
  <singleXmlCell id="964" xr6:uid="{5B36AF05-F070-44C4-A652-CF78B0E90972}" r="D62" connectionId="0">
    <xmlCellPr id="1" xr6:uid="{EF287272-0505-46DF-B77E-1A7622D2E0EA}" uniqueName="TestPoint">
      <xmlPr mapId="7" xpath="/MAKE/SA/SA_AEB_Car_to_Car/Verification/AEB/TestPoint1/@TestPoint" xmlDataType="string"/>
    </xmlCellPr>
  </singleXmlCell>
  <singleXmlCell id="965" xr6:uid="{2A77F2D6-DD3E-4C87-A66B-A8E8E8207AC8}" r="F62" connectionId="0">
    <xmlCellPr id="1" xr6:uid="{04FB795D-260D-4335-B0B3-E3F4CF85F098}" uniqueName="Prediction">
      <xmlPr mapId="7" xpath="/MAKE/SA/SA_AEB_Car_to_Car/Verification/AEB/TestPoint1/@Prediction" xmlDataType="string"/>
    </xmlCellPr>
  </singleXmlCell>
  <singleXmlCell id="966" xr6:uid="{F275F8FE-784D-42E0-A86A-33A1C6616A2C}" r="G62" connectionId="0">
    <xmlCellPr id="1" xr6:uid="{C274A286-CB4D-412B-A0B6-2A90DD5A916A}" uniqueName="Value">
      <xmlPr mapId="7" xpath="/MAKE/SA/SA_AEB_Car_to_Car/Verification/AEB/TestPoint1/@Value" xmlDataType="decimal"/>
    </xmlCellPr>
  </singleXmlCell>
  <singleXmlCell id="967" xr6:uid="{088CADD8-627B-44C2-85A0-8183B11C2F52}" r="H62" connectionId="0">
    <xmlCellPr id="1" xr6:uid="{FC1A1063-BC03-4EBA-A9F4-5B7B526DD358}" uniqueName="Points">
      <xmlPr mapId="7" xpath="/MAKE/SA/SA_AEB_Car_to_Car/Verification/AEB/TestPoint1/@Points" xmlDataType="decimal"/>
    </xmlCellPr>
  </singleXmlCell>
  <singleXmlCell id="968" xr6:uid="{34654224-71F0-486D-8EE1-8F390D1417F4}" r="D63" connectionId="0">
    <xmlCellPr id="1" xr6:uid="{8AE1408D-4E98-4EB8-BCE3-C4D8285D3358}" uniqueName="TestPoint">
      <xmlPr mapId="7" xpath="/MAKE/SA/SA_AEB_Car_to_Car/Verification/AEB/TestPoint2/@TestPoint" xmlDataType="string"/>
    </xmlCellPr>
  </singleXmlCell>
  <singleXmlCell id="969" xr6:uid="{94820886-29F9-43B6-87FF-8F47ACD42C50}" r="F63" connectionId="0">
    <xmlCellPr id="1" xr6:uid="{E7557070-56C7-4E26-8586-D0783D52923B}" uniqueName="Prediction">
      <xmlPr mapId="7" xpath="/MAKE/SA/SA_AEB_Car_to_Car/Verification/AEB/TestPoint2/@Prediction" xmlDataType="string"/>
    </xmlCellPr>
  </singleXmlCell>
  <singleXmlCell id="970" xr6:uid="{62EE5C17-6E6D-4278-82CB-86165D91808F}" r="G63" connectionId="0">
    <xmlCellPr id="1" xr6:uid="{7F7767B9-843A-461B-9554-5326368F9E90}" uniqueName="Value">
      <xmlPr mapId="7" xpath="/MAKE/SA/SA_AEB_Car_to_Car/Verification/AEB/TestPoint2/@Value" xmlDataType="decimal"/>
    </xmlCellPr>
  </singleXmlCell>
  <singleXmlCell id="971" xr6:uid="{E1FBF213-8AE7-4053-A339-A09093F7EC7F}" r="H63" connectionId="0">
    <xmlCellPr id="1" xr6:uid="{90C87FB7-2899-4893-9A03-EF75351E883C}" uniqueName="Points">
      <xmlPr mapId="7" xpath="/MAKE/SA/SA_AEB_Car_to_Car/Verification/AEB/TestPoint2/@Points" xmlDataType="decimal"/>
    </xmlCellPr>
  </singleXmlCell>
  <singleXmlCell id="972" xr6:uid="{B1381D0F-F360-4A1E-BC48-35E0DFDE1355}" r="D64" connectionId="0">
    <xmlCellPr id="1" xr6:uid="{10C4314F-390C-4262-B3B4-C172CB412675}" uniqueName="TestPoint">
      <xmlPr mapId="7" xpath="/MAKE/SA/SA_AEB_Car_to_Car/Verification/AEB/TestPoint3/@TestPoint" xmlDataType="string"/>
    </xmlCellPr>
  </singleXmlCell>
  <singleXmlCell id="973" xr6:uid="{37E29629-34B2-4B88-BC41-EF604803141E}" r="F64" connectionId="0">
    <xmlCellPr id="1" xr6:uid="{0F5EF86F-46A4-4AA4-AF7B-2BBB2CB2BA1A}" uniqueName="Prediction">
      <xmlPr mapId="7" xpath="/MAKE/SA/SA_AEB_Car_to_Car/Verification/AEB/TestPoint3/@Prediction" xmlDataType="string"/>
    </xmlCellPr>
  </singleXmlCell>
  <singleXmlCell id="974" xr6:uid="{9BBECACC-DB33-4E86-AB5E-5162C87CE532}" r="G64" connectionId="0">
    <xmlCellPr id="1" xr6:uid="{A50A9DC1-444B-4CA2-923E-1B2B674094CD}" uniqueName="Value">
      <xmlPr mapId="7" xpath="/MAKE/SA/SA_AEB_Car_to_Car/Verification/AEB/TestPoint3/@Value" xmlDataType="decimal"/>
    </xmlCellPr>
  </singleXmlCell>
  <singleXmlCell id="975" xr6:uid="{A08BC505-C99D-4F97-A5E9-A7813C19F762}" r="H64" connectionId="0">
    <xmlCellPr id="1" xr6:uid="{DA42063F-18CC-423C-AB59-633F38D4B56B}" uniqueName="Points">
      <xmlPr mapId="7" xpath="/MAKE/SA/SA_AEB_Car_to_Car/Verification/AEB/TestPoint3/@Points" xmlDataType="decimal"/>
    </xmlCellPr>
  </singleXmlCell>
  <singleXmlCell id="976" xr6:uid="{6AC78E6E-8FFE-434A-B600-9AB3D9FF75D4}" r="D65" connectionId="0">
    <xmlCellPr id="1" xr6:uid="{66D23040-E660-4E77-9202-E0FA329B470E}" uniqueName="TestPoint">
      <xmlPr mapId="7" xpath="/MAKE/SA/SA_AEB_Car_to_Car/Verification/AEB/TestPoint4/@TestPoint" xmlDataType="string"/>
    </xmlCellPr>
  </singleXmlCell>
  <singleXmlCell id="977" xr6:uid="{5CD731D6-154F-4EB3-BE09-757B99C30724}" r="F65" connectionId="0">
    <xmlCellPr id="1" xr6:uid="{DD73CE92-510B-47FA-A50E-899AFEA64AC9}" uniqueName="Prediction">
      <xmlPr mapId="7" xpath="/MAKE/SA/SA_AEB_Car_to_Car/Verification/AEB/TestPoint4/@Prediction" xmlDataType="string"/>
    </xmlCellPr>
  </singleXmlCell>
  <singleXmlCell id="978" xr6:uid="{E219D7B7-43B1-4F09-BF5B-75EDDE50876E}" r="G65" connectionId="0">
    <xmlCellPr id="1" xr6:uid="{87002D0A-D9FF-4147-95B5-F92F7C95EB94}" uniqueName="Value">
      <xmlPr mapId="7" xpath="/MAKE/SA/SA_AEB_Car_to_Car/Verification/AEB/TestPoint4/@Value" xmlDataType="decimal"/>
    </xmlCellPr>
  </singleXmlCell>
  <singleXmlCell id="979" xr6:uid="{FD7DA897-B5E6-48BE-AB7F-E65850DBD0B8}" r="H65" connectionId="0">
    <xmlCellPr id="1" xr6:uid="{E5A253B6-5890-407E-840F-B5AB9069B6DD}" uniqueName="Points">
      <xmlPr mapId="7" xpath="/MAKE/SA/SA_AEB_Car_to_Car/Verification/AEB/TestPoint4/@Points" xmlDataType="decimal"/>
    </xmlCellPr>
  </singleXmlCell>
  <singleXmlCell id="980" xr6:uid="{EDBD29D3-0567-4814-BB51-7F9CFB9FFAC6}" r="D66" connectionId="0">
    <xmlCellPr id="1" xr6:uid="{6846C66D-94B1-4E25-B718-895AE06EE58E}" uniqueName="TestPoint">
      <xmlPr mapId="7" xpath="/MAKE/SA/SA_AEB_Car_to_Car/Verification/AEB/TestPoint5/@TestPoint" xmlDataType="string"/>
    </xmlCellPr>
  </singleXmlCell>
  <singleXmlCell id="981" xr6:uid="{CE8ACCF4-DD6D-4B28-8583-9F3F00ABD3F6}" r="F66" connectionId="0">
    <xmlCellPr id="1" xr6:uid="{06FB784C-938E-4611-A9F3-93DFACB409F2}" uniqueName="Prediction">
      <xmlPr mapId="7" xpath="/MAKE/SA/SA_AEB_Car_to_Car/Verification/AEB/TestPoint5/@Prediction" xmlDataType="string"/>
    </xmlCellPr>
  </singleXmlCell>
  <singleXmlCell id="982" xr6:uid="{4457D29D-F22C-4188-8D0F-EC1329CE6129}" r="G66" connectionId="0">
    <xmlCellPr id="1" xr6:uid="{B2C3B59A-D110-4884-8DDD-65C5569E1B48}" uniqueName="Value">
      <xmlPr mapId="7" xpath="/MAKE/SA/SA_AEB_Car_to_Car/Verification/AEB/TestPoint5/@Value" xmlDataType="decimal"/>
    </xmlCellPr>
  </singleXmlCell>
  <singleXmlCell id="983" xr6:uid="{D324ECF5-F4B5-42DD-8ECB-307BA15DCCA2}" r="H66" connectionId="0">
    <xmlCellPr id="1" xr6:uid="{20601F94-3315-4401-BA72-ED5DA58328B0}" uniqueName="Points">
      <xmlPr mapId="7" xpath="/MAKE/SA/SA_AEB_Car_to_Car/Verification/AEB/TestPoint5/@Points" xmlDataType="decimal"/>
    </xmlCellPr>
  </singleXmlCell>
  <singleXmlCell id="984" xr6:uid="{3391B9FC-E828-41F8-8C59-298E5A3BAD8F}" r="D67" connectionId="0">
    <xmlCellPr id="1" xr6:uid="{F0D7FECE-CD4E-48E4-B470-FC9C91F56A8F}" uniqueName="TestPoint">
      <xmlPr mapId="7" xpath="/MAKE/SA/SA_AEB_Car_to_Car/Verification/AEB/TestPoint6/@TestPoint" xmlDataType="string"/>
    </xmlCellPr>
  </singleXmlCell>
  <singleXmlCell id="985" xr6:uid="{7BF6DB87-27B0-450E-AE91-0FB37725F636}" r="F67" connectionId="0">
    <xmlCellPr id="1" xr6:uid="{B287D16F-ECC3-4AAF-8234-F3DD4AF3AB75}" uniqueName="Prediction">
      <xmlPr mapId="7" xpath="/MAKE/SA/SA_AEB_Car_to_Car/Verification/AEB/TestPoint6/@Prediction" xmlDataType="string"/>
    </xmlCellPr>
  </singleXmlCell>
  <singleXmlCell id="986" xr6:uid="{29DC3782-5645-428B-8143-DACEA4F9DE53}" r="G67" connectionId="0">
    <xmlCellPr id="1" xr6:uid="{5657C1DA-9E87-4ADD-9E83-EA26CFA7B2A8}" uniqueName="Value">
      <xmlPr mapId="7" xpath="/MAKE/SA/SA_AEB_Car_to_Car/Verification/AEB/TestPoint6/@Value" xmlDataType="decimal"/>
    </xmlCellPr>
  </singleXmlCell>
  <singleXmlCell id="987" xr6:uid="{C9C4EF88-4676-4A65-959B-EE5D5F7607C5}" r="H67" connectionId="0">
    <xmlCellPr id="1" xr6:uid="{6F862A1A-C7C0-4306-9BC0-666997DEF17F}" uniqueName="Points">
      <xmlPr mapId="7" xpath="/MAKE/SA/SA_AEB_Car_to_Car/Verification/AEB/TestPoint6/@Points" xmlDataType="decimal"/>
    </xmlCellPr>
  </singleXmlCell>
  <singleXmlCell id="988" xr6:uid="{013E1011-5215-464D-98E5-BF44082838C7}" r="D68" connectionId="0">
    <xmlCellPr id="1" xr6:uid="{E14259FE-D18E-475B-B01A-97626B5CC111}" uniqueName="TestPoint">
      <xmlPr mapId="7" xpath="/MAKE/SA/SA_AEB_Car_to_Car/Verification/AEB/TestPoint7/@TestPoint" xmlDataType="string"/>
    </xmlCellPr>
  </singleXmlCell>
  <singleXmlCell id="989" xr6:uid="{1B47AFC9-918B-4B66-96A1-0F0CFB3DE5AB}" r="F68" connectionId="0">
    <xmlCellPr id="1" xr6:uid="{3FDC9C68-7947-46C6-A40A-04DCC7B91F31}" uniqueName="Prediction">
      <xmlPr mapId="7" xpath="/MAKE/SA/SA_AEB_Car_to_Car/Verification/AEB/TestPoint7/@Prediction" xmlDataType="string"/>
    </xmlCellPr>
  </singleXmlCell>
  <singleXmlCell id="990" xr6:uid="{FC0A1372-026A-4849-B521-13FD02A32568}" r="G68" connectionId="0">
    <xmlCellPr id="1" xr6:uid="{325246C6-0C78-427C-ABB6-66C97A159C76}" uniqueName="Value">
      <xmlPr mapId="7" xpath="/MAKE/SA/SA_AEB_Car_to_Car/Verification/AEB/TestPoint7/@Value" xmlDataType="decimal"/>
    </xmlCellPr>
  </singleXmlCell>
  <singleXmlCell id="991" xr6:uid="{2352FD8E-8D4F-4CE5-BA25-B6C741608328}" r="H68" connectionId="0">
    <xmlCellPr id="1" xr6:uid="{6BD39FD4-3FF1-46AE-B491-B97913E50FE7}" uniqueName="Points">
      <xmlPr mapId="7" xpath="/MAKE/SA/SA_AEB_Car_to_Car/Verification/AEB/TestPoint7/@Points" xmlDataType="decimal"/>
    </xmlCellPr>
  </singleXmlCell>
  <singleXmlCell id="992" xr6:uid="{106C46DA-72D6-4C88-8EFD-D6077FB823A6}" r="D69" connectionId="0">
    <xmlCellPr id="1" xr6:uid="{809642BE-13D4-4240-B528-A670E0C69CA4}" uniqueName="TestPoint">
      <xmlPr mapId="7" xpath="/MAKE/SA/SA_AEB_Car_to_Car/Verification/AEB/TestPoint8/@TestPoint" xmlDataType="string"/>
    </xmlCellPr>
  </singleXmlCell>
  <singleXmlCell id="993" xr6:uid="{90CDBAAA-047C-4C77-8665-2214A28C30F7}" r="F69" connectionId="0">
    <xmlCellPr id="1" xr6:uid="{08A30525-C552-42FD-811F-C42E799C3DD7}" uniqueName="Prediction">
      <xmlPr mapId="7" xpath="/MAKE/SA/SA_AEB_Car_to_Car/Verification/AEB/TestPoint8/@Prediction" xmlDataType="string"/>
    </xmlCellPr>
  </singleXmlCell>
  <singleXmlCell id="994" xr6:uid="{2C4BFEA2-6E03-47C3-88BA-54A63A925221}" r="G69" connectionId="0">
    <xmlCellPr id="1" xr6:uid="{9F5346F7-6D33-42E4-A379-3D5C20C6B50E}" uniqueName="Value">
      <xmlPr mapId="7" xpath="/MAKE/SA/SA_AEB_Car_to_Car/Verification/AEB/TestPoint8/@Value" xmlDataType="decimal"/>
    </xmlCellPr>
  </singleXmlCell>
  <singleXmlCell id="995" xr6:uid="{BE608EBC-1896-48CD-A7D0-B44C786EFA72}" r="H69" connectionId="0">
    <xmlCellPr id="1" xr6:uid="{CEBC4AEC-EAAD-4449-A29F-1D45EA224A5C}" uniqueName="Points">
      <xmlPr mapId="7" xpath="/MAKE/SA/SA_AEB_Car_to_Car/Verification/AEB/TestPoint8/@Points" xmlDataType="decimal"/>
    </xmlCellPr>
  </singleXmlCell>
  <singleXmlCell id="996" xr6:uid="{94CA765A-01D4-4FEB-9812-DF024FF7D768}" r="D70" connectionId="0">
    <xmlCellPr id="1" xr6:uid="{CB4E96AC-8B6B-4DB8-92C5-ACF6567C39ED}" uniqueName="TestPoint">
      <xmlPr mapId="7" xpath="/MAKE/SA/SA_AEB_Car_to_Car/Verification/AEB/TestPoint9/@TestPoint" xmlDataType="string"/>
    </xmlCellPr>
  </singleXmlCell>
  <singleXmlCell id="997" xr6:uid="{0E91FB0C-FC45-4EC6-B10F-62A909A1CEB9}" r="F70" connectionId="0">
    <xmlCellPr id="1" xr6:uid="{5D8C5082-F278-4D05-B18A-854318713BC0}" uniqueName="Prediction">
      <xmlPr mapId="7" xpath="/MAKE/SA/SA_AEB_Car_to_Car/Verification/AEB/TestPoint9/@Prediction" xmlDataType="string"/>
    </xmlCellPr>
  </singleXmlCell>
  <singleXmlCell id="998" xr6:uid="{89306D20-D1EC-4921-B494-DE4B45EDED00}" r="G70" connectionId="0">
    <xmlCellPr id="1" xr6:uid="{F2177AC1-9F76-4D84-B3E6-3414670972EE}" uniqueName="Value">
      <xmlPr mapId="7" xpath="/MAKE/SA/SA_AEB_Car_to_Car/Verification/AEB/TestPoint9/@Value" xmlDataType="decimal"/>
    </xmlCellPr>
  </singleXmlCell>
  <singleXmlCell id="999" xr6:uid="{C753A240-5A3D-428B-933D-759763D82EED}" r="H70" connectionId="0">
    <xmlCellPr id="1" xr6:uid="{608F555C-2D2B-48C3-A235-19FACE85CC0F}" uniqueName="Points">
      <xmlPr mapId="7" xpath="/MAKE/SA/SA_AEB_Car_to_Car/Verification/AEB/TestPoint9/@Points" xmlDataType="decimal"/>
    </xmlCellPr>
  </singleXmlCell>
  <singleXmlCell id="1000" xr6:uid="{75B554D7-8E07-4087-ABB2-81B4A3B89BE7}" r="D71" connectionId="0">
    <xmlCellPr id="1" xr6:uid="{FE64F134-9326-4F5C-8C53-46C43C0257B3}" uniqueName="TestPoint">
      <xmlPr mapId="7" xpath="/MAKE/SA/SA_AEB_Car_to_Car/Verification/AEB/TestPoint10/@TestPoint" xmlDataType="string"/>
    </xmlCellPr>
  </singleXmlCell>
  <singleXmlCell id="1001" xr6:uid="{E03FA6FB-B762-4166-94B0-71F5273FC69C}" r="F71" connectionId="0">
    <xmlCellPr id="1" xr6:uid="{2E88ED97-37D0-4AA3-AA47-736DF8B864B1}" uniqueName="Prediction">
      <xmlPr mapId="7" xpath="/MAKE/SA/SA_AEB_Car_to_Car/Verification/AEB/TestPoint10/@Prediction" xmlDataType="string"/>
    </xmlCellPr>
  </singleXmlCell>
  <singleXmlCell id="1002" xr6:uid="{0FF40C83-1197-4792-8977-F21E4B6EA9FC}" r="G71" connectionId="0">
    <xmlCellPr id="1" xr6:uid="{1551CB7D-A155-4385-AA9C-71CF3A4F09B7}" uniqueName="Value">
      <xmlPr mapId="7" xpath="/MAKE/SA/SA_AEB_Car_to_Car/Verification/AEB/TestPoint10/@Value" xmlDataType="decimal"/>
    </xmlCellPr>
  </singleXmlCell>
  <singleXmlCell id="1003" xr6:uid="{E8D24638-E27C-41FA-99A5-8D08F7B1C5F4}" r="H71" connectionId="0">
    <xmlCellPr id="1" xr6:uid="{E8001884-132C-4250-9CFE-B678A2515435}" uniqueName="Points">
      <xmlPr mapId="7" xpath="/MAKE/SA/SA_AEB_Car_to_Car/Verification/AEB/TestPoint10/@Points" xmlDataType="decimal"/>
    </xmlCellPr>
  </singleXmlCell>
  <singleXmlCell id="1004" xr6:uid="{3CC93011-BF23-433B-A297-4737EA0B737E}" r="D72" connectionId="0">
    <xmlCellPr id="1" xr6:uid="{6DD77C84-5F88-4532-847D-E54A3D352B8B}" uniqueName="TestPoint">
      <xmlPr mapId="7" xpath="/MAKE/SA/SA_AEB_Car_to_Car/Verification/AEB/TestPoint11/@TestPoint" xmlDataType="string"/>
    </xmlCellPr>
  </singleXmlCell>
  <singleXmlCell id="1005" xr6:uid="{B1947691-9B16-42AA-8C6D-90D01AE53CD2}" r="F72" connectionId="0">
    <xmlCellPr id="1" xr6:uid="{633E2D2F-90F5-49A7-98F0-FB6815C9BE25}" uniqueName="Prediction">
      <xmlPr mapId="7" xpath="/MAKE/SA/SA_AEB_Car_to_Car/Verification/AEB/TestPoint11/@Prediction" xmlDataType="string"/>
    </xmlCellPr>
  </singleXmlCell>
  <singleXmlCell id="1006" xr6:uid="{F839F259-445C-4393-ABA0-6347C7468181}" r="G72" connectionId="0">
    <xmlCellPr id="1" xr6:uid="{F79CC6D1-B011-4B08-9A04-0BB6253F7587}" uniqueName="Value">
      <xmlPr mapId="7" xpath="/MAKE/SA/SA_AEB_Car_to_Car/Verification/AEB/TestPoint11/@Value" xmlDataType="decimal"/>
    </xmlCellPr>
  </singleXmlCell>
  <singleXmlCell id="1007" xr6:uid="{2388DCD2-3B5B-47F5-A291-F1F6BE24F476}" r="H72" connectionId="0">
    <xmlCellPr id="1" xr6:uid="{4B08761E-2BD7-4532-A9BC-873B3EC05C61}" uniqueName="Points">
      <xmlPr mapId="7" xpath="/MAKE/SA/SA_AEB_Car_to_Car/Verification/AEB/TestPoint11/@Points" xmlDataType="decimal"/>
    </xmlCellPr>
  </singleXmlCell>
  <singleXmlCell id="1008" xr6:uid="{A8185D2A-18BD-4255-8066-0F00AC6B9845}" r="D73" connectionId="0">
    <xmlCellPr id="1" xr6:uid="{A5490E77-177A-4C5A-AFA0-24EEBDF66201}" uniqueName="TestPoint">
      <xmlPr mapId="7" xpath="/MAKE/SA/SA_AEB_Car_to_Car/Verification/AEB/TestPoint12/@TestPoint" xmlDataType="string"/>
    </xmlCellPr>
  </singleXmlCell>
  <singleXmlCell id="1009" xr6:uid="{D4A14876-99E7-49C1-8DB4-B8AA9CD616F2}" r="F73" connectionId="0">
    <xmlCellPr id="1" xr6:uid="{9044A54F-8488-430B-801D-2DEEA99610AA}" uniqueName="Prediction">
      <xmlPr mapId="7" xpath="/MAKE/SA/SA_AEB_Car_to_Car/Verification/AEB/TestPoint12/@Prediction" xmlDataType="string"/>
    </xmlCellPr>
  </singleXmlCell>
  <singleXmlCell id="1010" xr6:uid="{B2EE2E29-0191-4F22-B4C4-6BE465FF7545}" r="G73" connectionId="0">
    <xmlCellPr id="1" xr6:uid="{C2830E28-DFC0-4A91-843C-33EA17A033A5}" uniqueName="Value">
      <xmlPr mapId="7" xpath="/MAKE/SA/SA_AEB_Car_to_Car/Verification/AEB/TestPoint12/@Value" xmlDataType="decimal"/>
    </xmlCellPr>
  </singleXmlCell>
  <singleXmlCell id="1011" xr6:uid="{1F9A8564-AE4F-45FA-AB28-977169ECA807}" r="H73" connectionId="0">
    <xmlCellPr id="1" xr6:uid="{D9C1A292-90D7-492F-9DEF-386BBA32F7C3}" uniqueName="Points">
      <xmlPr mapId="7" xpath="/MAKE/SA/SA_AEB_Car_to_Car/Verification/AEB/TestPoint12/@Points" xmlDataType="decimal"/>
    </xmlCellPr>
  </singleXmlCell>
  <singleXmlCell id="1012" xr6:uid="{5D75F7DD-F62B-4E38-B7B0-AAE320447314}" r="D74" connectionId="0">
    <xmlCellPr id="1" xr6:uid="{899A2255-C7D8-4E3D-B5C8-567D0E8A8125}" uniqueName="TestPoint">
      <xmlPr mapId="7" xpath="/MAKE/SA/SA_AEB_Car_to_Car/Verification/AEB/TestPoint13/@TestPoint" xmlDataType="string"/>
    </xmlCellPr>
  </singleXmlCell>
  <singleXmlCell id="1013" xr6:uid="{3E1E8CB4-752C-441B-A0D7-59988D2B2653}" r="F74" connectionId="0">
    <xmlCellPr id="1" xr6:uid="{11F9694A-86A8-481B-A947-8D403CA54FB2}" uniqueName="Prediction">
      <xmlPr mapId="7" xpath="/MAKE/SA/SA_AEB_Car_to_Car/Verification/AEB/TestPoint13/@Prediction" xmlDataType="string"/>
    </xmlCellPr>
  </singleXmlCell>
  <singleXmlCell id="1014" xr6:uid="{F83285E6-3DCA-4F29-A0EF-DCDBDDDAD336}" r="G74" connectionId="0">
    <xmlCellPr id="1" xr6:uid="{68EB3E87-4F11-4886-B6B6-18E1BEB656EE}" uniqueName="Value">
      <xmlPr mapId="7" xpath="/MAKE/SA/SA_AEB_Car_to_Car/Verification/AEB/TestPoint13/@Value" xmlDataType="decimal"/>
    </xmlCellPr>
  </singleXmlCell>
  <singleXmlCell id="1015" xr6:uid="{D2E34F0C-E4AD-4A9E-BEF4-A554B26F656E}" r="H74" connectionId="0">
    <xmlCellPr id="1" xr6:uid="{9A23ABC4-457B-4AE8-A9E7-2C020FAD3853}" uniqueName="Points">
      <xmlPr mapId="7" xpath="/MAKE/SA/SA_AEB_Car_to_Car/Verification/AEB/TestPoint13/@Points" xmlDataType="decimal"/>
    </xmlCellPr>
  </singleXmlCell>
  <singleXmlCell id="1016" xr6:uid="{14E90CD1-3333-4B05-9EB7-1E6158686161}" r="D75" connectionId="0">
    <xmlCellPr id="1" xr6:uid="{D3942175-D4E2-4A3C-9582-903E73F6442A}" uniqueName="TestPoint">
      <xmlPr mapId="7" xpath="/MAKE/SA/SA_AEB_Car_to_Car/Verification/AEB/TestPoint14/@TestPoint" xmlDataType="string"/>
    </xmlCellPr>
  </singleXmlCell>
  <singleXmlCell id="1017" xr6:uid="{99CAF68B-90E9-42A2-BAAB-47CAF4F884B0}" r="F75" connectionId="0">
    <xmlCellPr id="1" xr6:uid="{F6362D12-D1F5-4DF7-8609-0108754948A3}" uniqueName="Prediction">
      <xmlPr mapId="7" xpath="/MAKE/SA/SA_AEB_Car_to_Car/Verification/AEB/TestPoint14/@Prediction" xmlDataType="string"/>
    </xmlCellPr>
  </singleXmlCell>
  <singleXmlCell id="1018" xr6:uid="{1A1210E8-0417-4E22-8793-8444C6DABF09}" r="G75" connectionId="0">
    <xmlCellPr id="1" xr6:uid="{DCBD2F82-E679-421F-8C79-D5E74D2E699B}" uniqueName="Value">
      <xmlPr mapId="7" xpath="/MAKE/SA/SA_AEB_Car_to_Car/Verification/AEB/TestPoint14/@Value" xmlDataType="decimal"/>
    </xmlCellPr>
  </singleXmlCell>
  <singleXmlCell id="1019" xr6:uid="{2419DC59-8FF7-4489-A3B1-970953BE8978}" r="H75" connectionId="0">
    <xmlCellPr id="1" xr6:uid="{9B30F8A8-231C-412A-B13A-2FB84576E3A4}" uniqueName="Points">
      <xmlPr mapId="7" xpath="/MAKE/SA/SA_AEB_Car_to_Car/Verification/AEB/TestPoint14/@Points" xmlDataType="decimal"/>
    </xmlCellPr>
  </singleXmlCell>
  <singleXmlCell id="1020" xr6:uid="{C80B5268-347B-4226-BF84-C2DB923FC112}" r="D76" connectionId="0">
    <xmlCellPr id="1" xr6:uid="{E27AEBD9-DB3B-4C4F-8B17-8C21A7CF656B}" uniqueName="TestPoint">
      <xmlPr mapId="7" xpath="/MAKE/SA/SA_AEB_Car_to_Car/Verification/AEB/TestPoint15/@TestPoint" xmlDataType="string"/>
    </xmlCellPr>
  </singleXmlCell>
  <singleXmlCell id="1021" xr6:uid="{057026CE-8970-406D-8772-58AD268C1C96}" r="F76" connectionId="0">
    <xmlCellPr id="1" xr6:uid="{FB4B96FF-2DAA-4F8B-8B74-462749E08675}" uniqueName="Prediction">
      <xmlPr mapId="7" xpath="/MAKE/SA/SA_AEB_Car_to_Car/Verification/AEB/TestPoint15/@Prediction" xmlDataType="string"/>
    </xmlCellPr>
  </singleXmlCell>
  <singleXmlCell id="1022" xr6:uid="{A7C0ABD6-5056-473B-AE8D-535516575440}" r="G76" connectionId="0">
    <xmlCellPr id="1" xr6:uid="{3072BFF3-F52D-40BC-8647-EF21738DBC53}" uniqueName="Value">
      <xmlPr mapId="7" xpath="/MAKE/SA/SA_AEB_Car_to_Car/Verification/AEB/TestPoint15/@Value" xmlDataType="decimal"/>
    </xmlCellPr>
  </singleXmlCell>
  <singleXmlCell id="1023" xr6:uid="{E41FB4F4-F6D3-4BD7-970B-A70C112771E1}" r="H76" connectionId="0">
    <xmlCellPr id="1" xr6:uid="{5AA76701-3866-4D5E-8AF5-660775EC843E}" uniqueName="Points">
      <xmlPr mapId="7" xpath="/MAKE/SA/SA_AEB_Car_to_Car/Verification/AEB/TestPoint15/@Points" xmlDataType="decimal"/>
    </xmlCellPr>
  </singleXmlCell>
  <singleXmlCell id="1024" xr6:uid="{06147BBC-D7FB-4163-A213-9E8328FC28E1}" r="D77" connectionId="0">
    <xmlCellPr id="1" xr6:uid="{7184453A-25DE-4B49-B9D8-EBE0F7076CED}" uniqueName="TestPoint">
      <xmlPr mapId="7" xpath="/MAKE/SA/SA_AEB_Car_to_Car/Verification/AEB/TestPoint16/@TestPoint" xmlDataType="string"/>
    </xmlCellPr>
  </singleXmlCell>
  <singleXmlCell id="1025" xr6:uid="{504FAE3C-29D5-4ACE-869B-CB9F6403FA37}" r="F77" connectionId="0">
    <xmlCellPr id="1" xr6:uid="{FD085BAA-9445-4428-8C61-858B82CC7BB6}" uniqueName="Prediction">
      <xmlPr mapId="7" xpath="/MAKE/SA/SA_AEB_Car_to_Car/Verification/AEB/TestPoint16/@Prediction" xmlDataType="string"/>
    </xmlCellPr>
  </singleXmlCell>
  <singleXmlCell id="1026" xr6:uid="{448DA1E6-916A-4D8A-8B72-3145BD5297F4}" r="G77" connectionId="0">
    <xmlCellPr id="1" xr6:uid="{1E10B6EB-084D-4F03-85D2-8649CF2722F4}" uniqueName="Value">
      <xmlPr mapId="7" xpath="/MAKE/SA/SA_AEB_Car_to_Car/Verification/AEB/TestPoint16/@Value" xmlDataType="decimal"/>
    </xmlCellPr>
  </singleXmlCell>
  <singleXmlCell id="1027" xr6:uid="{CD438886-1C41-465F-A35B-EF5E0347F38A}" r="H77" connectionId="0">
    <xmlCellPr id="1" xr6:uid="{CA5BB0A0-24F9-4944-B985-67D549B0B841}" uniqueName="Points">
      <xmlPr mapId="7" xpath="/MAKE/SA/SA_AEB_Car_to_Car/Verification/AEB/TestPoint16/@Points" xmlDataType="decimal"/>
    </xmlCellPr>
  </singleXmlCell>
  <singleXmlCell id="1028" xr6:uid="{BED98900-4CEB-4993-BACB-FF3D36708DBE}" r="D78" connectionId="0">
    <xmlCellPr id="1" xr6:uid="{E17E7951-BBBA-471C-9C3C-981D46070E9A}" uniqueName="TestPoint">
      <xmlPr mapId="7" xpath="/MAKE/SA/SA_AEB_Car_to_Car/Verification/AEB/TestPoint17/@TestPoint" xmlDataType="string"/>
    </xmlCellPr>
  </singleXmlCell>
  <singleXmlCell id="1029" xr6:uid="{DDBBFCED-36E1-4A77-B1B2-F5F7B4CB0AA3}" r="F78" connectionId="0">
    <xmlCellPr id="1" xr6:uid="{254038F3-F5FE-4954-AFE4-744E8A3C7418}" uniqueName="Prediction">
      <xmlPr mapId="7" xpath="/MAKE/SA/SA_AEB_Car_to_Car/Verification/AEB/TestPoint17/@Prediction" xmlDataType="string"/>
    </xmlCellPr>
  </singleXmlCell>
  <singleXmlCell id="1030" xr6:uid="{543ADA4C-CE1D-4AE5-AD4B-267071057015}" r="G78" connectionId="0">
    <xmlCellPr id="1" xr6:uid="{CDF2A6EB-86B0-48E2-B3EF-047C36E646B6}" uniqueName="Value">
      <xmlPr mapId="7" xpath="/MAKE/SA/SA_AEB_Car_to_Car/Verification/AEB/TestPoint17/@Value" xmlDataType="decimal"/>
    </xmlCellPr>
  </singleXmlCell>
  <singleXmlCell id="1031" xr6:uid="{4F8394F7-C576-4666-8D66-7EAEAA8191B6}" r="H78" connectionId="0">
    <xmlCellPr id="1" xr6:uid="{B1328266-96D5-45F4-AE3D-1BD13A0EAEE5}" uniqueName="Points">
      <xmlPr mapId="7" xpath="/MAKE/SA/SA_AEB_Car_to_Car/Verification/AEB/TestPoint17/@Points" xmlDataType="decimal"/>
    </xmlCellPr>
  </singleXmlCell>
  <singleXmlCell id="1032" xr6:uid="{91BBF3AE-5C14-4F63-B9D2-8E5141F23F26}" r="D79" connectionId="0">
    <xmlCellPr id="1" xr6:uid="{1F6AFC0F-6A8B-44F8-A987-DFDB98AC1691}" uniqueName="TestPoint">
      <xmlPr mapId="7" xpath="/MAKE/SA/SA_AEB_Car_to_Car/Verification/AEB/TestPoint18/@TestPoint" xmlDataType="string"/>
    </xmlCellPr>
  </singleXmlCell>
  <singleXmlCell id="1033" xr6:uid="{31C889AC-8545-4320-B7B5-DEAE0ADC1A46}" r="F79" connectionId="0">
    <xmlCellPr id="1" xr6:uid="{1FA03692-7DA1-4DFA-9235-AE6C9AFDB734}" uniqueName="Prediction">
      <xmlPr mapId="7" xpath="/MAKE/SA/SA_AEB_Car_to_Car/Verification/AEB/TestPoint18/@Prediction" xmlDataType="string"/>
    </xmlCellPr>
  </singleXmlCell>
  <singleXmlCell id="1034" xr6:uid="{5F204A91-D4C2-4036-9F49-D33163FC1B2A}" r="G79" connectionId="0">
    <xmlCellPr id="1" xr6:uid="{660632B2-7FD7-4032-B265-730C8D53F593}" uniqueName="Value">
      <xmlPr mapId="7" xpath="/MAKE/SA/SA_AEB_Car_to_Car/Verification/AEB/TestPoint18/@Value" xmlDataType="decimal"/>
    </xmlCellPr>
  </singleXmlCell>
  <singleXmlCell id="1035" xr6:uid="{0913525E-8C30-450E-A85A-60AF7B2CB85E}" r="H79" connectionId="0">
    <xmlCellPr id="1" xr6:uid="{08D56694-B02B-4B18-BD46-F0B222356DE8}" uniqueName="Points">
      <xmlPr mapId="7" xpath="/MAKE/SA/SA_AEB_Car_to_Car/Verification/AEB/TestPoint18/@Points" xmlDataType="decimal"/>
    </xmlCellPr>
  </singleXmlCell>
  <singleXmlCell id="1036" xr6:uid="{DA015D31-7E01-4201-A986-E96323E1F929}" r="D80" connectionId="0">
    <xmlCellPr id="1" xr6:uid="{3EE43856-6FED-4EE3-94F6-FB45D8BA74A4}" uniqueName="TestPoint">
      <xmlPr mapId="7" xpath="/MAKE/SA/SA_AEB_Car_to_Car/Verification/AEB/TestPoint19/@TestPoint" xmlDataType="string"/>
    </xmlCellPr>
  </singleXmlCell>
  <singleXmlCell id="1037" xr6:uid="{95391150-2B23-42CE-A70B-056B7A2574C9}" r="F80" connectionId="0">
    <xmlCellPr id="1" xr6:uid="{D01D40EF-AF63-48FE-B2C1-C859D04C4E02}" uniqueName="Prediction">
      <xmlPr mapId="7" xpath="/MAKE/SA/SA_AEB_Car_to_Car/Verification/AEB/TestPoint19/@Prediction" xmlDataType="string"/>
    </xmlCellPr>
  </singleXmlCell>
  <singleXmlCell id="1038" xr6:uid="{D7EE5BE2-2A09-480B-8EF5-853332C855A5}" r="G80" connectionId="0">
    <xmlCellPr id="1" xr6:uid="{839390A3-A78A-445F-96E4-9AFAC4517F31}" uniqueName="Value">
      <xmlPr mapId="7" xpath="/MAKE/SA/SA_AEB_Car_to_Car/Verification/AEB/TestPoint19/@Value" xmlDataType="decimal"/>
    </xmlCellPr>
  </singleXmlCell>
  <singleXmlCell id="1039" xr6:uid="{2EFEC120-7B09-4D02-9977-1072304CA30C}" r="H80" connectionId="0">
    <xmlCellPr id="1" xr6:uid="{9CD3B05F-CB16-45C3-BF54-5957681246F2}" uniqueName="Points">
      <xmlPr mapId="7" xpath="/MAKE/SA/SA_AEB_Car_to_Car/Verification/AEB/TestPoint19/@Points" xmlDataType="decimal"/>
    </xmlCellPr>
  </singleXmlCell>
  <singleXmlCell id="1040" xr6:uid="{7B2A9F04-17D7-440D-AF38-A5D17C4DB9AB}" r="D81" connectionId="0">
    <xmlCellPr id="1" xr6:uid="{52531B74-1FC0-469D-93BB-D80BBC14B97E}" uniqueName="TestPoint">
      <xmlPr mapId="7" xpath="/MAKE/SA/SA_AEB_Car_to_Car/Verification/AEB/TestPoint20/@TestPoint" xmlDataType="string"/>
    </xmlCellPr>
  </singleXmlCell>
  <singleXmlCell id="1041" xr6:uid="{34FEF71F-BBFE-4503-8A37-89A5C6F58D59}" r="F81" connectionId="0">
    <xmlCellPr id="1" xr6:uid="{80778704-1C09-4763-93AC-950AC16E14C6}" uniqueName="Prediction">
      <xmlPr mapId="7" xpath="/MAKE/SA/SA_AEB_Car_to_Car/Verification/AEB/TestPoint20/@Prediction" xmlDataType="string"/>
    </xmlCellPr>
  </singleXmlCell>
  <singleXmlCell id="1042" xr6:uid="{BABA0BD1-D1DD-4E5B-B2FE-62E821B41E89}" r="G81" connectionId="0">
    <xmlCellPr id="1" xr6:uid="{0807E737-CE2B-4A8E-AE28-E56D92E15B1F}" uniqueName="Value">
      <xmlPr mapId="7" xpath="/MAKE/SA/SA_AEB_Car_to_Car/Verification/AEB/TestPoint20/@Value" xmlDataType="decimal"/>
    </xmlCellPr>
  </singleXmlCell>
  <singleXmlCell id="1043" xr6:uid="{68E05857-8F8F-472A-B00C-8E58FEDD8CE9}" r="H81" connectionId="0">
    <xmlCellPr id="1" xr6:uid="{9BABA21D-ADAC-4E69-9B04-6EBD347C62DA}" uniqueName="Points">
      <xmlPr mapId="7" xpath="/MAKE/SA/SA_AEB_Car_to_Car/Verification/AEB/TestPoint20/@Points" xmlDataType="decimal"/>
    </xmlCellPr>
  </singleXmlCell>
  <singleXmlCell id="1044" xr6:uid="{32A05964-9A03-4C28-9380-AD9E0AD59D70}" r="I84" connectionId="0">
    <xmlCellPr id="1" xr6:uid="{DD89FC2B-05C4-4BA7-980C-0F2E8A9F2D67}" uniqueName="Correction_Factor">
      <xmlPr mapId="7" xpath="/MAKE/SA/SA_AEB_Car_to_Car/Verification/FCW/@Correction_Factor" xmlDataType="decimal"/>
    </xmlCellPr>
  </singleXmlCell>
  <singleXmlCell id="1045" xr6:uid="{94358694-B3C1-4EE9-B65E-56684B79517B}" r="I62" connectionId="0">
    <xmlCellPr id="1" xr6:uid="{F997EE1B-3983-4699-8C92-9E47FDD20919}" uniqueName="TestPoint">
      <xmlPr mapId="7" xpath="/MAKE/SA/SA_AEB_Car_to_Car/Verification/FCW/TestPoint1/@TestPoint" xmlDataType="string"/>
    </xmlCellPr>
  </singleXmlCell>
  <singleXmlCell id="1046" xr6:uid="{51D69742-1311-44A5-A9BE-893756BEC7E1}" r="J62" connectionId="0">
    <xmlCellPr id="1" xr6:uid="{67D5A182-277A-429E-97CA-FD3D79325940}" uniqueName="ESS">
      <xmlPr mapId="7" xpath="/MAKE/SA/SA_AEB_Car_to_Car/Verification/FCW/TestPoint1/@ESS" xmlDataType="string"/>
    </xmlCellPr>
  </singleXmlCell>
  <singleXmlCell id="1047" xr6:uid="{5E85CBD7-8203-46DB-9717-C9547C96B129}" r="K62" connectionId="0">
    <xmlCellPr id="1" xr6:uid="{D48CE413-8C19-402C-8A9F-2C46D1875FCF}" uniqueName="Prediction">
      <xmlPr mapId="7" xpath="/MAKE/SA/SA_AEB_Car_to_Car/Verification/FCW/TestPoint1/@Prediction" xmlDataType="string"/>
    </xmlCellPr>
  </singleXmlCell>
  <singleXmlCell id="1048" xr6:uid="{7EBFE36F-513F-4EC3-B686-3A396F8DE6F1}" r="L62" connectionId="0">
    <xmlCellPr id="1" xr6:uid="{DE2436F6-701C-49A6-9D98-7D58A986F730}" uniqueName="Value">
      <xmlPr mapId="7" xpath="/MAKE/SA/SA_AEB_Car_to_Car/Verification/FCW/TestPoint1/@Value" xmlDataType="decimal"/>
    </xmlCellPr>
  </singleXmlCell>
  <singleXmlCell id="1049" xr6:uid="{11E50C83-503A-4B36-A777-ABC6B272C39C}" r="M62" connectionId="0">
    <xmlCellPr id="1" xr6:uid="{3B14F530-7A19-418B-939B-D10E9FAB7C44}" uniqueName="Points">
      <xmlPr mapId="7" xpath="/MAKE/SA/SA_AEB_Car_to_Car/Verification/FCW/TestPoint1/@Points" xmlDataType="decimal"/>
    </xmlCellPr>
  </singleXmlCell>
  <singleXmlCell id="1050" xr6:uid="{04B23758-7986-41C8-BEC5-F1A76439C1DE}" r="I63" connectionId="0">
    <xmlCellPr id="1" xr6:uid="{FF0C0300-1CCC-4973-BF13-1CC7C9D6E1D0}" uniqueName="TestPoint">
      <xmlPr mapId="7" xpath="/MAKE/SA/SA_AEB_Car_to_Car/Verification/FCW/TestPoint2/@TestPoint" xmlDataType="string"/>
    </xmlCellPr>
  </singleXmlCell>
  <singleXmlCell id="1051" xr6:uid="{10513B32-2A10-465F-9E9C-F74E1C5AE4AF}" r="J63" connectionId="0">
    <xmlCellPr id="1" xr6:uid="{F7B1BEFE-D625-4066-A7C2-2096DC57E767}" uniqueName="ESS">
      <xmlPr mapId="7" xpath="/MAKE/SA/SA_AEB_Car_to_Car/Verification/FCW/TestPoint2/@ESS" xmlDataType="string"/>
    </xmlCellPr>
  </singleXmlCell>
  <singleXmlCell id="1052" xr6:uid="{F834B765-0AD2-4707-97EB-47AFBFDDCACB}" r="K63" connectionId="0">
    <xmlCellPr id="1" xr6:uid="{816BCB7E-F9AE-433A-A5A1-00DB244528AA}" uniqueName="Prediction">
      <xmlPr mapId="7" xpath="/MAKE/SA/SA_AEB_Car_to_Car/Verification/FCW/TestPoint2/@Prediction" xmlDataType="string"/>
    </xmlCellPr>
  </singleXmlCell>
  <singleXmlCell id="1053" xr6:uid="{8F2681F9-89EF-49C3-BD54-2A52816D7E5A}" r="L63" connectionId="0">
    <xmlCellPr id="1" xr6:uid="{6BFFDFAF-5F14-4F1C-8338-D0238E8EA679}" uniqueName="Value">
      <xmlPr mapId="7" xpath="/MAKE/SA/SA_AEB_Car_to_Car/Verification/FCW/TestPoint2/@Value" xmlDataType="decimal"/>
    </xmlCellPr>
  </singleXmlCell>
  <singleXmlCell id="1054" xr6:uid="{9B9B5722-5F8B-4BCD-9BD3-461EBC05591B}" r="M63" connectionId="0">
    <xmlCellPr id="1" xr6:uid="{C30B09B3-8CFC-43D7-9C2B-F8933E6AD1CC}" uniqueName="Points">
      <xmlPr mapId="7" xpath="/MAKE/SA/SA_AEB_Car_to_Car/Verification/FCW/TestPoint2/@Points" xmlDataType="decimal"/>
    </xmlCellPr>
  </singleXmlCell>
  <singleXmlCell id="1055" xr6:uid="{C80F9811-6937-450E-A583-70AA3249671F}" r="I64" connectionId="0">
    <xmlCellPr id="1" xr6:uid="{44F33C1B-CAEE-4171-AEFD-2FA9AA475C89}" uniqueName="TestPoint">
      <xmlPr mapId="7" xpath="/MAKE/SA/SA_AEB_Car_to_Car/Verification/FCW/TestPoint3/@TestPoint" xmlDataType="string"/>
    </xmlCellPr>
  </singleXmlCell>
  <singleXmlCell id="1056" xr6:uid="{B5EDF22A-5E04-40DE-80B9-A7558D459313}" r="J64" connectionId="0">
    <xmlCellPr id="1" xr6:uid="{F8EAA4E2-34EF-4311-B2E7-AEFC27982FC7}" uniqueName="ESS">
      <xmlPr mapId="7" xpath="/MAKE/SA/SA_AEB_Car_to_Car/Verification/FCW/TestPoint3/@ESS" xmlDataType="string"/>
    </xmlCellPr>
  </singleXmlCell>
  <singleXmlCell id="1057" xr6:uid="{65E44880-1FC0-4BF8-94AA-ECC157519EBC}" r="K64" connectionId="0">
    <xmlCellPr id="1" xr6:uid="{85AD9CAE-3A4A-4446-83BA-F6C98A0E336B}" uniqueName="Prediction">
      <xmlPr mapId="7" xpath="/MAKE/SA/SA_AEB_Car_to_Car/Verification/FCW/TestPoint3/@Prediction" xmlDataType="string"/>
    </xmlCellPr>
  </singleXmlCell>
  <singleXmlCell id="1058" xr6:uid="{121A8E6F-72D0-4995-A19D-DB467BB75BAA}" r="L64" connectionId="0">
    <xmlCellPr id="1" xr6:uid="{BDB1ACA8-984E-401B-B2AC-08924CD29429}" uniqueName="Value">
      <xmlPr mapId="7" xpath="/MAKE/SA/SA_AEB_Car_to_Car/Verification/FCW/TestPoint3/@Value" xmlDataType="decimal"/>
    </xmlCellPr>
  </singleXmlCell>
  <singleXmlCell id="1059" xr6:uid="{3A136202-DF7A-40D7-B98B-5871274B07F3}" r="M64" connectionId="0">
    <xmlCellPr id="1" xr6:uid="{D3B7391C-1A16-4AAF-8F69-34A5A7F88016}" uniqueName="Points">
      <xmlPr mapId="7" xpath="/MAKE/SA/SA_AEB_Car_to_Car/Verification/FCW/TestPoint3/@Points" xmlDataType="decimal"/>
    </xmlCellPr>
  </singleXmlCell>
  <singleXmlCell id="1060" xr6:uid="{421A7080-24B7-4883-8DA5-9AEA68D3B5EF}" r="I65" connectionId="0">
    <xmlCellPr id="1" xr6:uid="{E664A97E-0568-47B7-8077-DAE6FF78ECC7}" uniqueName="TestPoint">
      <xmlPr mapId="7" xpath="/MAKE/SA/SA_AEB_Car_to_Car/Verification/FCW/TestPoint4/@TestPoint" xmlDataType="string"/>
    </xmlCellPr>
  </singleXmlCell>
  <singleXmlCell id="1061" xr6:uid="{A2A8E9C9-ED6C-4F8E-A3D6-31D94201831B}" r="J65" connectionId="0">
    <xmlCellPr id="1" xr6:uid="{CE45B3FC-8E81-4DD1-98B6-2898F9498FB5}" uniqueName="ESS">
      <xmlPr mapId="7" xpath="/MAKE/SA/SA_AEB_Car_to_Car/Verification/FCW/TestPoint4/@ESS" xmlDataType="string"/>
    </xmlCellPr>
  </singleXmlCell>
  <singleXmlCell id="1062" xr6:uid="{2D889E94-D501-4E11-8569-022971D20FDF}" r="K65" connectionId="0">
    <xmlCellPr id="1" xr6:uid="{8DC98AB0-BB60-44F7-9F7F-E4F0D4612122}" uniqueName="Prediction">
      <xmlPr mapId="7" xpath="/MAKE/SA/SA_AEB_Car_to_Car/Verification/FCW/TestPoint4/@Prediction" xmlDataType="string"/>
    </xmlCellPr>
  </singleXmlCell>
  <singleXmlCell id="1063" xr6:uid="{22DCF90F-9A01-43D7-95FC-5C2738F7F31C}" r="L65" connectionId="0">
    <xmlCellPr id="1" xr6:uid="{15F1D382-91C4-4E7E-BDE1-209D189B65A0}" uniqueName="Value">
      <xmlPr mapId="7" xpath="/MAKE/SA/SA_AEB_Car_to_Car/Verification/FCW/TestPoint4/@Value" xmlDataType="decimal"/>
    </xmlCellPr>
  </singleXmlCell>
  <singleXmlCell id="1064" xr6:uid="{9E57099C-BB7F-4405-8A93-F2E1C52F7236}" r="M65" connectionId="0">
    <xmlCellPr id="1" xr6:uid="{B40BBF0E-FFD1-470F-BAD9-E85E8CDE39FA}" uniqueName="Points">
      <xmlPr mapId="7" xpath="/MAKE/SA/SA_AEB_Car_to_Car/Verification/FCW/TestPoint4/@Points" xmlDataType="decimal"/>
    </xmlCellPr>
  </singleXmlCell>
  <singleXmlCell id="1065" xr6:uid="{8FAC4BEF-8D23-4257-86C0-E1DCCA03DD05}" r="I66" connectionId="0">
    <xmlCellPr id="1" xr6:uid="{4A1E26E9-CC44-4202-909C-F02731F79C49}" uniqueName="TestPoint">
      <xmlPr mapId="7" xpath="/MAKE/SA/SA_AEB_Car_to_Car/Verification/FCW/TestPoint5/@TestPoint" xmlDataType="string"/>
    </xmlCellPr>
  </singleXmlCell>
  <singleXmlCell id="1066" xr6:uid="{94D83030-73BC-457C-8D74-61B6613D327B}" r="J66" connectionId="0">
    <xmlCellPr id="1" xr6:uid="{0562A9D6-0059-4AAA-B771-F42737D2D5C9}" uniqueName="ESS">
      <xmlPr mapId="7" xpath="/MAKE/SA/SA_AEB_Car_to_Car/Verification/FCW/TestPoint5/@ESS" xmlDataType="string"/>
    </xmlCellPr>
  </singleXmlCell>
  <singleXmlCell id="1067" xr6:uid="{53E3A5BD-A0BB-44DA-898A-FE2E148BF198}" r="K66" connectionId="0">
    <xmlCellPr id="1" xr6:uid="{1F128B73-84B5-4260-B333-A9D316411D6A}" uniqueName="Prediction">
      <xmlPr mapId="7" xpath="/MAKE/SA/SA_AEB_Car_to_Car/Verification/FCW/TestPoint5/@Prediction" xmlDataType="string"/>
    </xmlCellPr>
  </singleXmlCell>
  <singleXmlCell id="1068" xr6:uid="{13DF5301-2356-4ED7-AA96-7FB4F1B45A45}" r="L66" connectionId="0">
    <xmlCellPr id="1" xr6:uid="{C9A56781-7D7A-4315-B10F-3257F5CA19EC}" uniqueName="Value">
      <xmlPr mapId="7" xpath="/MAKE/SA/SA_AEB_Car_to_Car/Verification/FCW/TestPoint5/@Value" xmlDataType="decimal"/>
    </xmlCellPr>
  </singleXmlCell>
  <singleXmlCell id="1069" xr6:uid="{A74062B7-C930-4294-BE73-8F93F6F1880A}" r="M66" connectionId="0">
    <xmlCellPr id="1" xr6:uid="{7CBD8128-70E8-4DD5-BE73-5B8DC7B4FC0E}" uniqueName="Points">
      <xmlPr mapId="7" xpath="/MAKE/SA/SA_AEB_Car_to_Car/Verification/FCW/TestPoint5/@Points" xmlDataType="decimal"/>
    </xmlCellPr>
  </singleXmlCell>
  <singleXmlCell id="1070" xr6:uid="{E78A9825-713C-4E04-B971-100193E7C779}" r="I67" connectionId="0">
    <xmlCellPr id="1" xr6:uid="{B4B949A3-864B-454E-AFBD-159DCCD9628C}" uniqueName="TestPoint">
      <xmlPr mapId="7" xpath="/MAKE/SA/SA_AEB_Car_to_Car/Verification/FCW/TestPoint6/@TestPoint" xmlDataType="string"/>
    </xmlCellPr>
  </singleXmlCell>
  <singleXmlCell id="1071" xr6:uid="{A27A40F4-25A4-43C4-84A9-1AB936426B4A}" r="J67" connectionId="0">
    <xmlCellPr id="1" xr6:uid="{648DBC2B-41BA-4115-8257-7DF85E63FBC2}" uniqueName="ESS">
      <xmlPr mapId="7" xpath="/MAKE/SA/SA_AEB_Car_to_Car/Verification/FCW/TestPoint6/@ESS" xmlDataType="string"/>
    </xmlCellPr>
  </singleXmlCell>
  <singleXmlCell id="1072" xr6:uid="{70445850-3621-4906-A027-1C773ABBAA81}" r="K67" connectionId="0">
    <xmlCellPr id="1" xr6:uid="{2B9FADBB-F805-4CED-B8B0-C5E1ECA42B68}" uniqueName="Prediction">
      <xmlPr mapId="7" xpath="/MAKE/SA/SA_AEB_Car_to_Car/Verification/FCW/TestPoint6/@Prediction" xmlDataType="string"/>
    </xmlCellPr>
  </singleXmlCell>
  <singleXmlCell id="1073" xr6:uid="{1391E0D5-900D-4432-A22E-3C4D18DEE06D}" r="L67" connectionId="0">
    <xmlCellPr id="1" xr6:uid="{F2343CC0-6367-4C5F-9ECC-EB7696FD21C9}" uniqueName="Value">
      <xmlPr mapId="7" xpath="/MAKE/SA/SA_AEB_Car_to_Car/Verification/FCW/TestPoint6/@Value" xmlDataType="decimal"/>
    </xmlCellPr>
  </singleXmlCell>
  <singleXmlCell id="1074" xr6:uid="{F8373E4A-08B3-42FC-837A-969BFFA1351F}" r="M67" connectionId="0">
    <xmlCellPr id="1" xr6:uid="{BE1FC5A0-E260-4D8A-885C-97DF155E57A4}" uniqueName="Points">
      <xmlPr mapId="7" xpath="/MAKE/SA/SA_AEB_Car_to_Car/Verification/FCW/TestPoint6/@Points" xmlDataType="decimal"/>
    </xmlCellPr>
  </singleXmlCell>
  <singleXmlCell id="1075" xr6:uid="{199D14CD-F559-4540-9EFB-DC5185AD1EEB}" r="I68" connectionId="0">
    <xmlCellPr id="1" xr6:uid="{BC4965B8-450C-48FD-9747-85DCFA1214D5}" uniqueName="TestPoint">
      <xmlPr mapId="7" xpath="/MAKE/SA/SA_AEB_Car_to_Car/Verification/FCW/TestPoint7/@TestPoint" xmlDataType="string"/>
    </xmlCellPr>
  </singleXmlCell>
  <singleXmlCell id="1076" xr6:uid="{27E01E29-A799-4B18-9463-1FED2DB74FD1}" r="J68" connectionId="0">
    <xmlCellPr id="1" xr6:uid="{AAD72929-ECFF-44FB-A4BB-7EA1FA93F28E}" uniqueName="ESS">
      <xmlPr mapId="7" xpath="/MAKE/SA/SA_AEB_Car_to_Car/Verification/FCW/TestPoint7/@ESS" xmlDataType="string"/>
    </xmlCellPr>
  </singleXmlCell>
  <singleXmlCell id="1077" xr6:uid="{0C7C06ED-FB62-4DA8-AFE6-1BF82A6F187D}" r="K68" connectionId="0">
    <xmlCellPr id="1" xr6:uid="{12FEFB66-0DD1-4416-B586-00A37BE80707}" uniqueName="Prediction">
      <xmlPr mapId="7" xpath="/MAKE/SA/SA_AEB_Car_to_Car/Verification/FCW/TestPoint7/@Prediction" xmlDataType="string"/>
    </xmlCellPr>
  </singleXmlCell>
  <singleXmlCell id="1078" xr6:uid="{0D800F5F-A105-493F-A934-AD13314D6DF5}" r="L68" connectionId="0">
    <xmlCellPr id="1" xr6:uid="{48572D19-169D-426B-94E3-B6BE1DF683C6}" uniqueName="Value">
      <xmlPr mapId="7" xpath="/MAKE/SA/SA_AEB_Car_to_Car/Verification/FCW/TestPoint7/@Value" xmlDataType="decimal"/>
    </xmlCellPr>
  </singleXmlCell>
  <singleXmlCell id="1079" xr6:uid="{4E00A05F-1174-4D9A-BF4B-B57BF88A6507}" r="M68" connectionId="0">
    <xmlCellPr id="1" xr6:uid="{C22C1DB5-1FE0-4C3F-BDA6-F123B49AA15C}" uniqueName="Points">
      <xmlPr mapId="7" xpath="/MAKE/SA/SA_AEB_Car_to_Car/Verification/FCW/TestPoint7/@Points" xmlDataType="decimal"/>
    </xmlCellPr>
  </singleXmlCell>
  <singleXmlCell id="1080" xr6:uid="{40AF6AA4-E5A6-41CE-8FB5-7962D199CEBE}" r="I69" connectionId="0">
    <xmlCellPr id="1" xr6:uid="{7DAD3AF4-662B-4AE0-A52E-4625610471C0}" uniqueName="TestPoint">
      <xmlPr mapId="7" xpath="/MAKE/SA/SA_AEB_Car_to_Car/Verification/FCW/TestPoint8/@TestPoint" xmlDataType="string"/>
    </xmlCellPr>
  </singleXmlCell>
  <singleXmlCell id="1081" xr6:uid="{7FBC4F79-F9AE-421E-B37B-3E5FE9CA40B4}" r="J69" connectionId="0">
    <xmlCellPr id="1" xr6:uid="{283F7C6D-6620-4BCC-9F55-6347A6A145D2}" uniqueName="ESS">
      <xmlPr mapId="7" xpath="/MAKE/SA/SA_AEB_Car_to_Car/Verification/FCW/TestPoint8/@ESS" xmlDataType="string"/>
    </xmlCellPr>
  </singleXmlCell>
  <singleXmlCell id="1082" xr6:uid="{E7101124-DB5B-49B8-9288-5BCFA75E1635}" r="K69" connectionId="0">
    <xmlCellPr id="1" xr6:uid="{8BD647D4-8760-4F5E-8053-0D0586C4F815}" uniqueName="Prediction">
      <xmlPr mapId="7" xpath="/MAKE/SA/SA_AEB_Car_to_Car/Verification/FCW/TestPoint8/@Prediction" xmlDataType="string"/>
    </xmlCellPr>
  </singleXmlCell>
  <singleXmlCell id="1083" xr6:uid="{0592490E-1582-4DFC-8C13-90E77DB09463}" r="L69" connectionId="0">
    <xmlCellPr id="1" xr6:uid="{EC356033-B2B2-4243-85B0-1F771DB1105A}" uniqueName="Value">
      <xmlPr mapId="7" xpath="/MAKE/SA/SA_AEB_Car_to_Car/Verification/FCW/TestPoint8/@Value" xmlDataType="decimal"/>
    </xmlCellPr>
  </singleXmlCell>
  <singleXmlCell id="1084" xr6:uid="{B47D3596-24B8-45AA-8CB0-19E97AE2AF40}" r="M69" connectionId="0">
    <xmlCellPr id="1" xr6:uid="{E09C67A6-1B97-4FE3-AA85-AA2F2AC0F854}" uniqueName="Points">
      <xmlPr mapId="7" xpath="/MAKE/SA/SA_AEB_Car_to_Car/Verification/FCW/TestPoint8/@Points" xmlDataType="decimal"/>
    </xmlCellPr>
  </singleXmlCell>
  <singleXmlCell id="1085" xr6:uid="{6F5121F8-D97F-4956-B818-E8F7F0102EAB}" r="I70" connectionId="0">
    <xmlCellPr id="1" xr6:uid="{C35AC4F3-0ECC-4DBD-9F45-F72481AB4060}" uniqueName="TestPoint">
      <xmlPr mapId="7" xpath="/MAKE/SA/SA_AEB_Car_to_Car/Verification/FCW/TestPoint9/@TestPoint" xmlDataType="string"/>
    </xmlCellPr>
  </singleXmlCell>
  <singleXmlCell id="1086" xr6:uid="{0DB5B266-3D1C-42B7-B762-CC354C64059F}" r="J70" connectionId="0">
    <xmlCellPr id="1" xr6:uid="{2DD3ADA5-5827-457D-8FAC-C49D2CBDBE6B}" uniqueName="ESS">
      <xmlPr mapId="7" xpath="/MAKE/SA/SA_AEB_Car_to_Car/Verification/FCW/TestPoint9/@ESS" xmlDataType="string"/>
    </xmlCellPr>
  </singleXmlCell>
  <singleXmlCell id="1087" xr6:uid="{E721A160-332A-4B7D-BE25-375024626808}" r="K70" connectionId="0">
    <xmlCellPr id="1" xr6:uid="{ABBF4294-1293-4065-9902-E5BC7685E73A}" uniqueName="Prediction">
      <xmlPr mapId="7" xpath="/MAKE/SA/SA_AEB_Car_to_Car/Verification/FCW/TestPoint9/@Prediction" xmlDataType="string"/>
    </xmlCellPr>
  </singleXmlCell>
  <singleXmlCell id="1088" xr6:uid="{CCCA887D-F62A-4A1C-A99E-E711F3715D70}" r="L70" connectionId="0">
    <xmlCellPr id="1" xr6:uid="{1FEB8B1F-415B-486B-AC3D-8E0F9D8DE260}" uniqueName="Value">
      <xmlPr mapId="7" xpath="/MAKE/SA/SA_AEB_Car_to_Car/Verification/FCW/TestPoint9/@Value" xmlDataType="decimal"/>
    </xmlCellPr>
  </singleXmlCell>
  <singleXmlCell id="1089" xr6:uid="{FA47E0D1-5FA9-4FE6-95F2-C27078FBB673}" r="M70" connectionId="0">
    <xmlCellPr id="1" xr6:uid="{3D8E627C-9FBF-4279-B735-F3D9D8752F1E}" uniqueName="Points">
      <xmlPr mapId="7" xpath="/MAKE/SA/SA_AEB_Car_to_Car/Verification/FCW/TestPoint9/@Points" xmlDataType="decimal"/>
    </xmlCellPr>
  </singleXmlCell>
  <singleXmlCell id="1090" xr6:uid="{C91A28C1-F387-41D9-999A-92ABC8667538}" r="I71" connectionId="0">
    <xmlCellPr id="1" xr6:uid="{FB9C02A6-6D2F-48ED-B1BA-CC6C8232C2CB}" uniqueName="TestPoint">
      <xmlPr mapId="7" xpath="/MAKE/SA/SA_AEB_Car_to_Car/Verification/FCW/TestPoint10/@TestPoint" xmlDataType="string"/>
    </xmlCellPr>
  </singleXmlCell>
  <singleXmlCell id="1091" xr6:uid="{922BA14D-CD77-4DE6-9ED1-845689B713D2}" r="J71" connectionId="0">
    <xmlCellPr id="1" xr6:uid="{C430DF8F-637F-4171-83A7-3F8728898399}" uniqueName="ESS">
      <xmlPr mapId="7" xpath="/MAKE/SA/SA_AEB_Car_to_Car/Verification/FCW/TestPoint10/@ESS" xmlDataType="string"/>
    </xmlCellPr>
  </singleXmlCell>
  <singleXmlCell id="1092" xr6:uid="{97AC0E13-5180-40BA-8903-2680BF36039E}" r="K71" connectionId="0">
    <xmlCellPr id="1" xr6:uid="{1239CD86-7ECE-4E14-8073-455A0308DC39}" uniqueName="Prediction">
      <xmlPr mapId="7" xpath="/MAKE/SA/SA_AEB_Car_to_Car/Verification/FCW/TestPoint10/@Prediction" xmlDataType="string"/>
    </xmlCellPr>
  </singleXmlCell>
  <singleXmlCell id="1093" xr6:uid="{CB1F47D3-FF4E-4AB2-9E3F-E7CC6B068B1A}" r="L71" connectionId="0">
    <xmlCellPr id="1" xr6:uid="{642B586A-1EB2-4A89-93B5-EE47DF39BBDD}" uniqueName="Value">
      <xmlPr mapId="7" xpath="/MAKE/SA/SA_AEB_Car_to_Car/Verification/FCW/TestPoint10/@Value" xmlDataType="decimal"/>
    </xmlCellPr>
  </singleXmlCell>
  <singleXmlCell id="1094" xr6:uid="{88D398B6-628C-49D9-8873-2C78771055E1}" r="M71" connectionId="0">
    <xmlCellPr id="1" xr6:uid="{2CDE0614-F5C9-463E-9817-7262BFFE66CB}" uniqueName="Points">
      <xmlPr mapId="7" xpath="/MAKE/SA/SA_AEB_Car_to_Car/Verification/FCW/TestPoint10/@Points" xmlDataType="decimal"/>
    </xmlCellPr>
  </singleXmlCell>
  <singleXmlCell id="1095" xr6:uid="{4494AA65-1AF8-48CC-9205-78F9E54CBA7D}" r="I72" connectionId="0">
    <xmlCellPr id="1" xr6:uid="{42552D00-2198-4184-AC83-6984CDC7BEDE}" uniqueName="TestPoint">
      <xmlPr mapId="7" xpath="/MAKE/SA/SA_AEB_Car_to_Car/Verification/FCW/TestPoint11/@TestPoint" xmlDataType="string"/>
    </xmlCellPr>
  </singleXmlCell>
  <singleXmlCell id="1096" xr6:uid="{8D6ACB0E-06BB-4346-8054-A02F9BABCE01}" r="J72" connectionId="0">
    <xmlCellPr id="1" xr6:uid="{9B92D3F4-AE67-4DBC-B623-F50C7F26E7E5}" uniqueName="ESS">
      <xmlPr mapId="7" xpath="/MAKE/SA/SA_AEB_Car_to_Car/Verification/FCW/TestPoint11/@ESS" xmlDataType="string"/>
    </xmlCellPr>
  </singleXmlCell>
  <singleXmlCell id="1097" xr6:uid="{A9F47E41-8AEC-44DA-A399-AFAC231D486C}" r="K72" connectionId="0">
    <xmlCellPr id="1" xr6:uid="{489625C7-1C11-4F36-9F1C-66E416B20EBD}" uniqueName="Prediction">
      <xmlPr mapId="7" xpath="/MAKE/SA/SA_AEB_Car_to_Car/Verification/FCW/TestPoint11/@Prediction" xmlDataType="string"/>
    </xmlCellPr>
  </singleXmlCell>
  <singleXmlCell id="1098" xr6:uid="{8C04088F-FE70-4830-B314-E284001A4257}" r="L72" connectionId="0">
    <xmlCellPr id="1" xr6:uid="{843E0337-F42A-47D1-AE79-D475DF3B8AB6}" uniqueName="Value">
      <xmlPr mapId="7" xpath="/MAKE/SA/SA_AEB_Car_to_Car/Verification/FCW/TestPoint11/@Value" xmlDataType="decimal"/>
    </xmlCellPr>
  </singleXmlCell>
  <singleXmlCell id="1099" xr6:uid="{A85AB3C1-BD28-4EB2-A3BD-79126A059EE3}" r="M72" connectionId="0">
    <xmlCellPr id="1" xr6:uid="{D24C7684-0862-4B65-8325-0B4007C51063}" uniqueName="Points">
      <xmlPr mapId="7" xpath="/MAKE/SA/SA_AEB_Car_to_Car/Verification/FCW/TestPoint11/@Points" xmlDataType="decimal"/>
    </xmlCellPr>
  </singleXmlCell>
  <singleXmlCell id="1100" xr6:uid="{544CE9F3-9B5E-4E99-AF08-8E779CEF76AA}" r="I73" connectionId="0">
    <xmlCellPr id="1" xr6:uid="{0EE844A6-4E64-489F-8660-D0D0283288E4}" uniqueName="TestPoint">
      <xmlPr mapId="7" xpath="/MAKE/SA/SA_AEB_Car_to_Car/Verification/FCW/TestPoint12/@TestPoint" xmlDataType="string"/>
    </xmlCellPr>
  </singleXmlCell>
  <singleXmlCell id="1101" xr6:uid="{C57F4747-F34D-48FE-8A7A-5DFCA7320F21}" r="J73" connectionId="0">
    <xmlCellPr id="1" xr6:uid="{3CA36B6E-C5EF-437B-81FF-97CD0461FF2C}" uniqueName="ESS">
      <xmlPr mapId="7" xpath="/MAKE/SA/SA_AEB_Car_to_Car/Verification/FCW/TestPoint12/@ESS" xmlDataType="string"/>
    </xmlCellPr>
  </singleXmlCell>
  <singleXmlCell id="1102" xr6:uid="{F30256B3-F446-4FE1-867D-D771816C689C}" r="K73" connectionId="0">
    <xmlCellPr id="1" xr6:uid="{F7EC588C-4055-4B8F-8E23-9D47D2485BB1}" uniqueName="Prediction">
      <xmlPr mapId="7" xpath="/MAKE/SA/SA_AEB_Car_to_Car/Verification/FCW/TestPoint12/@Prediction" xmlDataType="string"/>
    </xmlCellPr>
  </singleXmlCell>
  <singleXmlCell id="1103" xr6:uid="{584CDD01-12F9-4951-BA29-8B7BE173CE8D}" r="L73" connectionId="0">
    <xmlCellPr id="1" xr6:uid="{C01BFD85-057D-4312-A5D8-E8F82F98F26A}" uniqueName="Value">
      <xmlPr mapId="7" xpath="/MAKE/SA/SA_AEB_Car_to_Car/Verification/FCW/TestPoint12/@Value" xmlDataType="decimal"/>
    </xmlCellPr>
  </singleXmlCell>
  <singleXmlCell id="1104" xr6:uid="{51559B98-E31A-40B5-8606-E243076DCA60}" r="M73" connectionId="0">
    <xmlCellPr id="1" xr6:uid="{DB6C8D3F-C39D-48F3-80CC-2F9E3B5F95DD}" uniqueName="Points">
      <xmlPr mapId="7" xpath="/MAKE/SA/SA_AEB_Car_to_Car/Verification/FCW/TestPoint12/@Points" xmlDataType="decimal"/>
    </xmlCellPr>
  </singleXmlCell>
  <singleXmlCell id="1105" xr6:uid="{5AB2E1B5-036C-422E-BF73-8782E21BE4C8}" r="I74" connectionId="0">
    <xmlCellPr id="1" xr6:uid="{EE0E6DA1-84F4-488C-A96A-95E61CDB886B}" uniqueName="TestPoint">
      <xmlPr mapId="7" xpath="/MAKE/SA/SA_AEB_Car_to_Car/Verification/FCW/TestPoint13/@TestPoint" xmlDataType="string"/>
    </xmlCellPr>
  </singleXmlCell>
  <singleXmlCell id="1106" xr6:uid="{C2605BEA-C4DD-4773-980A-0C1A231D1547}" r="J74" connectionId="0">
    <xmlCellPr id="1" xr6:uid="{1FDA4583-6EB0-4F58-AE30-9B28CE0414B5}" uniqueName="ESS">
      <xmlPr mapId="7" xpath="/MAKE/SA/SA_AEB_Car_to_Car/Verification/FCW/TestPoint13/@ESS" xmlDataType="string"/>
    </xmlCellPr>
  </singleXmlCell>
  <singleXmlCell id="1107" xr6:uid="{22E63B31-6F38-447E-952B-5044EEB55522}" r="K74" connectionId="0">
    <xmlCellPr id="1" xr6:uid="{BDD5A6E4-8436-415B-945B-6F3B0D314772}" uniqueName="Prediction">
      <xmlPr mapId="7" xpath="/MAKE/SA/SA_AEB_Car_to_Car/Verification/FCW/TestPoint13/@Prediction" xmlDataType="string"/>
    </xmlCellPr>
  </singleXmlCell>
  <singleXmlCell id="1108" xr6:uid="{93AEF6B3-FC06-47B7-A461-306204D98780}" r="L74" connectionId="0">
    <xmlCellPr id="1" xr6:uid="{F2651A75-6664-459C-8BF7-3495FFD949BB}" uniqueName="Value">
      <xmlPr mapId="7" xpath="/MAKE/SA/SA_AEB_Car_to_Car/Verification/FCW/TestPoint13/@Value" xmlDataType="decimal"/>
    </xmlCellPr>
  </singleXmlCell>
  <singleXmlCell id="1109" xr6:uid="{80ABEE1F-4850-4006-A2FD-73C63D4B903C}" r="M74" connectionId="0">
    <xmlCellPr id="1" xr6:uid="{034FA303-F791-453B-91A7-52A099B3C747}" uniqueName="Points">
      <xmlPr mapId="7" xpath="/MAKE/SA/SA_AEB_Car_to_Car/Verification/FCW/TestPoint13/@Points" xmlDataType="decimal"/>
    </xmlCellPr>
  </singleXmlCell>
  <singleXmlCell id="1110" xr6:uid="{7F324062-E6FA-4873-951B-87F0D56B01BC}" r="I75" connectionId="0">
    <xmlCellPr id="1" xr6:uid="{C2159C8C-8679-4674-9408-28BCDCF71825}" uniqueName="TestPoint">
      <xmlPr mapId="7" xpath="/MAKE/SA/SA_AEB_Car_to_Car/Verification/FCW/TestPoint14/@TestPoint" xmlDataType="string"/>
    </xmlCellPr>
  </singleXmlCell>
  <singleXmlCell id="1111" xr6:uid="{18F6C39A-A485-4A0F-AFF7-B001C6C2688E}" r="J75" connectionId="0">
    <xmlCellPr id="1" xr6:uid="{7F5C341C-65BC-4200-BA4C-54B023EA2999}" uniqueName="ESS">
      <xmlPr mapId="7" xpath="/MAKE/SA/SA_AEB_Car_to_Car/Verification/FCW/TestPoint14/@ESS" xmlDataType="string"/>
    </xmlCellPr>
  </singleXmlCell>
  <singleXmlCell id="1112" xr6:uid="{FF749518-EC65-4628-A7F1-AACE9648A51C}" r="K75" connectionId="0">
    <xmlCellPr id="1" xr6:uid="{D6605FC6-9509-4CF0-B800-280E21FC2285}" uniqueName="Prediction">
      <xmlPr mapId="7" xpath="/MAKE/SA/SA_AEB_Car_to_Car/Verification/FCW/TestPoint14/@Prediction" xmlDataType="string"/>
    </xmlCellPr>
  </singleXmlCell>
  <singleXmlCell id="1113" xr6:uid="{136D9EE3-95B6-43B2-976F-A82EE3DC94F2}" r="L75" connectionId="0">
    <xmlCellPr id="1" xr6:uid="{8BFF04B7-2872-4E55-93D3-1BDEFC96B1D4}" uniqueName="Value">
      <xmlPr mapId="7" xpath="/MAKE/SA/SA_AEB_Car_to_Car/Verification/FCW/TestPoint14/@Value" xmlDataType="decimal"/>
    </xmlCellPr>
  </singleXmlCell>
  <singleXmlCell id="1114" xr6:uid="{6A4281DA-A927-487D-AD05-57445FDFD287}" r="M75" connectionId="0">
    <xmlCellPr id="1" xr6:uid="{101582F1-E5C7-471A-A38A-63F45BC25530}" uniqueName="Points">
      <xmlPr mapId="7" xpath="/MAKE/SA/SA_AEB_Car_to_Car/Verification/FCW/TestPoint14/@Points" xmlDataType="decimal"/>
    </xmlCellPr>
  </singleXmlCell>
  <singleXmlCell id="1115" xr6:uid="{4B9F8BBB-0C77-4C69-9405-D8E9E708D295}" r="I76" connectionId="0">
    <xmlCellPr id="1" xr6:uid="{F2964A2B-B3FD-422E-9B6A-0391C4C6E0CC}" uniqueName="TestPoint">
      <xmlPr mapId="7" xpath="/MAKE/SA/SA_AEB_Car_to_Car/Verification/FCW/TestPoint15/@TestPoint" xmlDataType="string"/>
    </xmlCellPr>
  </singleXmlCell>
  <singleXmlCell id="1116" xr6:uid="{28B8B5B5-21E6-4B43-9A9D-BA94078A48EE}" r="J76" connectionId="0">
    <xmlCellPr id="1" xr6:uid="{057DDBD5-E0BE-4A53-95E3-2470E523DA71}" uniqueName="ESS">
      <xmlPr mapId="7" xpath="/MAKE/SA/SA_AEB_Car_to_Car/Verification/FCW/TestPoint15/@ESS" xmlDataType="string"/>
    </xmlCellPr>
  </singleXmlCell>
  <singleXmlCell id="1117" xr6:uid="{7F1167D4-F1FB-4116-A4F3-45D2D0C0CC18}" r="K76" connectionId="0">
    <xmlCellPr id="1" xr6:uid="{79B650A6-D10F-4F85-8273-9C92ADA3D51A}" uniqueName="Prediction">
      <xmlPr mapId="7" xpath="/MAKE/SA/SA_AEB_Car_to_Car/Verification/FCW/TestPoint15/@Prediction" xmlDataType="string"/>
    </xmlCellPr>
  </singleXmlCell>
  <singleXmlCell id="1118" xr6:uid="{64A90E54-3169-4C66-850A-564ECAD24AF4}" r="L76" connectionId="0">
    <xmlCellPr id="1" xr6:uid="{3A2C1D75-0C47-4D1D-B336-5ACCD1BC23A6}" uniqueName="Value">
      <xmlPr mapId="7" xpath="/MAKE/SA/SA_AEB_Car_to_Car/Verification/FCW/TestPoint15/@Value" xmlDataType="decimal"/>
    </xmlCellPr>
  </singleXmlCell>
  <singleXmlCell id="1119" xr6:uid="{53FDE965-FC96-4216-A7F5-A007FC49454D}" r="M76" connectionId="0">
    <xmlCellPr id="1" xr6:uid="{86206B7C-E7C8-49CD-B55C-1F4F6E3025CC}" uniqueName="Points">
      <xmlPr mapId="7" xpath="/MAKE/SA/SA_AEB_Car_to_Car/Verification/FCW/TestPoint15/@Points" xmlDataType="decimal"/>
    </xmlCellPr>
  </singleXmlCell>
  <singleXmlCell id="1120" xr6:uid="{833701B0-264B-457C-9B14-DF8A40A399B9}" r="I77" connectionId="0">
    <xmlCellPr id="1" xr6:uid="{940ACED1-32D3-4815-A85D-CF1523037A06}" uniqueName="TestPoint">
      <xmlPr mapId="7" xpath="/MAKE/SA/SA_AEB_Car_to_Car/Verification/FCW/TestPoint16/@TestPoint" xmlDataType="string"/>
    </xmlCellPr>
  </singleXmlCell>
  <singleXmlCell id="1121" xr6:uid="{E2A8AD9E-2ABF-4A6A-8605-2C8DBF43C172}" r="J77" connectionId="0">
    <xmlCellPr id="1" xr6:uid="{C08513D0-C621-4262-B15D-2E43E4C54284}" uniqueName="ESS">
      <xmlPr mapId="7" xpath="/MAKE/SA/SA_AEB_Car_to_Car/Verification/FCW/TestPoint16/@ESS" xmlDataType="string"/>
    </xmlCellPr>
  </singleXmlCell>
  <singleXmlCell id="1122" xr6:uid="{01BAB5BF-E6D4-4BAD-A002-5ADB5651833F}" r="K77" connectionId="0">
    <xmlCellPr id="1" xr6:uid="{4108675B-4FFB-44CA-B72F-E7962900D68A}" uniqueName="Prediction">
      <xmlPr mapId="7" xpath="/MAKE/SA/SA_AEB_Car_to_Car/Verification/FCW/TestPoint16/@Prediction" xmlDataType="string"/>
    </xmlCellPr>
  </singleXmlCell>
  <singleXmlCell id="1123" xr6:uid="{F3243A80-86F1-47FB-85E3-D77472E874A6}" r="L77" connectionId="0">
    <xmlCellPr id="1" xr6:uid="{25ABD55D-9EB0-444A-98F8-73944C24D1EE}" uniqueName="Value">
      <xmlPr mapId="7" xpath="/MAKE/SA/SA_AEB_Car_to_Car/Verification/FCW/TestPoint16/@Value" xmlDataType="decimal"/>
    </xmlCellPr>
  </singleXmlCell>
  <singleXmlCell id="1124" xr6:uid="{9D8B401D-92E9-4995-8791-985EE9E70C00}" r="M77" connectionId="0">
    <xmlCellPr id="1" xr6:uid="{2DFC0079-51F4-487B-81F0-BFF5A5530D95}" uniqueName="Points">
      <xmlPr mapId="7" xpath="/MAKE/SA/SA_AEB_Car_to_Car/Verification/FCW/TestPoint16/@Points" xmlDataType="decimal"/>
    </xmlCellPr>
  </singleXmlCell>
  <singleXmlCell id="1125" xr6:uid="{36DA3F1B-113D-4EF7-8792-AB18AE9C7320}" r="I78" connectionId="0">
    <xmlCellPr id="1" xr6:uid="{BE8F44B2-EF6A-45F2-83A8-71765F8108CA}" uniqueName="TestPoint">
      <xmlPr mapId="7" xpath="/MAKE/SA/SA_AEB_Car_to_Car/Verification/FCW/TestPoint17/@TestPoint" xmlDataType="string"/>
    </xmlCellPr>
  </singleXmlCell>
  <singleXmlCell id="1126" xr6:uid="{FB345602-BAFD-4CE5-AF76-0DDB69C42DE9}" r="J78" connectionId="0">
    <xmlCellPr id="1" xr6:uid="{02EF143A-B8BA-4FFE-AE61-97220FC5716F}" uniqueName="ESS">
      <xmlPr mapId="7" xpath="/MAKE/SA/SA_AEB_Car_to_Car/Verification/FCW/TestPoint17/@ESS" xmlDataType="string"/>
    </xmlCellPr>
  </singleXmlCell>
  <singleXmlCell id="1127" xr6:uid="{6A4A8DE5-5EED-4D62-9099-2740F5327231}" r="K78" connectionId="0">
    <xmlCellPr id="1" xr6:uid="{877DF7EB-F726-4D05-BC41-3B6CBC54EF57}" uniqueName="Prediction">
      <xmlPr mapId="7" xpath="/MAKE/SA/SA_AEB_Car_to_Car/Verification/FCW/TestPoint17/@Prediction" xmlDataType="string"/>
    </xmlCellPr>
  </singleXmlCell>
  <singleXmlCell id="1128" xr6:uid="{CBF9A9C7-E614-409D-B93B-861C3127F1F0}" r="L78" connectionId="0">
    <xmlCellPr id="1" xr6:uid="{5C769802-2AD8-4C88-BAF9-E3C6FA3D1793}" uniqueName="Value">
      <xmlPr mapId="7" xpath="/MAKE/SA/SA_AEB_Car_to_Car/Verification/FCW/TestPoint17/@Value" xmlDataType="decimal"/>
    </xmlCellPr>
  </singleXmlCell>
  <singleXmlCell id="1129" xr6:uid="{301DFB21-80A7-44D0-B103-4C47C05B9C0B}" r="M78" connectionId="0">
    <xmlCellPr id="1" xr6:uid="{17EA26B6-A073-458C-8648-D0E8CE978359}" uniqueName="Points">
      <xmlPr mapId="7" xpath="/MAKE/SA/SA_AEB_Car_to_Car/Verification/FCW/TestPoint17/@Points" xmlDataType="decimal"/>
    </xmlCellPr>
  </singleXmlCell>
  <singleXmlCell id="1130" xr6:uid="{924E65F5-B8F4-417D-8C0C-82B5BC65BC0F}" r="I79" connectionId="0">
    <xmlCellPr id="1" xr6:uid="{A2A3437C-7159-445B-9CED-0C63233CC354}" uniqueName="TestPoint">
      <xmlPr mapId="7" xpath="/MAKE/SA/SA_AEB_Car_to_Car/Verification/FCW/TestPoint18/@TestPoint" xmlDataType="string"/>
    </xmlCellPr>
  </singleXmlCell>
  <singleXmlCell id="1131" xr6:uid="{DF63F621-CC95-487F-A38E-30256F07CD4A}" r="J79" connectionId="0">
    <xmlCellPr id="1" xr6:uid="{31803AD4-B927-4530-BA0E-3250AF3FB167}" uniqueName="ESS">
      <xmlPr mapId="7" xpath="/MAKE/SA/SA_AEB_Car_to_Car/Verification/FCW/TestPoint18/@ESS" xmlDataType="string"/>
    </xmlCellPr>
  </singleXmlCell>
  <singleXmlCell id="1132" xr6:uid="{14213A5B-3731-4CC1-9F7E-B378AACF209C}" r="K79" connectionId="0">
    <xmlCellPr id="1" xr6:uid="{AE2720A1-85C6-4D4F-8A8A-84548456A21A}" uniqueName="Prediction">
      <xmlPr mapId="7" xpath="/MAKE/SA/SA_AEB_Car_to_Car/Verification/FCW/TestPoint18/@Prediction" xmlDataType="string"/>
    </xmlCellPr>
  </singleXmlCell>
  <singleXmlCell id="1133" xr6:uid="{09B02368-D3E1-473A-906E-36ACB9743B78}" r="L79" connectionId="0">
    <xmlCellPr id="1" xr6:uid="{5BB6ED95-42BE-4504-A25D-F5BC667A2F4A}" uniqueName="Value">
      <xmlPr mapId="7" xpath="/MAKE/SA/SA_AEB_Car_to_Car/Verification/FCW/TestPoint18/@Value" xmlDataType="decimal"/>
    </xmlCellPr>
  </singleXmlCell>
  <singleXmlCell id="1134" xr6:uid="{72600F4E-7A3C-41F4-82A3-13A4A6608AD2}" r="M79" connectionId="0">
    <xmlCellPr id="1" xr6:uid="{D91B45F6-4DC4-4F0B-B9A1-520B3BF1E4FB}" uniqueName="Points">
      <xmlPr mapId="7" xpath="/MAKE/SA/SA_AEB_Car_to_Car/Verification/FCW/TestPoint18/@Points" xmlDataType="decimal"/>
    </xmlCellPr>
  </singleXmlCell>
  <singleXmlCell id="1135" xr6:uid="{5FD20F4C-6524-4F7D-B231-26E81BA4391D}" r="I80" connectionId="0">
    <xmlCellPr id="1" xr6:uid="{AC1B2553-631D-44C4-BFC7-657EDFC274E0}" uniqueName="TestPoint">
      <xmlPr mapId="7" xpath="/MAKE/SA/SA_AEB_Car_to_Car/Verification/FCW/TestPoint19/@TestPoint" xmlDataType="string"/>
    </xmlCellPr>
  </singleXmlCell>
  <singleXmlCell id="1136" xr6:uid="{2D8EE10B-8DEA-4B2B-869D-4242278D16A0}" r="J80" connectionId="0">
    <xmlCellPr id="1" xr6:uid="{FC2F6360-E05A-4341-BDA5-BA1FA877C06B}" uniqueName="ESS">
      <xmlPr mapId="7" xpath="/MAKE/SA/SA_AEB_Car_to_Car/Verification/FCW/TestPoint19/@ESS" xmlDataType="string"/>
    </xmlCellPr>
  </singleXmlCell>
  <singleXmlCell id="1137" xr6:uid="{44FB3CAA-1E73-4DD7-9598-98EF0B9ECB38}" r="K80" connectionId="0">
    <xmlCellPr id="1" xr6:uid="{597DDD82-2708-4D26-8149-4224198DDE0C}" uniqueName="Prediction">
      <xmlPr mapId="7" xpath="/MAKE/SA/SA_AEB_Car_to_Car/Verification/FCW/TestPoint19/@Prediction" xmlDataType="string"/>
    </xmlCellPr>
  </singleXmlCell>
  <singleXmlCell id="1138" xr6:uid="{32D05365-8686-47B5-9F8E-56EEAF4F7BC9}" r="L80" connectionId="0">
    <xmlCellPr id="1" xr6:uid="{F3BA7E6D-2544-4C4C-8022-9D2176E7F997}" uniqueName="Value">
      <xmlPr mapId="7" xpath="/MAKE/SA/SA_AEB_Car_to_Car/Verification/FCW/TestPoint19/@Value" xmlDataType="decimal"/>
    </xmlCellPr>
  </singleXmlCell>
  <singleXmlCell id="1139" xr6:uid="{E409796A-424B-4426-989B-814B705383DD}" r="M80" connectionId="0">
    <xmlCellPr id="1" xr6:uid="{01D3606F-9923-478F-8D07-DB1552562F32}" uniqueName="Points">
      <xmlPr mapId="7" xpath="/MAKE/SA/SA_AEB_Car_to_Car/Verification/FCW/TestPoint19/@Points" xmlDataType="decimal"/>
    </xmlCellPr>
  </singleXmlCell>
  <singleXmlCell id="1140" xr6:uid="{E049B15C-92BC-43E8-B063-7D3CF6253FF8}" r="I81" connectionId="0">
    <xmlCellPr id="1" xr6:uid="{82CD18B6-B2A2-4B19-9BC6-BFBDF71EE1B7}" uniqueName="TestPoint">
      <xmlPr mapId="7" xpath="/MAKE/SA/SA_AEB_Car_to_Car/Verification/FCW/TestPoint20/@TestPoint" xmlDataType="string"/>
    </xmlCellPr>
  </singleXmlCell>
  <singleXmlCell id="1141" xr6:uid="{F4557371-23B7-459D-ABE9-FD3935C6B797}" r="J81" connectionId="0">
    <xmlCellPr id="1" xr6:uid="{B5D58F88-8189-47A9-B69E-CF81A2887BD9}" uniqueName="ESS">
      <xmlPr mapId="7" xpath="/MAKE/SA/SA_AEB_Car_to_Car/Verification/FCW/TestPoint20/@ESS" xmlDataType="string"/>
    </xmlCellPr>
  </singleXmlCell>
  <singleXmlCell id="1142" xr6:uid="{6C51E99A-3A47-4E93-B99D-FC56D2B8457A}" r="K81" connectionId="0">
    <xmlCellPr id="1" xr6:uid="{810B8B0F-A1AB-4BE0-AD92-4D4E866BC5D4}" uniqueName="Prediction">
      <xmlPr mapId="7" xpath="/MAKE/SA/SA_AEB_Car_to_Car/Verification/FCW/TestPoint20/@Prediction" xmlDataType="string"/>
    </xmlCellPr>
  </singleXmlCell>
  <singleXmlCell id="1143" xr6:uid="{12CE9E7A-E0FB-4E6B-98C7-B0BDCF34ADB2}" r="L81" connectionId="0">
    <xmlCellPr id="1" xr6:uid="{9C9E46A7-2174-4953-8B86-9DD46C74C0FE}" uniqueName="Value">
      <xmlPr mapId="7" xpath="/MAKE/SA/SA_AEB_Car_to_Car/Verification/FCW/TestPoint20/@Value" xmlDataType="decimal"/>
    </xmlCellPr>
  </singleXmlCell>
  <singleXmlCell id="1144" xr6:uid="{2711D939-6AA4-42AA-A960-F84F44C54824}" r="M81" connectionId="0">
    <xmlCellPr id="1" xr6:uid="{9F2A2C8F-037A-47A3-AAB9-D6C639464942}" uniqueName="Points">
      <xmlPr mapId="7" xpath="/MAKE/SA/SA_AEB_Car_to_Car/Verification/FCW/TestPoint20/@Points" xmlDataType="decimal"/>
    </xmlCellPr>
  </singleXmlCell>
  <singleXmlCell id="1145" xr6:uid="{0C8247A6-3B2A-44ED-BB24-741A6328912F}" r="F90" connectionId="0">
    <xmlCellPr id="1" xr6:uid="{D5F1DF6E-A0C2-4F1B-A03A-C73A68BBFF1C}" uniqueName="GVT_30">
      <xmlPr mapId="7" xpath="/MAKE/SA/SA_AEB_Car_to_Car/CCFtap/_10_kmh/@GVT_30" xmlDataType="string"/>
    </xmlCellPr>
  </singleXmlCell>
  <singleXmlCell id="1146" xr6:uid="{EA38454A-5657-4E39-8C3A-76BEED222274}" r="G90" connectionId="0">
    <xmlCellPr id="1" xr6:uid="{78C3EBFB-2699-41CB-85F7-D8AB2344349F}" uniqueName="GVT_45">
      <xmlPr mapId="7" xpath="/MAKE/SA/SA_AEB_Car_to_Car/CCFtap/_10_kmh/@GVT_45" xmlDataType="string"/>
    </xmlCellPr>
  </singleXmlCell>
  <singleXmlCell id="1147" xr6:uid="{14B42DA4-D095-446E-B107-18C4E8A4109B}" r="H90" connectionId="0">
    <xmlCellPr id="1" xr6:uid="{40B54D15-8D90-4640-BE27-99CD584F5171}" uniqueName="GVT_55">
      <xmlPr mapId="7" xpath="/MAKE/SA/SA_AEB_Car_to_Car/CCFtap/_10_kmh/@GVT_55" xmlDataType="string"/>
    </xmlCellPr>
  </singleXmlCell>
  <singleXmlCell id="1148" xr6:uid="{88CFB3A4-263D-4F13-98FD-3877EEC34A0A}" r="F91" connectionId="0">
    <xmlCellPr id="1" xr6:uid="{1C52C5B6-A1DA-4AB9-8571-820CE6FA6A1A}" uniqueName="GVT_30">
      <xmlPr mapId="7" xpath="/MAKE/SA/SA_AEB_Car_to_Car/CCFtap/_15_kmh/@GVT_30" xmlDataType="string"/>
    </xmlCellPr>
  </singleXmlCell>
  <singleXmlCell id="1149" xr6:uid="{AD771960-498C-46C2-9169-32875A52770F}" r="G91" connectionId="0">
    <xmlCellPr id="1" xr6:uid="{41546202-50FD-4D05-9C47-402A113EFD82}" uniqueName="GVT_45">
      <xmlPr mapId="7" xpath="/MAKE/SA/SA_AEB_Car_to_Car/CCFtap/_15_kmh/@GVT_45" xmlDataType="string"/>
    </xmlCellPr>
  </singleXmlCell>
  <singleXmlCell id="1150" xr6:uid="{E82E825D-C749-4DD9-8C8A-BC86FD1BFEE6}" r="H91" connectionId="0">
    <xmlCellPr id="1" xr6:uid="{14A50E45-A348-4EEB-AC4C-5921CACDA2BC}" uniqueName="GVT_55">
      <xmlPr mapId="7" xpath="/MAKE/SA/SA_AEB_Car_to_Car/CCFtap/_15_kmh/@GVT_55" xmlDataType="string"/>
    </xmlCellPr>
  </singleXmlCell>
  <singleXmlCell id="1151" xr6:uid="{1E3CCB67-DEE9-451B-ADA2-95FEBA1797C7}" r="F92" connectionId="0">
    <xmlCellPr id="1" xr6:uid="{813A1ACD-C1E6-4FD8-B324-2187421F62C0}" uniqueName="GVT_30">
      <xmlPr mapId="7" xpath="/MAKE/SA/SA_AEB_Car_to_Car/CCFtap/_20_kmh/@GVT_30" xmlDataType="string"/>
    </xmlCellPr>
  </singleXmlCell>
  <singleXmlCell id="1152" xr6:uid="{29830294-9605-4E70-870A-F12735291E35}" r="G92" connectionId="0">
    <xmlCellPr id="1" xr6:uid="{5D0792F0-CE60-45EE-8E13-0EA5AF508FDE}" uniqueName="GVT_45">
      <xmlPr mapId="7" xpath="/MAKE/SA/SA_AEB_Car_to_Car/CCFtap/_20_kmh/@GVT_45" xmlDataType="string"/>
    </xmlCellPr>
  </singleXmlCell>
  <singleXmlCell id="1153" xr6:uid="{58802E39-6274-4F61-AE83-F047DE8C172C}" r="H92" connectionId="0">
    <xmlCellPr id="1" xr6:uid="{55D1AB0C-7E93-402F-91BD-7CC5F129A90C}" uniqueName="GVT_55">
      <xmlPr mapId="7" xpath="/MAKE/SA/SA_AEB_Car_to_Car/CCFtap/_20_kmh/@GVT_55" xmlDataType="string"/>
    </xmlCellPr>
  </singleXmlCell>
  <singleXmlCell id="1154" xr6:uid="{DB7264C6-7AFA-41EF-A46A-8BC03D78A757}" r="D104" connectionId="0">
    <xmlCellPr id="1" xr6:uid="{F566CEC4-E512-4500-BDFF-CFE14A06F39F}" uniqueName="Predicted_Score">
      <xmlPr mapId="7" xpath="/MAKE/SA/SA_AEB_Car_to_Car/CCCscp/AEB_Prediction/@Predicted_Score" xmlDataType="decimal"/>
    </xmlCellPr>
  </singleXmlCell>
  <singleXmlCell id="1155" xr6:uid="{9BDC91C4-DD3A-4A1E-9EBA-B70A2BDEB6AA}" r="D98" connectionId="0">
    <xmlCellPr id="1" xr6:uid="{83C922E1-7326-4AA8-89F4-AEE24F1B8EF8}" uniqueName="GVT_20">
      <xmlPr mapId="7" xpath="/MAKE/SA/SA_AEB_Car_to_Car/CCCscp/AEB_Prediction/Start_from_Stop/@GVT_20" xmlDataType="string"/>
    </xmlCellPr>
  </singleXmlCell>
  <singleXmlCell id="1156" xr6:uid="{0805FFF5-C486-4308-8351-9EEB62498A8E}" r="E98" connectionId="0">
    <xmlCellPr id="1" xr6:uid="{6FF97801-4FAA-46D4-8541-7F0773317116}" uniqueName="GVT_30">
      <xmlPr mapId="7" xpath="/MAKE/SA/SA_AEB_Car_to_Car/CCCscp/AEB_Prediction/Start_from_Stop/@GVT_30" xmlDataType="string"/>
    </xmlCellPr>
  </singleXmlCell>
  <singleXmlCell id="1157" xr6:uid="{A60B16C1-3FB9-4A8B-BE12-85B0205E49C0}" r="F98" connectionId="0">
    <xmlCellPr id="1" xr6:uid="{FAD04B85-AF51-4063-95DD-CDB660CB5BB2}" uniqueName="GVT_40">
      <xmlPr mapId="7" xpath="/MAKE/SA/SA_AEB_Car_to_Car/CCCscp/AEB_Prediction/Start_from_Stop/@GVT_40" xmlDataType="string"/>
    </xmlCellPr>
  </singleXmlCell>
  <singleXmlCell id="1158" xr6:uid="{3C8D1D44-D9D0-4846-A2BA-686A25ABC817}" r="G98" connectionId="0">
    <xmlCellPr id="1" xr6:uid="{952EDEB6-4599-4B49-A871-49E4CF600076}" uniqueName="GVT_50">
      <xmlPr mapId="7" xpath="/MAKE/SA/SA_AEB_Car_to_Car/CCCscp/AEB_Prediction/Start_from_Stop/@GVT_50" xmlDataType="string"/>
    </xmlCellPr>
  </singleXmlCell>
  <singleXmlCell id="1159" xr6:uid="{66D02621-BD48-4F33-A29F-694A8D0DC661}" r="H98" connectionId="0">
    <xmlCellPr id="1" xr6:uid="{53AB8C7F-4BF9-4A95-B898-DC32D08A19A6}" uniqueName="GVT_60">
      <xmlPr mapId="7" xpath="/MAKE/SA/SA_AEB_Car_to_Car/CCCscp/AEB_Prediction/Start_from_Stop/@GVT_60" xmlDataType="string"/>
    </xmlCellPr>
  </singleXmlCell>
  <singleXmlCell id="1160" xr6:uid="{54A8A937-E5DF-4B8E-8C58-B40E195CA16C}" r="D99" connectionId="0">
    <xmlCellPr id="1" xr6:uid="{5928F7DB-92ED-41E4-A113-FDB7ED4390BC}" uniqueName="GVT_20">
      <xmlPr mapId="7" xpath="/MAKE/SA/SA_AEB_Car_to_Car/CCCscp/AEB_Prediction/Speed_20/@GVT_20" xmlDataType="string"/>
    </xmlCellPr>
  </singleXmlCell>
  <singleXmlCell id="1161" xr6:uid="{E745E64F-4A09-40D6-AFCA-1A73AA532C9D}" r="E99" connectionId="0">
    <xmlCellPr id="1" xr6:uid="{B0D85969-FBC1-4484-A104-4A8FC834DD52}" uniqueName="GVT_30">
      <xmlPr mapId="7" xpath="/MAKE/SA/SA_AEB_Car_to_Car/CCCscp/AEB_Prediction/Speed_20/@GVT_30" xmlDataType="string"/>
    </xmlCellPr>
  </singleXmlCell>
  <singleXmlCell id="1162" xr6:uid="{8314D153-15D6-4B28-B12F-32822C65757F}" r="F99" connectionId="0">
    <xmlCellPr id="1" xr6:uid="{F8C689CF-0A4A-4443-B4DF-C8BFB9EB020F}" uniqueName="GVT_40">
      <xmlPr mapId="7" xpath="/MAKE/SA/SA_AEB_Car_to_Car/CCCscp/AEB_Prediction/Speed_20/@GVT_40" xmlDataType="string"/>
    </xmlCellPr>
  </singleXmlCell>
  <singleXmlCell id="1163" xr6:uid="{7184C7F3-B37A-49EA-A5C3-4AA344B1659E}" r="G99" connectionId="0">
    <xmlCellPr id="1" xr6:uid="{0E45C50C-A464-464C-BACF-E723D7EA4DCD}" uniqueName="GVT_50">
      <xmlPr mapId="7" xpath="/MAKE/SA/SA_AEB_Car_to_Car/CCCscp/AEB_Prediction/Speed_20/@GVT_50" xmlDataType="string"/>
    </xmlCellPr>
  </singleXmlCell>
  <singleXmlCell id="1164" xr6:uid="{28C3F338-789F-45E7-8411-AC4812BDA1CB}" r="H99" connectionId="0">
    <xmlCellPr id="1" xr6:uid="{92EE558D-C80C-4E71-8002-155A744C55E6}" uniqueName="GVT_60">
      <xmlPr mapId="7" xpath="/MAKE/SA/SA_AEB_Car_to_Car/CCCscp/AEB_Prediction/Speed_20/@GVT_60" xmlDataType="string"/>
    </xmlCellPr>
  </singleXmlCell>
  <singleXmlCell id="1165" xr6:uid="{F34371FE-1322-483B-9A5F-12F22E912C54}" r="D100" connectionId="0">
    <xmlCellPr id="1" xr6:uid="{166B66C4-5713-40CC-B5F3-D5DE5D86CA74}" uniqueName="GVT_20">
      <xmlPr mapId="7" xpath="/MAKE/SA/SA_AEB_Car_to_Car/CCCscp/AEB_Prediction/Speed_30/@GVT_20" xmlDataType="string"/>
    </xmlCellPr>
  </singleXmlCell>
  <singleXmlCell id="1166" xr6:uid="{4009F090-50E0-40FF-9A2E-76B2EF5DA7B8}" r="E100" connectionId="0">
    <xmlCellPr id="1" xr6:uid="{8047CA27-9861-4371-967A-2D2322A6AC16}" uniqueName="GVT_30">
      <xmlPr mapId="7" xpath="/MAKE/SA/SA_AEB_Car_to_Car/CCCscp/AEB_Prediction/Speed_30/@GVT_30" xmlDataType="string"/>
    </xmlCellPr>
  </singleXmlCell>
  <singleXmlCell id="1167" xr6:uid="{5018EF72-2839-4AAE-9D2F-1C6F532664E3}" r="F100" connectionId="0">
    <xmlCellPr id="1" xr6:uid="{4DBA72B5-678E-447A-880C-FA394736758E}" uniqueName="GVT_40">
      <xmlPr mapId="7" xpath="/MAKE/SA/SA_AEB_Car_to_Car/CCCscp/AEB_Prediction/Speed_30/@GVT_40" xmlDataType="string"/>
    </xmlCellPr>
  </singleXmlCell>
  <singleXmlCell id="1168" xr6:uid="{28087191-7AD6-4B91-AC98-A2362A18BA48}" r="G100" connectionId="0">
    <xmlCellPr id="1" xr6:uid="{70F1D1F1-449D-4643-8882-A2264EF2F2CE}" uniqueName="GVT_50">
      <xmlPr mapId="7" xpath="/MAKE/SA/SA_AEB_Car_to_Car/CCCscp/AEB_Prediction/Speed_30/@GVT_50" xmlDataType="string"/>
    </xmlCellPr>
  </singleXmlCell>
  <singleXmlCell id="1169" xr6:uid="{9B3ED53A-8462-4A23-B631-B9251B6146D7}" r="H100" connectionId="0">
    <xmlCellPr id="1" xr6:uid="{6714A2F5-62E5-4E88-BC66-C3E6DD83C134}" uniqueName="GVT_60">
      <xmlPr mapId="7" xpath="/MAKE/SA/SA_AEB_Car_to_Car/CCCscp/AEB_Prediction/Speed_30/@GVT_60" xmlDataType="string"/>
    </xmlCellPr>
  </singleXmlCell>
  <singleXmlCell id="1170" xr6:uid="{04B4BA31-5B33-40CF-BEF1-D98B9BB5A035}" r="D101" connectionId="0">
    <xmlCellPr id="1" xr6:uid="{9C211185-61D8-4317-9A28-D7B7F562B87F}" uniqueName="GVT_20">
      <xmlPr mapId="7" xpath="/MAKE/SA/SA_AEB_Car_to_Car/CCCscp/AEB_Prediction/Speed_40/@GVT_20" xmlDataType="string"/>
    </xmlCellPr>
  </singleXmlCell>
  <singleXmlCell id="1171" xr6:uid="{DE8097C4-FCBA-4212-B36D-8BC36D384864}" r="E101" connectionId="0">
    <xmlCellPr id="1" xr6:uid="{C59D5ED1-657C-4D24-91F5-3E48F2FBD359}" uniqueName="GVT_30">
      <xmlPr mapId="7" xpath="/MAKE/SA/SA_AEB_Car_to_Car/CCCscp/AEB_Prediction/Speed_40/@GVT_30" xmlDataType="string"/>
    </xmlCellPr>
  </singleXmlCell>
  <singleXmlCell id="1172" xr6:uid="{051E209C-D293-40FF-889F-847C8577AC6A}" r="F101" connectionId="0">
    <xmlCellPr id="1" xr6:uid="{AC05A102-D01B-41FD-83EC-81E7B726CBDF}" uniqueName="GVT_40">
      <xmlPr mapId="7" xpath="/MAKE/SA/SA_AEB_Car_to_Car/CCCscp/AEB_Prediction/Speed_40/@GVT_40" xmlDataType="string"/>
    </xmlCellPr>
  </singleXmlCell>
  <singleXmlCell id="1173" xr6:uid="{17CF0938-0E90-4A6F-B86E-73C4BD9F754A}" r="G101" connectionId="0">
    <xmlCellPr id="1" xr6:uid="{83BDF949-F4AB-4313-91A0-E01B674A53BA}" uniqueName="GVT_50">
      <xmlPr mapId="7" xpath="/MAKE/SA/SA_AEB_Car_to_Car/CCCscp/AEB_Prediction/Speed_40/@GVT_50" xmlDataType="string"/>
    </xmlCellPr>
  </singleXmlCell>
  <singleXmlCell id="1174" xr6:uid="{8E8573FC-8F7A-4868-886A-DDA736B7052E}" r="H101" connectionId="0">
    <xmlCellPr id="1" xr6:uid="{792EFC92-0F50-4C3A-BFF7-5DBFCE64BAA3}" uniqueName="GVT_60">
      <xmlPr mapId="7" xpath="/MAKE/SA/SA_AEB_Car_to_Car/CCCscp/AEB_Prediction/Speed_40/@GVT_60" xmlDataType="string"/>
    </xmlCellPr>
  </singleXmlCell>
  <singleXmlCell id="1175" xr6:uid="{05D3DA82-D535-453E-BDDA-1AB0A5D3FA31}" r="D102" connectionId="0">
    <xmlCellPr id="1" xr6:uid="{BB5A8BEA-BD5D-4CCC-9692-FA1D63310382}" uniqueName="GVT_20">
      <xmlPr mapId="7" xpath="/MAKE/SA/SA_AEB_Car_to_Car/CCCscp/AEB_Prediction/Speed_50/@GVT_20" xmlDataType="string"/>
    </xmlCellPr>
  </singleXmlCell>
  <singleXmlCell id="1176" xr6:uid="{8DCF5BD3-F39D-4AEE-9954-BB8B67A7DB85}" r="E102" connectionId="0">
    <xmlCellPr id="1" xr6:uid="{B7AA786F-D3EA-4B68-99B0-6C95D2F8A1AE}" uniqueName="GVT_30">
      <xmlPr mapId="7" xpath="/MAKE/SA/SA_AEB_Car_to_Car/CCCscp/AEB_Prediction/Speed_50/@GVT_30" xmlDataType="string"/>
    </xmlCellPr>
  </singleXmlCell>
  <singleXmlCell id="1177" xr6:uid="{11829F3B-E477-48BD-A633-FA80B76A145E}" r="F102" connectionId="0">
    <xmlCellPr id="1" xr6:uid="{9CCD85EB-9BC1-4D3F-8E9B-60A61E99BC74}" uniqueName="GVT_40">
      <xmlPr mapId="7" xpath="/MAKE/SA/SA_AEB_Car_to_Car/CCCscp/AEB_Prediction/Speed_50/@GVT_40" xmlDataType="string"/>
    </xmlCellPr>
  </singleXmlCell>
  <singleXmlCell id="1178" xr6:uid="{7ADE42A0-79DE-4417-B2BA-C812CFB6716E}" r="G102" connectionId="0">
    <xmlCellPr id="1" xr6:uid="{F5C816ED-39CB-48B0-AF0D-C767E2D1C08E}" uniqueName="GVT_50">
      <xmlPr mapId="7" xpath="/MAKE/SA/SA_AEB_Car_to_Car/CCCscp/AEB_Prediction/Speed_50/@GVT_50" xmlDataType="string"/>
    </xmlCellPr>
  </singleXmlCell>
  <singleXmlCell id="1179" xr6:uid="{19A72B6F-0866-491A-A465-8C70D17E5707}" r="H102" connectionId="0">
    <xmlCellPr id="1" xr6:uid="{B7BB0DA8-2A6F-4E24-8602-7F7C67C5F6D5}" uniqueName="GVT_60">
      <xmlPr mapId="7" xpath="/MAKE/SA/SA_AEB_Car_to_Car/CCCscp/AEB_Prediction/Speed_50/@GVT_60" xmlDataType="string"/>
    </xmlCellPr>
  </singleXmlCell>
  <singleXmlCell id="1180" xr6:uid="{A48C6E43-3A1C-4A57-BB86-17A67D83F172}" r="D103" connectionId="0">
    <xmlCellPr id="1" xr6:uid="{5A5230F2-6853-413B-8538-1FE36C46A636}" uniqueName="GVT_20">
      <xmlPr mapId="7" xpath="/MAKE/SA/SA_AEB_Car_to_Car/CCCscp/AEB_Prediction/Speed_60/@GVT_20" xmlDataType="string"/>
    </xmlCellPr>
  </singleXmlCell>
  <singleXmlCell id="1181" xr6:uid="{CC354A0A-497C-41D2-8BC7-839D84867DAB}" r="E103" connectionId="0">
    <xmlCellPr id="1" xr6:uid="{4B51C487-12BD-41AD-9C15-5CF1C536C78F}" uniqueName="GVT_30">
      <xmlPr mapId="7" xpath="/MAKE/SA/SA_AEB_Car_to_Car/CCCscp/AEB_Prediction/Speed_60/@GVT_30" xmlDataType="string"/>
    </xmlCellPr>
  </singleXmlCell>
  <singleXmlCell id="1182" xr6:uid="{41F9BE55-1815-4601-8CBA-A7A49801D4D5}" r="F103" connectionId="0">
    <xmlCellPr id="1" xr6:uid="{1BD4E94B-2229-442F-A16B-E50FC701AB22}" uniqueName="GVT_40">
      <xmlPr mapId="7" xpath="/MAKE/SA/SA_AEB_Car_to_Car/CCCscp/AEB_Prediction/Speed_60/@GVT_40" xmlDataType="string"/>
    </xmlCellPr>
  </singleXmlCell>
  <singleXmlCell id="1183" xr6:uid="{3FEC01EE-E12A-4010-BDED-56ED19F8A63C}" r="G103" connectionId="0">
    <xmlCellPr id="1" xr6:uid="{42BD84D5-A160-4688-9C95-FD261839C7A9}" uniqueName="GVT_50">
      <xmlPr mapId="7" xpath="/MAKE/SA/SA_AEB_Car_to_Car/CCCscp/AEB_Prediction/Speed_60/@GVT_50" xmlDataType="string"/>
    </xmlCellPr>
  </singleXmlCell>
  <singleXmlCell id="1184" xr6:uid="{4FA4C14A-2F57-4EA6-9748-0D79D9103B9D}" r="H103" connectionId="0">
    <xmlCellPr id="1" xr6:uid="{C32CDA10-1E32-40C1-99C9-DC5766EADA4F}" uniqueName="GVT_60">
      <xmlPr mapId="7" xpath="/MAKE/SA/SA_AEB_Car_to_Car/CCCscp/AEB_Prediction/Speed_60/@GVT_60" xmlDataType="string"/>
    </xmlCellPr>
  </singleXmlCell>
  <singleXmlCell id="1185" xr6:uid="{79C27ACF-690D-45B1-8822-1B8EF49507C2}" r="I104" connectionId="0">
    <xmlCellPr id="1" xr6:uid="{79565E18-0418-4E7E-B386-3C80C3D8977A}" uniqueName="Predicted_Score">
      <xmlPr mapId="7" xpath="/MAKE/SA/SA_AEB_Car_to_Car/CCCscp/FCW_Prediction/@Predicted_Score" xmlDataType="decimal"/>
    </xmlCellPr>
  </singleXmlCell>
  <singleXmlCell id="1186" xr6:uid="{8C115753-3630-44ED-BD13-5F155DE5395A}" r="I101" connectionId="0">
    <xmlCellPr id="1" xr6:uid="{84628BA1-07E9-4947-9301-E3787F54EF10}" uniqueName="GVT_20">
      <xmlPr mapId="7" xpath="/MAKE/SA/SA_AEB_Car_to_Car/CCCscp/FCW_Prediction/Speed_40/@GVT_20" xmlDataType="string"/>
    </xmlCellPr>
  </singleXmlCell>
  <singleXmlCell id="1187" xr6:uid="{01534786-6B2D-4303-8919-EA7EAB0A9F58}" r="J101" connectionId="0">
    <xmlCellPr id="1" xr6:uid="{473E96F2-8887-4FE6-ADEC-F13828E05572}" uniqueName="GVT_30">
      <xmlPr mapId="7" xpath="/MAKE/SA/SA_AEB_Car_to_Car/CCCscp/FCW_Prediction/Speed_40/@GVT_30" xmlDataType="string"/>
    </xmlCellPr>
  </singleXmlCell>
  <singleXmlCell id="1188" xr6:uid="{B66CF786-94C9-4D44-833F-C749FEAD559A}" r="K101" connectionId="0">
    <xmlCellPr id="1" xr6:uid="{A669FB5C-FCE2-4B2B-8670-394862EE1568}" uniqueName="GVT_40">
      <xmlPr mapId="7" xpath="/MAKE/SA/SA_AEB_Car_to_Car/CCCscp/FCW_Prediction/Speed_40/@GVT_40" xmlDataType="string"/>
    </xmlCellPr>
  </singleXmlCell>
  <singleXmlCell id="1189" xr6:uid="{D711F20E-A998-421B-B5A0-D82A72564971}" r="L101" connectionId="0">
    <xmlCellPr id="1" xr6:uid="{2B405CAA-8796-44CF-B1BE-3D345E63603B}" uniqueName="GVT_50">
      <xmlPr mapId="7" xpath="/MAKE/SA/SA_AEB_Car_to_Car/CCCscp/FCW_Prediction/Speed_40/@GVT_50" xmlDataType="string"/>
    </xmlCellPr>
  </singleXmlCell>
  <singleXmlCell id="1190" xr6:uid="{65772508-E991-4283-89D4-0CD693D4D8FD}" r="M101" connectionId="0">
    <xmlCellPr id="1" xr6:uid="{6F9980A1-6BC3-4B19-A054-429A8B07D04E}" uniqueName="GVT_60">
      <xmlPr mapId="7" xpath="/MAKE/SA/SA_AEB_Car_to_Car/CCCscp/FCW_Prediction/Speed_40/@GVT_60" xmlDataType="string"/>
    </xmlCellPr>
  </singleXmlCell>
  <singleXmlCell id="1191" xr6:uid="{0A8CEC0A-3DCE-4726-BB26-48D8A1E024F8}" r="I102" connectionId="0">
    <xmlCellPr id="1" xr6:uid="{68A2B1C9-A264-4676-8934-BB2F2094637B}" uniqueName="GVT_20">
      <xmlPr mapId="7" xpath="/MAKE/SA/SA_AEB_Car_to_Car/CCCscp/FCW_Prediction/Speed_50/@GVT_20" xmlDataType="string"/>
    </xmlCellPr>
  </singleXmlCell>
  <singleXmlCell id="1192" xr6:uid="{C067DE52-80B7-46E5-A18C-65174F793264}" r="J102" connectionId="0">
    <xmlCellPr id="1" xr6:uid="{FE02198F-A402-4A76-8149-8D80B4A82AE8}" uniqueName="GVT_30">
      <xmlPr mapId="7" xpath="/MAKE/SA/SA_AEB_Car_to_Car/CCCscp/FCW_Prediction/Speed_50/@GVT_30" xmlDataType="string"/>
    </xmlCellPr>
  </singleXmlCell>
  <singleXmlCell id="1193" xr6:uid="{0FCA58CA-14D0-49B8-BF2C-32340F5C8E8A}" r="K102" connectionId="0">
    <xmlCellPr id="1" xr6:uid="{34D7F274-E576-4B89-8C09-D9E82B058665}" uniqueName="GVT_40">
      <xmlPr mapId="7" xpath="/MAKE/SA/SA_AEB_Car_to_Car/CCCscp/FCW_Prediction/Speed_50/@GVT_40" xmlDataType="string"/>
    </xmlCellPr>
  </singleXmlCell>
  <singleXmlCell id="1194" xr6:uid="{38B07B27-D3BB-48B3-9D36-C454D4574C24}" r="L102" connectionId="0">
    <xmlCellPr id="1" xr6:uid="{98E4C74D-A473-4CEC-A9BC-F65B73F695C7}" uniqueName="GVT_50">
      <xmlPr mapId="7" xpath="/MAKE/SA/SA_AEB_Car_to_Car/CCCscp/FCW_Prediction/Speed_50/@GVT_50" xmlDataType="string"/>
    </xmlCellPr>
  </singleXmlCell>
  <singleXmlCell id="1195" xr6:uid="{C9506A9F-BD5A-4178-9FD4-43D41503DE6E}" r="M102" connectionId="0">
    <xmlCellPr id="1" xr6:uid="{5D7FE5ED-A3BB-4A96-8FCE-82A61833DEBA}" uniqueName="GVT_60">
      <xmlPr mapId="7" xpath="/MAKE/SA/SA_AEB_Car_to_Car/CCCscp/FCW_Prediction/Speed_50/@GVT_60" xmlDataType="string"/>
    </xmlCellPr>
  </singleXmlCell>
  <singleXmlCell id="1196" xr6:uid="{A6C19DEC-2E1C-4C63-80D4-88FE2161755C}" r="I103" connectionId="0">
    <xmlCellPr id="1" xr6:uid="{FE3BA3DE-8DC2-46C3-B5EA-9D28B9759CD6}" uniqueName="GVT_20">
      <xmlPr mapId="7" xpath="/MAKE/SA/SA_AEB_Car_to_Car/CCCscp/FCW_Prediction/Speed_60/@GVT_20" xmlDataType="string"/>
    </xmlCellPr>
  </singleXmlCell>
  <singleXmlCell id="1197" xr6:uid="{7D3B37F8-B020-4513-83DF-50025D754B34}" r="J103" connectionId="0">
    <xmlCellPr id="1" xr6:uid="{0E0ADAEA-2132-45C9-BAB5-ADA84EB1BDCB}" uniqueName="GVT_30">
      <xmlPr mapId="7" xpath="/MAKE/SA/SA_AEB_Car_to_Car/CCCscp/FCW_Prediction/Speed_60/@GVT_30" xmlDataType="string"/>
    </xmlCellPr>
  </singleXmlCell>
  <singleXmlCell id="1198" xr6:uid="{476F343C-E34F-4B33-8795-BF837CD4E5D4}" r="K103" connectionId="0">
    <xmlCellPr id="1" xr6:uid="{9CA90595-AAE2-4348-BC27-2788D65CDB2A}" uniqueName="GVT_40">
      <xmlPr mapId="7" xpath="/MAKE/SA/SA_AEB_Car_to_Car/CCCscp/FCW_Prediction/Speed_60/@GVT_40" xmlDataType="string"/>
    </xmlCellPr>
  </singleXmlCell>
  <singleXmlCell id="1199" xr6:uid="{F87E3DE2-7FD1-4E4E-9B1A-622A2389C5AB}" r="L103" connectionId="0">
    <xmlCellPr id="1" xr6:uid="{9D93DC00-5F54-4C9C-BDCD-39B074F91EDD}" uniqueName="GVT_50">
      <xmlPr mapId="7" xpath="/MAKE/SA/SA_AEB_Car_to_Car/CCCscp/FCW_Prediction/Speed_60/@GVT_50" xmlDataType="string"/>
    </xmlCellPr>
  </singleXmlCell>
  <singleXmlCell id="1200" xr6:uid="{145625CD-6F36-4DE7-874A-D6029682CECC}" r="M103" connectionId="0">
    <xmlCellPr id="1" xr6:uid="{9A22DB38-B076-44E5-8FEF-CD63D22D5149}" uniqueName="GVT_60">
      <xmlPr mapId="7" xpath="/MAKE/SA/SA_AEB_Car_to_Car/CCCscp/FCW_Prediction/Speed_60/@GVT_60" xmlDataType="string"/>
    </xmlCellPr>
  </singleXmlCell>
  <singleXmlCell id="1201" xr6:uid="{12CCFEE4-4D87-4814-9356-A0C1C8A9EDFC}" r="D113" connectionId="0">
    <xmlCellPr id="1" xr6:uid="{F2FCD088-7576-4E7D-8673-AD57069D01BA}" uniqueName="Result">
      <xmlPr mapId="7" xpath="/MAKE/SA/SA_AEB_Car_to_Car/Car_Car_Head_on/@Result" xmlDataType="decimal"/>
    </xmlCellPr>
  </singleXmlCell>
  <singleXmlCell id="1202" xr6:uid="{30B227F0-FFDC-4743-ACFD-5D0B7B73B074}" r="F109" connectionId="0">
    <xmlCellPr id="1" xr6:uid="{AC69193C-5183-457D-9888-FDEB57310C1D}" uniqueName="GVT_50">
      <xmlPr mapId="7" xpath="/MAKE/SA/SA_AEB_Car_to_Car/Car_Car_Head_on/CCHhos/_50_kmh/@GVT_50" xmlDataType="decimal"/>
    </xmlCellPr>
  </singleXmlCell>
  <singleXmlCell id="1203" xr6:uid="{C82F5A87-5983-4064-AE1C-48FCF7FA56E2}" r="G109" connectionId="0">
    <xmlCellPr id="1" xr6:uid="{75C12288-7FD8-466F-A311-2EA9BD6E6FCC}" uniqueName="GVT_70">
      <xmlPr mapId="7" xpath="/MAKE/SA/SA_AEB_Car_to_Car/Car_Car_Head_on/CCHhos/_50_kmh/@GVT_70" xmlDataType="decimal"/>
    </xmlCellPr>
  </singleXmlCell>
  <singleXmlCell id="1204" xr6:uid="{87F76AC9-F2D4-4D8B-BDEB-03A8FFE2A0EE}" r="F110" connectionId="0">
    <xmlCellPr id="1" xr6:uid="{5D956377-C169-4A4D-B155-45FA8DF61365}" uniqueName="GVT_50">
      <xmlPr mapId="7" xpath="/MAKE/SA/SA_AEB_Car_to_Car/Car_Car_Head_on/CCHhos/_70_kmh/@GVT_50" xmlDataType="decimal"/>
    </xmlCellPr>
  </singleXmlCell>
  <singleXmlCell id="1205" xr6:uid="{AC1B7CC5-63C8-4DF4-8A6F-F6B0944BFB1F}" r="F111" connectionId="0">
    <xmlCellPr id="1" xr6:uid="{0BADB380-AE72-43D0-92CB-B66FB099F387}" uniqueName="GVT_50">
      <xmlPr mapId="7" xpath="/MAKE/SA/SA_AEB_Car_to_Car/Car_Car_Head_on/CCHhol/_50_kmh/@GVT_50" xmlDataType="decimal"/>
    </xmlCellPr>
  </singleXmlCell>
  <singleXmlCell id="1206" xr6:uid="{814B59D8-EA59-4090-8327-BD0D2A7B54A1}" r="G111" connectionId="0">
    <xmlCellPr id="1" xr6:uid="{8F0C46D0-EBA1-4F6A-B6C5-EDA8AFAA11F9}" uniqueName="GVT_70">
      <xmlPr mapId="7" xpath="/MAKE/SA/SA_AEB_Car_to_Car/Car_Car_Head_on/CCHhol/_50_kmh/@GVT_70" xmlDataType="decimal"/>
    </xmlCellPr>
  </singleXmlCell>
  <singleXmlCell id="1207" xr6:uid="{64620AD9-6648-4DC5-AC4B-C32F5E90AD02}" r="F112" connectionId="0">
    <xmlCellPr id="1" xr6:uid="{79E4E1B9-1731-4295-A838-816AB888B864}" uniqueName="GVT_50">
      <xmlPr mapId="7" xpath="/MAKE/SA/SA_AEB_Car_to_Car/Car_Car_Head_on/CCHhol/_70_kmh/@GVT_50" xmlDataType="decimal"/>
    </xmlCellPr>
  </singleXmlCell>
  <singleXmlCell id="1208" xr6:uid="{2ACE99AF-A941-4C9B-A512-ADC9824EB8DE}" r="G112" connectionId="0">
    <xmlCellPr id="1" xr6:uid="{1021146F-1F55-4B9E-B25D-79F280A96443}" uniqueName="GVT_70">
      <xmlPr mapId="7" xpath="/MAKE/SA/SA_AEB_Car_to_Car/Car_Car_Head_on/CCHhol/_70_kmh/@GVT_70" xmlDataType="decimal"/>
    </xmlCellPr>
  </singleXmlCell>
  <singleXmlCell id="1209" xr6:uid="{A012CA9E-3CD7-4F59-B05F-322D1D30ACEF}" r="D119" connectionId="0">
    <xmlCellPr id="1" xr6:uid="{F5779833-2779-454E-BE29-B6369A5D4353}" uniqueName="Result">
      <xmlPr mapId="7" xpath="/MAKE/SA/SA_AEB_Car_to_Car/HMI/@Result" xmlDataType="decimal"/>
    </xmlCellPr>
  </singleXmlCell>
  <singleXmlCell id="1212" xr6:uid="{3330C0E7-28EA-499D-879E-24C52FE3A123}" r="F117" connectionId="0">
    <xmlCellPr id="1" xr6:uid="{9A05C2B4-7EEE-4125-8A36-7F65A4903351}" uniqueName="Value">
      <xmlPr mapId="7" xpath="/MAKE/SA/SA_AEB_Car_to_Car/HMI/Supplementary_Warning/@Value" xmlDataType="decimal"/>
    </xmlCellPr>
  </singleXmlCell>
  <singleXmlCell id="1213" xr6:uid="{62919CD5-6C39-4A77-998D-4ACF1486DCBA}" r="D117" connectionId="0">
    <xmlCellPr id="1" xr6:uid="{DA3C5446-54E4-4FF7-9B9C-4172BD18A7DF}" uniqueName="String">
      <xmlPr mapId="7" xpath="/MAKE/SA/SA_AEB_Car_to_Car/HMI/Supplementary_Warning/@String" xmlDataType="string"/>
    </xmlCellPr>
  </singleXmlCell>
  <singleXmlCell id="1214" xr6:uid="{0B666BD9-C234-44BD-B330-53FEE6F1BFE4}" r="F118" connectionId="0">
    <xmlCellPr id="1" xr6:uid="{32790593-017E-46B4-A104-66A6EFBA09BB}" uniqueName="Value">
      <xmlPr mapId="7" xpath="/MAKE/SA/SA_AEB_Car_to_Car/HMI/Restraint_Activation/@Value" xmlDataType="decimal"/>
    </xmlCellPr>
  </singleXmlCell>
  <singleXmlCell id="1215" xr6:uid="{2789752F-6355-478D-801C-FB82B3FF46B4}" r="D118" connectionId="0">
    <xmlCellPr id="1" xr6:uid="{6B629BCB-EBB5-42C3-9E61-DC6CAF37587F}" uniqueName="String">
      <xmlPr mapId="7" xpath="/MAKE/SA/SA_AEB_Car_to_Car/HMI/Restraint_Activation/@String" xmlDataType="string"/>
    </xmlCellPr>
  </singleXmlCell>
  <singleXmlCell id="1216" xr6:uid="{80124449-C8D4-4C4C-B999-07C145D29B4B}" r="D122" connectionId="0">
    <xmlCellPr id="1" xr6:uid="{C8823C42-54BC-4F0C-B1E6-BD212A5A1EDA}" uniqueName="AEB">
      <xmlPr mapId="7" xpath="/MAKE/SA/SA_AEB_Car_to_Car/SUMMARY/CCRs/@AEB" xmlDataType="decimal"/>
    </xmlCellPr>
  </singleXmlCell>
  <singleXmlCell id="1217" xr6:uid="{304E881B-D1C2-4719-B8BA-1DCEAA27FC66}" r="I122" connectionId="0">
    <xmlCellPr id="1" xr6:uid="{25363032-B8E1-43DE-8E05-5416ED177269}" uniqueName="FCW">
      <xmlPr mapId="7" xpath="/MAKE/SA/SA_AEB_Car_to_Car/SUMMARY/CCRs/@FCW" xmlDataType="decimal"/>
    </xmlCellPr>
  </singleXmlCell>
  <singleXmlCell id="1218" xr6:uid="{8D57C48D-6883-41D7-8E55-5F3CFD5C9D90}" r="D123" connectionId="0">
    <xmlCellPr id="1" xr6:uid="{DA3973AA-79F5-4D28-94F3-E8575276A85D}" uniqueName="AEB">
      <xmlPr mapId="7" xpath="/MAKE/SA/SA_AEB_Car_to_Car/SUMMARY/CCRm/@AEB" xmlDataType="decimal"/>
    </xmlCellPr>
  </singleXmlCell>
  <singleXmlCell id="1219" xr6:uid="{9C68C5B2-CEB9-4648-81F6-CFF47C50AC65}" r="D124" connectionId="0">
    <xmlCellPr id="1" xr6:uid="{B2F780A4-ECCC-4AF3-A6CA-01A3824FD82C}" uniqueName="AEB">
      <xmlPr mapId="7" xpath="/MAKE/SA/SA_AEB_Car_to_Car/SUMMARY/CCRb/@AEB" xmlDataType="decimal"/>
    </xmlCellPr>
  </singleXmlCell>
  <singleXmlCell id="1220" xr6:uid="{4B43583E-735F-4633-A7AB-43D739FA1B6B}" r="D125" connectionId="0">
    <xmlCellPr id="1" xr6:uid="{6A5C76CE-41F0-4F77-924F-9177C91BF591}" uniqueName="AEB">
      <xmlPr mapId="7" xpath="/MAKE/SA/SA_AEB_Car_to_Car/SUMMARY/CCFtap/@AEB" xmlDataType="decimal"/>
    </xmlCellPr>
  </singleXmlCell>
  <singleXmlCell id="1221" xr6:uid="{FE82256C-EC4B-4F02-BF0D-0A9C3FF9F8A4}" r="D126" connectionId="0">
    <xmlCellPr id="1" xr6:uid="{E213368D-AC5F-4FAC-B574-20281F8206DD}" uniqueName="AEB">
      <xmlPr mapId="7" xpath="/MAKE/SA/SA_AEB_Car_to_Car/SUMMARY/CCCscp/@AEB" xmlDataType="decimal"/>
    </xmlCellPr>
  </singleXmlCell>
  <singleXmlCell id="1222" xr6:uid="{EDE8DDFA-36C9-4A1C-B023-B0F07C4562BE}" r="I126" connectionId="0">
    <xmlCellPr id="1" xr6:uid="{D59ED2F5-D018-46BB-9A42-2F109AB5C019}" uniqueName="FCW">
      <xmlPr mapId="7" xpath="/MAKE/SA/SA_AEB_Car_to_Car/SUMMARY/CCCscp/@FCW" xmlDataType="decimal"/>
    </xmlCellPr>
  </singleXmlCell>
  <singleXmlCell id="1223" xr6:uid="{30E167FF-1765-461B-BA06-1771850BA635}" r="D127" connectionId="0">
    <xmlCellPr id="1" xr6:uid="{E0022363-8114-4195-A5BD-C9387BA2D058}" uniqueName="Car_Car_Head_on">
      <xmlPr mapId="7" xpath="/MAKE/SA/SA_AEB_Car_to_Car/SUMMARY/Car_Car_Head_on" xmlDataType="decimal"/>
    </xmlCellPr>
  </singleXmlCell>
  <singleXmlCell id="1224" xr6:uid="{2427819F-4668-4E0D-B779-F1F2BCF74DA3}" r="D128" connectionId="0">
    <xmlCellPr id="1" xr6:uid="{A521AAE8-0EF5-403B-A091-DE938B42B672}" uniqueName="HMI">
      <xmlPr mapId="7" xpath="/MAKE/SA/SA_AEB_Car_to_Car/SUMMARY/HMI" xmlDataType="decimal"/>
    </xmlCellPr>
  </singleXmlCell>
  <singleXmlCell id="1225" xr6:uid="{B10C0C13-C88F-4C4B-9601-53CC0EDEFB0F}" r="D131" connectionId="0">
    <xmlCellPr id="1" xr6:uid="{812B876B-41A8-453A-8E3F-28875842777A}" uniqueName="AEB">
      <xmlPr mapId="7" xpath="/MAKE/SA/SA_AEB_Car_to_Car/TOTAL/AEB" xmlDataType="decimal"/>
    </xmlCellPr>
  </singleXmlCell>
  <singleXmlCell id="1226" xr6:uid="{58C2149D-5B0C-4579-82A9-CB33C193720D}" r="D132" connectionId="0">
    <xmlCellPr id="1" xr6:uid="{6AF43193-3920-469E-8E04-5DD8A532E639}" uniqueName="FCW">
      <xmlPr mapId="7" xpath="/MAKE/SA/SA_AEB_Car_to_Car/TOTAL/FCW" xmlDataType="decimal"/>
    </xmlCellPr>
  </singleXmlCell>
  <singleXmlCell id="1227" xr6:uid="{65D05047-FD89-4AB9-A1AD-A981A15B6A0B}" r="D133" connectionId="0">
    <xmlCellPr id="1" xr6:uid="{216AAC88-50F8-4FA5-AC40-CB44C038CE76}" uniqueName="HMI">
      <xmlPr mapId="7" xpath="/MAKE/SA/SA_AEB_Car_to_Car/TOTAL/HMI" xmlDataType="decimal"/>
    </xmlCellPr>
  </singleXmlCell>
  <singleXmlCell id="1228" xr6:uid="{BFBE30F7-F615-4538-9912-626104B92A17}" r="D58" connectionId="0">
    <xmlCellPr id="1" xr6:uid="{5390276A-A114-4868-97D3-FF737667029D}" uniqueName="Result">
      <xmlPr mapId="7" xpath="/MAKE/SA/SA_AEB_Car_to_Car/CCRb/@Result" xmlDataType="decimal"/>
    </xmlCellPr>
  </singleXmlCell>
  <singleXmlCell id="4327" xr6:uid="{AB6A5BE6-977A-4E2B-A537-4DDE24485C21}" r="D135" connectionId="0">
    <xmlCellPr id="1" xr6:uid="{41675509-863E-4612-BBDC-A1951FA88077}" uniqueName="TOTAL_AEB_C2C">
      <xmlPr mapId="7" xpath="/MAKE/SA/SA_AEB_Car_to_Car/@TOTAL_AEB_C2C" xmlDataType="decimal"/>
    </xmlCellPr>
  </singleXmlCell>
  <singleXmlCell id="4951" xr6:uid="{287FFD72-27B0-446B-9425-90FF3FE4267B}" r="D47" connectionId="0">
    <xmlCellPr id="1" xr6:uid="{132A0A4A-554A-4D1F-823D-D25C0447CD91}" uniqueName="Overlap-50">
      <xmlPr mapId="7" xpath="/MAKE/SA/SA_AEB_Car_to_Car/CCRm/AEB_Prediction/_130_vs_70/@Overlap-50" xmlDataType="string"/>
    </xmlCellPr>
  </singleXmlCell>
  <singleXmlCell id="4952" xr6:uid="{5957DF4A-3074-4377-BD76-B0006543BE57}" r="E47" connectionId="0">
    <xmlCellPr id="1" xr6:uid="{61BA3A92-8C3E-4EE3-97FB-AD3DCCD27A10}" uniqueName="Overlap-25">
      <xmlPr mapId="7" xpath="/MAKE/SA/SA_AEB_Car_to_Car/CCRm/AEB_Prediction/_130_vs_70/@Overlap-25" xmlDataType="string"/>
    </xmlCellPr>
  </singleXmlCell>
  <singleXmlCell id="4953" xr6:uid="{3B5AE2AE-91F6-49EA-B51C-7EF2262B2028}" r="F47" connectionId="0">
    <xmlCellPr id="1" xr6:uid="{52BA8BD9-8A7F-4EAE-B807-AA9151B45FEB}" uniqueName="Overlap0">
      <xmlPr mapId="7" xpath="/MAKE/SA/SA_AEB_Car_to_Car/CCRm/AEB_Prediction/_130_vs_70/@Overlap0" xmlDataType="string"/>
    </xmlCellPr>
  </singleXmlCell>
  <singleXmlCell id="4954" xr6:uid="{F24FFD7E-30A1-499A-8DB8-EE05D8244B2F}" r="G47" connectionId="0">
    <xmlCellPr id="1" xr6:uid="{4D34F0AD-27EB-49DF-AED9-0D1289708E8C}" uniqueName="Overlap25">
      <xmlPr mapId="7" xpath="/MAKE/SA/SA_AEB_Car_to_Car/CCRm/AEB_Prediction/_130_vs_70/@Overlap25" xmlDataType="string"/>
    </xmlCellPr>
  </singleXmlCell>
  <singleXmlCell id="4955" xr6:uid="{24A70EF5-7B95-477F-B201-7CF41A8C837D}" r="H47" connectionId="0">
    <xmlCellPr id="1" xr6:uid="{08923935-EDE4-4E87-A491-A9AAB4C1CD19}" uniqueName="Overlap50">
      <xmlPr mapId="7" xpath="/MAKE/SA/SA_AEB_Car_to_Car/CCRm/AEB_Prediction/_130_vs_70/@Overlap50" xmlDataType="string"/>
    </xmlCellPr>
  </singleXmlCell>
</singleXmlCells>
</file>

<file path=xl/tables/tableSingleCells22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1322" xr6:uid="{A4CFC2B8-2D01-4507-BB31-5F0C122A2476}" r="D78" connectionId="0">
    <xmlCellPr id="1" xr6:uid="{BE92DC93-DEF8-446F-82AD-41D53CD92D58}" uniqueName="Total">
      <xmlPr mapId="7" xpath="/MAKE/SA/LSS/@Total" xmlDataType="decimal"/>
    </xmlCellPr>
  </singleXmlCell>
  <singleXmlCell id="1326" xr6:uid="{D5B2D27E-993C-4BBC-B2ED-964AD48979D3}" r="D13" connectionId="0">
    <xmlCellPr id="1" xr6:uid="{01C042CA-3358-43A0-96A9-EB57EFB125C6}" uniqueName="Meets_13H">
      <xmlPr mapId="7" xpath="/MAKE/SA/LSS/Prerequisites/@Meets_13H" xmlDataType="string"/>
    </xmlCellPr>
  </singleXmlCell>
  <singleXmlCell id="1327" xr6:uid="{78BE932E-3D57-43BB-B9D6-133AE3D9900B}" r="D14" connectionId="0">
    <xmlCellPr id="1" xr6:uid="{A56D5034-8463-46E1-A5A1-78C1D03B98BE}" uniqueName="Pass_Fail">
      <xmlPr mapId="7" xpath="/MAKE/SA/LSS/Prerequisites/@Pass_Fail" xmlDataType="string"/>
    </xmlCellPr>
  </singleXmlCell>
  <singleXmlCell id="1328" xr6:uid="{2E40CBB3-4D75-4E40-931B-1B9707377403}" r="D6" connectionId="0">
    <xmlCellPr id="1" xr6:uid="{761A57CA-7F15-4FD1-8EB2-94E2A8AB91ED}" uniqueName="System_Name">
      <xmlPr mapId="7" xpath="/MAKE/SA/LSS/System_Details/@System_Name" xmlDataType="string"/>
    </xmlCellPr>
  </singleXmlCell>
  <singleXmlCell id="1336" xr6:uid="{5F82F3DA-6682-48AF-A26C-071D7140D6DD}" r="D7" connectionId="0">
    <xmlCellPr id="1" xr6:uid="{3E1227FD-1C7D-4EF6-9DCF-20C5EDE3FBC7}" uniqueName="Default_On">
      <xmlPr mapId="7" xpath="/MAKE/SA/LSS/System_Details/@Default_On" xmlDataType="string"/>
    </xmlCellPr>
  </singleXmlCell>
  <singleXmlCell id="1337" xr6:uid="{3CF44C99-7541-4B5A-B49E-394479F99912}" r="D8" connectionId="0">
    <xmlCellPr id="1" xr6:uid="{3CDB5188-50E4-4E4C-990B-EC00E6B896F0}" uniqueName="Functionality">
      <xmlPr mapId="7" xpath="/MAKE/SA/LSS/System_Details/@Functionality" xmlDataType="string"/>
    </xmlCellPr>
  </singleXmlCell>
  <singleXmlCell id="1338" xr6:uid="{9522AC23-7E3F-4965-9BB2-6C56B5DFDAF5}" r="D9" connectionId="0">
    <xmlCellPr id="1" xr6:uid="{AA45CB2B-00AC-4879-81C1-9E124A158532}" uniqueName="Min_Speed">
      <xmlPr mapId="7" xpath="/MAKE/SA/LSS/System_Details/@Min_Speed" xmlDataType="decimal"/>
    </xmlCellPr>
  </singleXmlCell>
  <singleXmlCell id="1339" xr6:uid="{337F05DD-8023-4663-8925-AD04BD0B8614}" r="D10" connectionId="0">
    <xmlCellPr id="1" xr6:uid="{01D62ED4-1103-41EC-8BCB-9DB0C3135E29}" uniqueName="Max_Speed">
      <xmlPr mapId="7" xpath="/MAKE/SA/LSS/System_Details/@Max_Speed" xmlDataType="decimal"/>
    </xmlCellPr>
  </singleXmlCell>
  <singleXmlCell id="1340" xr6:uid="{C66CEC39-A2D7-41CA-A0F2-2F7CF1EC6444}" r="D74" connectionId="0">
    <xmlCellPr id="1" xr6:uid="{2357EC0F-94C1-4D86-A5BF-A4BE3DE30A31}" uniqueName="ELK_Result">
      <xmlPr mapId="7" xpath="/MAKE/SA/LSS/ELK/@ELK_Result" xmlDataType="decimal"/>
    </xmlCellPr>
  </singleXmlCell>
  <singleXmlCell id="1341" xr6:uid="{36C8E968-AC7F-4882-A037-E6B34D6A452E}" r="D75" connectionId="0">
    <xmlCellPr id="1" xr6:uid="{3D99C6FC-AC3C-416D-A322-545BBA7F4369}" uniqueName="LKA_Result">
      <xmlPr mapId="7" xpath="/MAKE/SA/LSS/LKA/@LKA_Result" xmlDataType="decimal"/>
    </xmlCellPr>
  </singleXmlCell>
  <singleXmlCell id="1342" xr6:uid="{00BD70BC-130D-4B05-91BC-9A8F0A6D8A7F}" r="D76" connectionId="0">
    <xmlCellPr id="1" xr6:uid="{F1756680-F6D5-4636-AAFC-42014BE68068}" uniqueName="Result">
      <xmlPr mapId="7" xpath="/MAKE/SA/LSS/HMI/@Result" xmlDataType="decimal"/>
    </xmlCellPr>
  </singleXmlCell>
  <singleXmlCell id="1349" xr6:uid="{36789FD3-D9E3-4DC0-B067-416CEADC38E1}" r="D69" connectionId="0">
    <xmlCellPr id="1" xr6:uid="{E2313E2A-C254-42A1-8242-08655311E183}" uniqueName="Lane_Departure_Warning">
      <xmlPr mapId="7" xpath="/MAKE/SA/LSS/HMI/Lane_Departure_Warning" xmlDataType="string"/>
    </xmlCellPr>
  </singleXmlCell>
  <singleXmlCell id="1350" xr6:uid="{5E7CC8D0-2A39-4CDC-A17E-D94E05C30BD5}" r="D70" connectionId="0">
    <xmlCellPr id="1" xr6:uid="{A92D2A53-6B44-4978-9B37-F237CF24A912}" uniqueName="Blind_Spot_Monitoring">
      <xmlPr mapId="7" xpath="/MAKE/SA/LSS/HMI/Blind_Spot_Monitoring" xmlDataType="string"/>
    </xmlCellPr>
  </singleXmlCell>
  <singleXmlCell id="1351" xr6:uid="{96F1F262-38D4-4F0F-9229-17E8C304D8A0}" r="D24" connectionId="0">
    <xmlCellPr id="1" xr6:uid="{D99270A5-8CDE-411C-BC23-D726C5DC50D4}" uniqueName="Result">
      <xmlPr mapId="7" xpath="/MAKE/SA/LSS/ELK/ELK_Road_Edge/@Result" xmlDataType="decimal"/>
    </xmlCellPr>
  </singleXmlCell>
  <singleXmlCell id="1352" xr6:uid="{6992BB67-848B-4511-86F7-7E81B064C1FB}" r="D18" connectionId="0">
    <xmlCellPr id="1" xr6:uid="{58839F6D-F557-48FB-A65D-4024E48B9DCB}" uniqueName="No_line">
      <xmlPr mapId="7" xpath="/MAKE/SA/LSS/ELK/ELK_Road_Edge/_0.2ms-1/@No_line" xmlDataType="decimal"/>
    </xmlCellPr>
  </singleXmlCell>
  <singleXmlCell id="1353" xr6:uid="{85037EBE-2F81-4070-AA42-D64F515541B1}" r="J18" connectionId="0">
    <xmlCellPr id="1" xr6:uid="{67A7136D-26BC-463A-BA59-4B0018FFA6D9}" uniqueName="Centre_Dashed_line">
      <xmlPr mapId="7" xpath="/MAKE/SA/LSS/ELK/ELK_Road_Edge/_0.2ms-1/@Centre_Dashed_line" xmlDataType="decimal"/>
    </xmlCellPr>
  </singleXmlCell>
  <singleXmlCell id="1354" xr6:uid="{47BFAABA-5B12-4BE2-A171-F6AF5FA6CC93}" r="D19" connectionId="0">
    <xmlCellPr id="1" xr6:uid="{E783D3D8-5789-4C0C-936A-4823F65C5023}" uniqueName="No_line">
      <xmlPr mapId="7" xpath="/MAKE/SA/LSS/ELK/ELK_Road_Edge/_0.3ms-1/@No_line" xmlDataType="decimal"/>
    </xmlCellPr>
  </singleXmlCell>
  <singleXmlCell id="1355" xr6:uid="{26AC54A6-1F95-4631-9EF7-F1AD9D6E0A3D}" r="J19" connectionId="0">
    <xmlCellPr id="1" xr6:uid="{FB92FE30-73D5-44E8-BA8A-A4A1EF87A74F}" uniqueName="Centre_Dashed_line">
      <xmlPr mapId="7" xpath="/MAKE/SA/LSS/ELK/ELK_Road_Edge/_0.3ms-1/@Centre_Dashed_line" xmlDataType="decimal"/>
    </xmlCellPr>
  </singleXmlCell>
  <singleXmlCell id="1356" xr6:uid="{48BE2476-5EC1-445B-9AE0-44C0A2716571}" r="D20" connectionId="0">
    <xmlCellPr id="1" xr6:uid="{5EEB9209-B37E-4D74-9B1D-C6C67425A034}" uniqueName="No_line">
      <xmlPr mapId="7" xpath="/MAKE/SA/LSS/ELK/ELK_Road_Edge/_0.4ms-1/@No_line" xmlDataType="decimal"/>
    </xmlCellPr>
  </singleXmlCell>
  <singleXmlCell id="1357" xr6:uid="{95E59930-0140-4A1F-AFF3-61209954508C}" r="J20" connectionId="0">
    <xmlCellPr id="1" xr6:uid="{BC217E7C-A6FC-444F-9354-B6D3A7E69207}" uniqueName="Centre_Dashed_line">
      <xmlPr mapId="7" xpath="/MAKE/SA/LSS/ELK/ELK_Road_Edge/_0.4ms-1/@Centre_Dashed_line" xmlDataType="decimal"/>
    </xmlCellPr>
  </singleXmlCell>
  <singleXmlCell id="1360" xr6:uid="{F4DFA404-AE53-4347-83DD-32AC9D5F9FA4}" r="D21" connectionId="0">
    <xmlCellPr id="1" xr6:uid="{3F7B159F-D097-4569-BAFC-922FB71CF66D}" uniqueName="No_line">
      <xmlPr mapId="7" xpath="/MAKE/SA/LSS/ELK/ELK_Road_Edge/_0.5ms-1/@No_line" xmlDataType="decimal"/>
    </xmlCellPr>
  </singleXmlCell>
  <singleXmlCell id="1361" xr6:uid="{8A67D1B6-9B8A-48B3-8857-53D8DD604B5D}" r="J21" connectionId="0">
    <xmlCellPr id="1" xr6:uid="{FC996C86-5927-4B67-8ED0-120528531A41}" uniqueName="Centre_Dashed_line">
      <xmlPr mapId="7" xpath="/MAKE/SA/LSS/ELK/ELK_Road_Edge/_0.5ms-1/@Centre_Dashed_line" xmlDataType="decimal"/>
    </xmlCellPr>
  </singleXmlCell>
  <singleXmlCell id="1362" xr6:uid="{FAA65CF1-82D7-4EEA-B208-F406552357AE}" r="D22" connectionId="0">
    <xmlCellPr id="1" xr6:uid="{A8223AE8-07A4-442F-97E8-8ABB641BACEC}" uniqueName="No_line">
      <xmlPr mapId="7" xpath="/MAKE/SA/LSS/ELK/ELK_Road_Edge/_0.6ms-1/@No_line" xmlDataType="decimal"/>
    </xmlCellPr>
  </singleXmlCell>
  <singleXmlCell id="1363" xr6:uid="{22728561-63CA-4C73-930F-ABBD0344BD25}" r="J22" connectionId="0">
    <xmlCellPr id="1" xr6:uid="{2F780BB2-2E37-49C7-98B3-6B9B88743197}" uniqueName="Centre_Dashed_line">
      <xmlPr mapId="7" xpath="/MAKE/SA/LSS/ELK/ELK_Road_Edge/_0.6ms-1/@Centre_Dashed_line" xmlDataType="decimal"/>
    </xmlCellPr>
  </singleXmlCell>
  <singleXmlCell id="1364" xr6:uid="{A4E0EF8D-5A55-40C2-AF57-69E87B1FAF75}" r="D23" connectionId="0">
    <xmlCellPr id="1" xr6:uid="{07F821AF-B086-4FA6-9C14-18908BD69679}" uniqueName="No_line">
      <xmlPr mapId="7" xpath="/MAKE/SA/LSS/ELK/ELK_Road_Edge/_Scores/@No_line" xmlDataType="decimal"/>
    </xmlCellPr>
  </singleXmlCell>
  <singleXmlCell id="1365" xr6:uid="{1079619E-9CF8-4A70-9BBD-5F31A5A93F8B}" r="J23" connectionId="0">
    <xmlCellPr id="1" xr6:uid="{2A074C8D-5BB2-4114-B0B8-6AAA5F2C4B18}" uniqueName="Centre_Dashed_line">
      <xmlPr mapId="7" xpath="/MAKE/SA/LSS/ELK/ELK_Road_Edge/_Scores/@Centre_Dashed_line" xmlDataType="decimal"/>
    </xmlCellPr>
  </singleXmlCell>
  <singleXmlCell id="1366" xr6:uid="{5299405F-0A64-4F79-8289-76610EDDBCD9}" r="D31" connectionId="0">
    <xmlCellPr id="1" xr6:uid="{04B9ADDB-CE88-4238-A3C4-C1FE7410DBD4}" uniqueName="Result">
      <xmlPr mapId="7" xpath="/MAKE/SA/LSS/ELK/ELK_Solid_Line/@Result" xmlDataType="decimal"/>
    </xmlCellPr>
  </singleXmlCell>
  <singleXmlCell id="1367" xr6:uid="{335BD956-C675-4CA8-96B7-56CC1AFD5040}" r="D26" connectionId="0">
    <xmlCellPr id="1" xr6:uid="{1D79E7A6-67A6-45D7-BFE1-C8286B621B97}" uniqueName="Driver">
      <xmlPr mapId="7" xpath="/MAKE/SA/LSS/ELK/ELK_Solid_Line/_0.2ms-1/@Driver" xmlDataType="decimal"/>
    </xmlCellPr>
  </singleXmlCell>
  <singleXmlCell id="1368" xr6:uid="{9B8D02A1-6FC0-4B47-A623-3716AFAF1CD6}" r="J26" connectionId="0">
    <xmlCellPr id="1" xr6:uid="{D5853860-A26B-4E56-9A74-D91E6F237375}" uniqueName="Passenger">
      <xmlPr mapId="7" xpath="/MAKE/SA/LSS/ELK/ELK_Solid_Line/_0.2ms-1/@Passenger" xmlDataType="decimal"/>
    </xmlCellPr>
  </singleXmlCell>
  <singleXmlCell id="1369" xr6:uid="{7AFF660F-9B59-466F-82D1-275399B831E8}" r="D27" connectionId="0">
    <xmlCellPr id="1" xr6:uid="{982BEFC4-C1E6-4494-90BE-0806C529641A}" uniqueName="Driver">
      <xmlPr mapId="7" xpath="/MAKE/SA/LSS/ELK/ELK_Solid_Line/_0.3ms-1/@Driver" xmlDataType="decimal"/>
    </xmlCellPr>
  </singleXmlCell>
  <singleXmlCell id="1370" xr6:uid="{46738E26-BC90-41C6-8A30-FF9882D63551}" r="J27" connectionId="0">
    <xmlCellPr id="1" xr6:uid="{20F8B872-4A44-4D78-8952-8621C40D086C}" uniqueName="Passenger">
      <xmlPr mapId="7" xpath="/MAKE/SA/LSS/ELK/ELK_Solid_Line/_0.3ms-1/@Passenger" xmlDataType="decimal"/>
    </xmlCellPr>
  </singleXmlCell>
  <singleXmlCell id="1371" xr6:uid="{EBA23A62-5B98-4DD6-8043-B67D6072739E}" r="D28" connectionId="0">
    <xmlCellPr id="1" xr6:uid="{3B874888-C064-4C80-9877-EB071D0DB5D4}" uniqueName="Driver">
      <xmlPr mapId="7" xpath="/MAKE/SA/LSS/ELK/ELK_Solid_Line/_0.4ms-1/@Driver" xmlDataType="decimal"/>
    </xmlCellPr>
  </singleXmlCell>
  <singleXmlCell id="1372" xr6:uid="{6717B5A9-F84B-4F52-ACAB-4DA54B0D7BF9}" r="J28" connectionId="0">
    <xmlCellPr id="1" xr6:uid="{CC2EA00F-07D3-4F5F-939A-57D166F151DD}" uniqueName="Passenger">
      <xmlPr mapId="7" xpath="/MAKE/SA/LSS/ELK/ELK_Solid_Line/_0.4ms-1/@Passenger" xmlDataType="decimal"/>
    </xmlCellPr>
  </singleXmlCell>
  <singleXmlCell id="1373" xr6:uid="{C095BBFE-A123-4134-9A22-074E2692CD3F}" r="D29" connectionId="0">
    <xmlCellPr id="1" xr6:uid="{61171108-FBBE-49A3-9F25-C0AB25497455}" uniqueName="Driver">
      <xmlPr mapId="7" xpath="/MAKE/SA/LSS/ELK/ELK_Solid_Line/_0.5ms-1/@Driver" xmlDataType="decimal"/>
    </xmlCellPr>
  </singleXmlCell>
  <singleXmlCell id="1374" xr6:uid="{68E0CB48-115F-4870-8359-37B98E3C714F}" r="J29" connectionId="0">
    <xmlCellPr id="1" xr6:uid="{9772987D-B01C-41DC-A3C4-3A7CA1F8D737}" uniqueName="Passenger">
      <xmlPr mapId="7" xpath="/MAKE/SA/LSS/ELK/ELK_Solid_Line/_0.5ms-1/@Passenger" xmlDataType="decimal"/>
    </xmlCellPr>
  </singleXmlCell>
  <singleXmlCell id="1375" xr6:uid="{C0AC27DB-98A5-4D29-B17E-0523216425A1}" r="D30" connectionId="0">
    <xmlCellPr id="1" xr6:uid="{46E57E94-E3C6-4476-88F5-6710CDD5EF56}" uniqueName="Driver">
      <xmlPr mapId="7" xpath="/MAKE/SA/LSS/ELK/ELK_Solid_Line/_0.6ms-1/@Driver" xmlDataType="decimal"/>
    </xmlCellPr>
  </singleXmlCell>
  <singleXmlCell id="1376" xr6:uid="{590DCF67-D8D1-4D5A-8E93-0E5D99F4A602}" r="J30" connectionId="0">
    <xmlCellPr id="1" xr6:uid="{1EB9EF6E-CF24-4E4A-B9DC-13C0A044960A}" uniqueName="Passenger">
      <xmlPr mapId="7" xpath="/MAKE/SA/LSS/ELK/ELK_Solid_Line/_0.6ms-1/@Passenger" xmlDataType="decimal"/>
    </xmlCellPr>
  </singleXmlCell>
  <singleXmlCell id="1377" xr6:uid="{AC27D222-E3D7-4480-8E2E-EF1A6368DF98}" r="D38" connectionId="0">
    <xmlCellPr id="1" xr6:uid="{CD45DDF9-9AEE-4A4C-8167-33022FB9589C}" uniqueName="Result">
      <xmlPr mapId="7" xpath="/MAKE/SA/LSS/ELK/ELK_Oncoming/@Result" xmlDataType="decimal"/>
    </xmlCellPr>
  </singleXmlCell>
  <singleXmlCell id="1378" xr6:uid="{274A10E5-C65C-4CD6-AA32-45C98628DE82}" r="D33" connectionId="0">
    <xmlCellPr id="1" xr6:uid="{CC9714F2-7BCC-45A8-91B6-83B215FA0BFB}" uniqueName="_0.2ms-1">
      <xmlPr mapId="7" xpath="/MAKE/SA/LSS/ELK/ELK_Oncoming/_0.2ms-1" xmlDataType="string"/>
    </xmlCellPr>
  </singleXmlCell>
  <singleXmlCell id="1379" xr6:uid="{BD9A364D-4091-4C6D-B601-FBA0A1ED5938}" r="D34" connectionId="0">
    <xmlCellPr id="1" xr6:uid="{A7670C90-7D92-47A0-BBD2-247869DA0F8F}" uniqueName="_0.3ms-1">
      <xmlPr mapId="7" xpath="/MAKE/SA/LSS/ELK/ELK_Oncoming/_0.3ms-1" xmlDataType="string"/>
    </xmlCellPr>
  </singleXmlCell>
  <singleXmlCell id="1380" xr6:uid="{3E10E377-EDC8-40E4-8080-6F7AF71DC9C9}" r="D35" connectionId="0">
    <xmlCellPr id="1" xr6:uid="{7D3F19CA-D64C-448E-A5F3-6E6669598C5E}" uniqueName="_0.4ms-1">
      <xmlPr mapId="7" xpath="/MAKE/SA/LSS/ELK/ELK_Oncoming/_0.4ms-1" xmlDataType="string"/>
    </xmlCellPr>
  </singleXmlCell>
  <singleXmlCell id="1381" xr6:uid="{EF531041-6C06-4ABB-B378-8318E62A4081}" r="D36" connectionId="0">
    <xmlCellPr id="1" xr6:uid="{97221CB1-88AD-4A46-AE74-2115587001EA}" uniqueName="_0.5ms-1">
      <xmlPr mapId="7" xpath="/MAKE/SA/LSS/ELK/ELK_Oncoming/_0.5ms-1" xmlDataType="string"/>
    </xmlCellPr>
  </singleXmlCell>
  <singleXmlCell id="1382" xr6:uid="{6B82A927-AF89-4A8D-83A7-5D617135215A}" r="D37" connectionId="0">
    <xmlCellPr id="1" xr6:uid="{D73362E2-800D-4C5F-BC7D-3447A4CA7895}" uniqueName="_0.6ms-1">
      <xmlPr mapId="7" xpath="/MAKE/SA/LSS/ELK/ELK_Oncoming/_0.6ms-1" xmlDataType="string"/>
    </xmlCellPr>
  </singleXmlCell>
  <singleXmlCell id="1383" xr6:uid="{3EC9D918-ED21-4AAF-B085-F7853DF01636}" r="D53" connectionId="0">
    <xmlCellPr id="1" xr6:uid="{57C474E8-CD73-49D7-AB46-FDF63D90C245}" uniqueName="Result">
      <xmlPr mapId="7" xpath="/MAKE/SA/LSS/ELK/ELK_Overtaking/@Result" xmlDataType="decimal"/>
    </xmlCellPr>
  </singleXmlCell>
  <singleXmlCell id="1384" xr6:uid="{6A69B151-C4CE-4DF0-8E90-8FE3DB349955}" r="D40" connectionId="0">
    <xmlCellPr id="1" xr6:uid="{3D395F6F-2981-40EF-BD3C-121C46A367BE}" uniqueName="Unintentional">
      <xmlPr mapId="7" xpath="/MAKE/SA/LSS/ELK/ELK_Overtaking/GVT_72/_0.2ms-1/@Unintentional" xmlDataType="string"/>
    </xmlCellPr>
  </singleXmlCell>
  <singleXmlCell id="1385" xr6:uid="{28DED72F-B7E9-48FF-9C49-93A7CC607436}" r="D41" connectionId="0">
    <xmlCellPr id="1" xr6:uid="{E05CED01-B7D3-4735-8815-2782548C2341}" uniqueName="Unintentional">
      <xmlPr mapId="7" xpath="/MAKE/SA/LSS/ELK/ELK_Overtaking/GVT_72/_0.3ms-1/@Unintentional" xmlDataType="string"/>
    </xmlCellPr>
  </singleXmlCell>
  <singleXmlCell id="1386" xr6:uid="{7160FD45-DA19-44B9-975E-364E6527F4DB}" r="D42" connectionId="0">
    <xmlCellPr id="1" xr6:uid="{E8183A9C-40EB-4E52-A1DD-B26578A605A5}" uniqueName="Unintentional">
      <xmlPr mapId="7" xpath="/MAKE/SA/LSS/ELK/ELK_Overtaking/GVT_72/_0.4ms-1/@Unintentional" xmlDataType="string"/>
    </xmlCellPr>
  </singleXmlCell>
  <singleXmlCell id="1387" xr6:uid="{77B5AE64-E440-47DD-A4E8-33F77C122F70}" r="D43" connectionId="0">
    <xmlCellPr id="1" xr6:uid="{41AF47D2-E878-4450-98E1-AFEF14204962}" uniqueName="Unintentional">
      <xmlPr mapId="7" xpath="/MAKE/SA/LSS/ELK/ELK_Overtaking/GVT_72/_0.5ms-1/@Unintentional" xmlDataType="string"/>
    </xmlCellPr>
  </singleXmlCell>
  <singleXmlCell id="1388" xr6:uid="{5CA960DA-1839-450E-B6F4-3E8736D4CFCA}" r="J43" connectionId="0">
    <xmlCellPr id="1" xr6:uid="{B9C979BB-AD74-4193-B42C-03C395AD3CA9}" uniqueName="Intentional">
      <xmlPr mapId="7" xpath="/MAKE/SA/LSS/ELK/ELK_Overtaking/GVT_72/_0.5ms-1/@Intentional" xmlDataType="string"/>
    </xmlCellPr>
  </singleXmlCell>
  <singleXmlCell id="1627" xr6:uid="{8CDBE92D-EAC5-42CA-8406-952576A31401}" r="D44" connectionId="0">
    <xmlCellPr id="1" xr6:uid="{9292006C-C1C0-4D39-B05C-41077F232DD3}" uniqueName="Unintentional">
      <xmlPr mapId="7" xpath="/MAKE/SA/LSS/ELK/ELK_Overtaking/GVT_72/_0.6ms-1/@Unintentional" xmlDataType="string"/>
    </xmlCellPr>
  </singleXmlCell>
  <singleXmlCell id="1645" xr6:uid="{9F39C9C0-0DBA-424C-9A2A-57F822D8DA3D}" r="J44" connectionId="0">
    <xmlCellPr id="1" xr6:uid="{665B1B04-4E93-4972-BA85-73EB134BC47B}" uniqueName="Intentional">
      <xmlPr mapId="7" xpath="/MAKE/SA/LSS/ELK/ELK_Overtaking/GVT_72/_0.6ms-1/@Intentional" xmlDataType="string"/>
    </xmlCellPr>
  </singleXmlCell>
  <singleXmlCell id="1646" xr6:uid="{0666F439-5682-42F0-A010-7D3F04F4D841}" r="J45" connectionId="0">
    <xmlCellPr id="1" xr6:uid="{69B06DFB-8B0D-4569-9212-5EAAB2702177}" uniqueName="Intentional">
      <xmlPr mapId="7" xpath="/MAKE/SA/LSS/ELK/ELK_Overtaking/GVT_72/_0.7ms-1/@Intentional" xmlDataType="string"/>
    </xmlCellPr>
  </singleXmlCell>
  <singleXmlCell id="1664" xr6:uid="{92ADA2A6-80BC-4E7B-8C88-F322A06165FB}" r="D47" connectionId="0">
    <xmlCellPr id="1" xr6:uid="{9B194F89-78F9-4855-9E35-83915DE74BC9}" uniqueName="Unintentional">
      <xmlPr mapId="7" xpath="/MAKE/SA/LSS/ELK/ELK_Overtaking/GVT_80/_0.2ms-1/@Unintentional" xmlDataType="string"/>
    </xmlCellPr>
  </singleXmlCell>
  <singleXmlCell id="1665" xr6:uid="{7BDA9D7D-54C1-4F4A-9FD9-A8EFBD6BAA81}" r="D48" connectionId="0">
    <xmlCellPr id="1" xr6:uid="{3CE2396C-134C-4C2B-83F8-02D142348FE1}" uniqueName="Unintentional">
      <xmlPr mapId="7" xpath="/MAKE/SA/LSS/ELK/ELK_Overtaking/GVT_80/_0.3ms-1/@Unintentional" xmlDataType="string"/>
    </xmlCellPr>
  </singleXmlCell>
  <singleXmlCell id="1683" xr6:uid="{4236DEBE-AC19-4546-86C1-96DA737C9554}" r="D49" connectionId="0">
    <xmlCellPr id="1" xr6:uid="{7023EF88-3956-4866-BF8D-654B6D9F7332}" uniqueName="Unintentional">
      <xmlPr mapId="7" xpath="/MAKE/SA/LSS/ELK/ELK_Overtaking/GVT_80/_0.4ms-1/@Unintentional" xmlDataType="string"/>
    </xmlCellPr>
  </singleXmlCell>
  <singleXmlCell id="1684" xr6:uid="{DDC67CDB-5BEF-4919-800B-776C641B2084}" r="D50" connectionId="0">
    <xmlCellPr id="1" xr6:uid="{615A54EA-B575-4C38-85ED-40DFBD03848B}" uniqueName="Unintentional">
      <xmlPr mapId="7" xpath="/MAKE/SA/LSS/ELK/ELK_Overtaking/GVT_80/_0.5ms-1/@Unintentional" xmlDataType="string"/>
    </xmlCellPr>
  </singleXmlCell>
  <singleXmlCell id="1702" xr6:uid="{EF4874AB-F6D9-4B44-9A73-006F8FED3184}" r="J50" connectionId="0">
    <xmlCellPr id="1" xr6:uid="{6F5319A3-FA14-4876-8ABD-5103B0117DFB}" uniqueName="Intentional">
      <xmlPr mapId="7" xpath="/MAKE/SA/LSS/ELK/ELK_Overtaking/GVT_80/_0.5ms-1/@Intentional" xmlDataType="string"/>
    </xmlCellPr>
  </singleXmlCell>
  <singleXmlCell id="1703" xr6:uid="{BEE18400-6390-4D06-9E92-1A12526DB28C}" r="D51" connectionId="0">
    <xmlCellPr id="1" xr6:uid="{236939C1-D7F5-4752-B8F9-C3558F960E0D}" uniqueName="Unintentional">
      <xmlPr mapId="7" xpath="/MAKE/SA/LSS/ELK/ELK_Overtaking/GVT_80/_0.6ms-1/@Unintentional" xmlDataType="string"/>
    </xmlCellPr>
  </singleXmlCell>
  <singleXmlCell id="1721" xr6:uid="{AA44027D-52BD-40D6-AD5A-93FB01979231}" r="J51" connectionId="0">
    <xmlCellPr id="1" xr6:uid="{6B86B5B4-3E52-4E19-A0E2-1E5905756D73}" uniqueName="Intentional">
      <xmlPr mapId="7" xpath="/MAKE/SA/LSS/ELK/ELK_Overtaking/GVT_80/_0.6ms-1/@Intentional" xmlDataType="string"/>
    </xmlCellPr>
  </singleXmlCell>
  <singleXmlCell id="1722" xr6:uid="{018682B3-A3CD-4CA4-B098-90911219BAB2}" r="J52" connectionId="0">
    <xmlCellPr id="1" xr6:uid="{616E6358-1A6B-4866-A637-705FC9E8517F}" uniqueName="Intentional">
      <xmlPr mapId="7" xpath="/MAKE/SA/LSS/ELK/ELK_Overtaking/GVT_80/_0.7ms-1/@Intentional" xmlDataType="string"/>
    </xmlCellPr>
  </singleXmlCell>
  <singleXmlCell id="1740" xr6:uid="{098DE6CE-6302-4ACD-AFC8-A443C3493CFB}" r="D64" connectionId="0">
    <xmlCellPr id="1" xr6:uid="{1DF6D9A0-B4EB-4FF5-A6C0-16F77132A730}" uniqueName="Result">
      <xmlPr mapId="7" xpath="/MAKE/SA/LSS/LKA/Dashed_Line/@Result" xmlDataType="decimal"/>
    </xmlCellPr>
  </singleXmlCell>
  <singleXmlCell id="1741" xr6:uid="{5F20190C-FDE7-423B-9864-28E0D44FC703}" r="D59" connectionId="0">
    <xmlCellPr id="1" xr6:uid="{21B7606E-F27D-435E-A34B-639FB771F4B7}" uniqueName="Driver">
      <xmlPr mapId="7" xpath="/MAKE/SA/LSS/LKA/Dashed_Line/_0.2ms-1/@Driver" xmlDataType="decimal"/>
    </xmlCellPr>
  </singleXmlCell>
  <singleXmlCell id="1759" xr6:uid="{DCE569C8-68F6-40A8-8F46-BD1C7F9DF6C4}" r="G59" connectionId="0">
    <xmlCellPr id="1" xr6:uid="{6018203E-4F7E-45CA-81E0-85022C2719CE}" uniqueName="Passenger">
      <xmlPr mapId="7" xpath="/MAKE/SA/LSS/LKA/Dashed_Line/_0.2ms-1/@Passenger" xmlDataType="decimal"/>
    </xmlCellPr>
  </singleXmlCell>
  <singleXmlCell id="1760" xr6:uid="{48F90F93-9705-4CBD-B73A-B2C418FA5D8C}" r="D60" connectionId="0">
    <xmlCellPr id="1" xr6:uid="{CF6147E1-E1B2-459E-9D09-D1BA9AFCD3C8}" uniqueName="Driver">
      <xmlPr mapId="7" xpath="/MAKE/SA/LSS/LKA/Dashed_Line/_0.3ms-1/@Driver" xmlDataType="decimal"/>
    </xmlCellPr>
  </singleXmlCell>
  <singleXmlCell id="1778" xr6:uid="{FC6BD91C-55A9-481B-9F97-C01259941E4A}" r="G60" connectionId="0">
    <xmlCellPr id="1" xr6:uid="{766A2F65-2746-4E33-85F4-53685A8A7EBA}" uniqueName="Passenger">
      <xmlPr mapId="7" xpath="/MAKE/SA/LSS/LKA/Dashed_Line/_0.3ms-1/@Passenger" xmlDataType="decimal"/>
    </xmlCellPr>
  </singleXmlCell>
  <singleXmlCell id="1779" xr6:uid="{1A8BC8E3-090B-478B-A269-E8C2CBDD5ED0}" r="D61" connectionId="0">
    <xmlCellPr id="1" xr6:uid="{DFD69149-DC62-4E51-B3BB-C3204F0EDE07}" uniqueName="Driver">
      <xmlPr mapId="7" xpath="/MAKE/SA/LSS/LKA/Dashed_Line/_0.4ms-1/@Driver" xmlDataType="decimal"/>
    </xmlCellPr>
  </singleXmlCell>
  <singleXmlCell id="1797" xr6:uid="{35CED384-542C-493D-BE76-314870D2B81B}" r="G61" connectionId="0">
    <xmlCellPr id="1" xr6:uid="{993D4F3A-6618-4B18-80FB-C26EF4B3B8A2}" uniqueName="Passenger">
      <xmlPr mapId="7" xpath="/MAKE/SA/LSS/LKA/Dashed_Line/_0.4ms-1/@Passenger" xmlDataType="decimal"/>
    </xmlCellPr>
  </singleXmlCell>
  <singleXmlCell id="1798" xr6:uid="{7F23CF47-3544-4498-BB65-0B0CA23A370B}" r="D62" connectionId="0">
    <xmlCellPr id="1" xr6:uid="{FC1EC017-EB2A-4864-8FEE-AE5AD438A258}" uniqueName="Driver">
      <xmlPr mapId="7" xpath="/MAKE/SA/LSS/LKA/Dashed_Line/_0.5ms-1/@Driver" xmlDataType="decimal"/>
    </xmlCellPr>
  </singleXmlCell>
  <singleXmlCell id="1816" xr6:uid="{0799C5AB-7337-4864-9BDE-F09F0D311DE6}" r="G62" connectionId="0">
    <xmlCellPr id="1" xr6:uid="{630C5587-3DD6-400A-B0F2-49A90BF8187B}" uniqueName="Passenger">
      <xmlPr mapId="7" xpath="/MAKE/SA/LSS/LKA/Dashed_Line/_0.5ms-1/@Passenger" xmlDataType="decimal"/>
    </xmlCellPr>
  </singleXmlCell>
  <singleXmlCell id="1817" xr6:uid="{DA698E3C-D802-4779-ADA8-8040C88723F5}" r="J64" connectionId="0">
    <xmlCellPr id="1" xr6:uid="{AACC7281-058A-4E9E-9625-526CDBADB117}" uniqueName="Result">
      <xmlPr mapId="7" xpath="/MAKE/SA/LSS/LKA/Solid_Line/@Result" xmlDataType="decimal"/>
    </xmlCellPr>
  </singleXmlCell>
  <singleXmlCell id="1835" xr6:uid="{731DC938-595A-42BD-9B96-DE8891C487AE}" r="J59" connectionId="0">
    <xmlCellPr id="1" xr6:uid="{B35C74EE-38C0-4A51-841A-5767C19C1910}" uniqueName="Driver">
      <xmlPr mapId="7" xpath="/MAKE/SA/LSS/LKA/Solid_Line/_0.2ms-1/@Driver" xmlDataType="decimal"/>
    </xmlCellPr>
  </singleXmlCell>
  <singleXmlCell id="1836" xr6:uid="{90569630-89F4-4171-969E-BB2BD98F5C21}" r="M59" connectionId="0">
    <xmlCellPr id="1" xr6:uid="{5B9B5845-7197-4503-AFA8-7C1B2564BDE3}" uniqueName="Passenger">
      <xmlPr mapId="7" xpath="/MAKE/SA/LSS/LKA/Solid_Line/_0.2ms-1/@Passenger" xmlDataType="decimal"/>
    </xmlCellPr>
  </singleXmlCell>
  <singleXmlCell id="1854" xr6:uid="{B6A0AC24-4DED-4A1F-90A2-EC0E271DA92C}" r="J60" connectionId="0">
    <xmlCellPr id="1" xr6:uid="{73D4CF04-23A3-4911-A334-21368F024C14}" uniqueName="Driver">
      <xmlPr mapId="7" xpath="/MAKE/SA/LSS/LKA/Solid_Line/_0.3ms-1/@Driver" xmlDataType="decimal"/>
    </xmlCellPr>
  </singleXmlCell>
  <singleXmlCell id="1855" xr6:uid="{FA1E9384-1335-4875-8706-B5022154F2C9}" r="M60" connectionId="0">
    <xmlCellPr id="1" xr6:uid="{C368F391-949A-4804-878A-B9705FD9EEC5}" uniqueName="Passenger">
      <xmlPr mapId="7" xpath="/MAKE/SA/LSS/LKA/Solid_Line/_0.3ms-1/@Passenger" xmlDataType="decimal"/>
    </xmlCellPr>
  </singleXmlCell>
  <singleXmlCell id="1873" xr6:uid="{EC92EC9A-BC6A-44F3-B196-B2AF97791D09}" r="J61" connectionId="0">
    <xmlCellPr id="1" xr6:uid="{DBB9CE89-1DCF-42E5-A1CD-D530F650427A}" uniqueName="Driver">
      <xmlPr mapId="7" xpath="/MAKE/SA/LSS/LKA/Solid_Line/_0.4ms-1/@Driver" xmlDataType="decimal"/>
    </xmlCellPr>
  </singleXmlCell>
  <singleXmlCell id="1874" xr6:uid="{3C4DD8BB-1D04-4264-8E51-8C9E4126F49A}" r="M61" connectionId="0">
    <xmlCellPr id="1" xr6:uid="{E1D15E8C-ECCA-479A-88C9-0E59FA532056}" uniqueName="Passenger">
      <xmlPr mapId="7" xpath="/MAKE/SA/LSS/LKA/Solid_Line/_0.4ms-1/@Passenger" xmlDataType="decimal"/>
    </xmlCellPr>
  </singleXmlCell>
  <singleXmlCell id="1892" xr6:uid="{65BB3863-0064-4DFF-B948-6B09783B4C5E}" r="J62" connectionId="0">
    <xmlCellPr id="1" xr6:uid="{8D017C99-2FF5-4CC9-9F59-045B489081CC}" uniqueName="Driver">
      <xmlPr mapId="7" xpath="/MAKE/SA/LSS/LKA/Solid_Line/_0.5ms-1/@Driver" xmlDataType="decimal"/>
    </xmlCellPr>
  </singleXmlCell>
  <singleXmlCell id="1893" xr6:uid="{0C3A709F-9B86-4007-9BF8-87ECB6F10AF1}" r="M62" connectionId="0">
    <xmlCellPr id="1" xr6:uid="{90C30AD5-8758-46C9-BC5C-46C5CDD404ED}" uniqueName="Passenger">
      <xmlPr mapId="7" xpath="/MAKE/SA/LSS/LKA/Solid_Line/_0.5ms-1/@Passenger" xmlDataType="decimal"/>
    </xmlCellPr>
  </singleXmlCell>
  <singleXmlCell id="1358" xr6:uid="{FAB2D8FD-D5E3-4A3E-BAA5-C3DAC47C83B5}" r="D63" connectionId="0">
    <xmlCellPr id="1" xr6:uid="{E20EB088-26ED-4DD4-B9EF-D75EF5B1DD8D}" uniqueName="Driver">
      <xmlPr mapId="7" xpath="/MAKE/SA/LSS/LKA/Dashed_Line/_0.6ms-1/@Driver" xmlDataType="decimal"/>
    </xmlCellPr>
  </singleXmlCell>
  <singleXmlCell id="1359" xr6:uid="{E2D95BB0-7F67-434D-8BD8-4805D1E229E8}" r="G63" connectionId="0">
    <xmlCellPr id="1" xr6:uid="{5122DFCC-4733-4E8E-A73A-9CCD1801C194}" uniqueName="Passenger">
      <xmlPr mapId="7" xpath="/MAKE/SA/LSS/LKA/Dashed_Line/_0.6ms-1/@Passenger" xmlDataType="decimal"/>
    </xmlCellPr>
  </singleXmlCell>
  <singleXmlCell id="1911" xr6:uid="{6160161D-341B-4601-826C-8886EB4E6C8A}" r="J63" connectionId="0">
    <xmlCellPr id="1" xr6:uid="{C01388F8-300B-498C-A27F-34958836B7B2}" uniqueName="Driver">
      <xmlPr mapId="7" xpath="/MAKE/SA/LSS/LKA/Solid_Line/_0.6ms-1/@Driver" xmlDataType="decimal"/>
    </xmlCellPr>
  </singleXmlCell>
  <singleXmlCell id="5237" xr6:uid="{822BB467-65C2-432B-B6FA-AB41C453A2F0}" r="M63" connectionId="0">
    <xmlCellPr id="1" xr6:uid="{6D645090-DA29-432B-8EFC-703FE91B13C9}" uniqueName="Passenger">
      <xmlPr mapId="7" xpath="/MAKE/SA/LSS/LKA/Solid_Line/_0.6ms-1/@Passenger" xmlDataType="decimal"/>
    </xmlCellPr>
  </singleXmlCell>
</singleXmlCells>
</file>

<file path=xl/tables/tableSingleCells23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51" xr6:uid="{B25AD3C5-866A-47FA-8600-82AC988BBDEF}" r="C1" connectionId="0">
    <xmlCellPr id="1" xr6:uid="{E1CE4BF4-4984-4BE0-96F8-7DB8218F0011}" uniqueName="Reference_Number">
      <xmlPr mapId="7" xpath="/MAKE/GENERAL/VEHICLE_SPECIFICATION/Reference_Number" xmlDataType="anyType"/>
    </xmlCellPr>
  </singleXmlCell>
  <singleXmlCell id="127" xr6:uid="{6AEA6732-D123-4F80-A845-1DC185981BFB}" r="C5" connectionId="0">
    <xmlCellPr id="1" xr6:uid="{8982282D-B152-4246-9CF7-996D7893271F}" uniqueName="Type_Approval_Number">
      <xmlPr mapId="7" xpath="/MAKE/GENERAL/VEHICLE_SPECIFICATION/Type_Approval_Number" xmlDataType="string"/>
    </xmlCellPr>
  </singleXmlCell>
  <singleXmlCell id="158" xr6:uid="{75CCD778-EE12-44A0-89E9-9C19724ABA8C}" r="D128" connectionId="0">
    <xmlCellPr id="1" xr6:uid="{BB0D7BD9-F8B6-44F3-B8EC-0E94CD4F8B39}" uniqueName="plus10">
      <xmlPr mapId="7" xpath="/MAKE/PP/PPHeadform/WAD_on_Centreline/v2800_18/@plus10" xmlDataType="string"/>
    </xmlCellPr>
  </singleXmlCell>
  <singleXmlCell id="159" xr6:uid="{8C143E61-4685-4D12-97C1-83A496EA18E9}" r="E128" connectionId="0">
    <xmlCellPr id="1" xr6:uid="{5C125907-0CE9-454E-807B-ABF652AF432F}" uniqueName="plus9">
      <xmlPr mapId="7" xpath="/MAKE/PP/PPHeadform/WAD_on_Centreline/v2800_18/@plus9" xmlDataType="string"/>
    </xmlCellPr>
  </singleXmlCell>
  <singleXmlCell id="172" xr6:uid="{C494E9C9-5558-4BA3-B75D-E042E45695C8}" r="F128" connectionId="0">
    <xmlCellPr id="1" xr6:uid="{9BAC8975-7C36-4E95-A104-6501807A00D9}" uniqueName="plus8">
      <xmlPr mapId="7" xpath="/MAKE/PP/PPHeadform/WAD_on_Centreline/v2800_18/@plus8" xmlDataType="string"/>
    </xmlCellPr>
  </singleXmlCell>
  <singleXmlCell id="173" xr6:uid="{21B757B8-E218-4A2D-9B88-4615140A935E}" r="G128" connectionId="0">
    <xmlCellPr id="1" xr6:uid="{4FA50FE1-FDE2-425C-9D48-271F2CB17A91}" uniqueName="plus7">
      <xmlPr mapId="7" xpath="/MAKE/PP/PPHeadform/WAD_on_Centreline/v2800_18/@plus7" xmlDataType="string"/>
    </xmlCellPr>
  </singleXmlCell>
  <singleXmlCell id="218" xr6:uid="{E35C1458-7BA1-48C8-B81B-0855D4A58C90}" r="H128" connectionId="0">
    <xmlCellPr id="1" xr6:uid="{5DDB58F9-9ACA-4B1D-8F2D-9FC017D2C2E3}" uniqueName="plus6">
      <xmlPr mapId="7" xpath="/MAKE/PP/PPHeadform/WAD_on_Centreline/v2800_18/@plus6" xmlDataType="string"/>
    </xmlCellPr>
  </singleXmlCell>
  <singleXmlCell id="219" xr6:uid="{1C1839EB-FD3B-4065-8FCB-FA9A948CC1DE}" r="I128" connectionId="0">
    <xmlCellPr id="1" xr6:uid="{30C2C678-643E-47C5-87BC-036E07232F51}" uniqueName="plus5">
      <xmlPr mapId="7" xpath="/MAKE/PP/PPHeadform/WAD_on_Centreline/v2800_18/@plus5" xmlDataType="string"/>
    </xmlCellPr>
  </singleXmlCell>
  <singleXmlCell id="220" xr6:uid="{5E8CBDAE-192D-4B68-A1BA-51C4E0AE60BA}" r="J128" connectionId="0">
    <xmlCellPr id="1" xr6:uid="{E981612A-D7C1-4B7B-BE2D-E481C50D4286}" uniqueName="plus4">
      <xmlPr mapId="7" xpath="/MAKE/PP/PPHeadform/WAD_on_Centreline/v2800_18/@plus4" xmlDataType="string"/>
    </xmlCellPr>
  </singleXmlCell>
  <singleXmlCell id="221" xr6:uid="{69F6902C-1C67-40D2-B1A2-AC42FF54DCE8}" r="K128" connectionId="0">
    <xmlCellPr id="1" xr6:uid="{88397E94-CBB3-4A3A-A434-3F7FB1E5624D}" uniqueName="plus3">
      <xmlPr mapId="7" xpath="/MAKE/PP/PPHeadform/WAD_on_Centreline/v2800_18/@plus3" xmlDataType="string"/>
    </xmlCellPr>
  </singleXmlCell>
  <singleXmlCell id="222" xr6:uid="{1B73DA41-6160-4BA1-AE3C-4DDA33ABF511}" r="L128" connectionId="0">
    <xmlCellPr id="1" xr6:uid="{33122990-8EFE-4372-8BBF-67EB01D6D053}" uniqueName="plus2">
      <xmlPr mapId="7" xpath="/MAKE/PP/PPHeadform/WAD_on_Centreline/v2800_18/@plus2" xmlDataType="string"/>
    </xmlCellPr>
  </singleXmlCell>
  <singleXmlCell id="223" xr6:uid="{56EA91A6-1F54-42BA-86E2-C3D1EB23C586}" r="M128" connectionId="0">
    <xmlCellPr id="1" xr6:uid="{3BA8BD17-DB5B-4FFF-A8F5-7F69AA76A595}" uniqueName="plus1">
      <xmlPr mapId="7" xpath="/MAKE/PP/PPHeadform/WAD_on_Centreline/v2800_18/@plus1" xmlDataType="string"/>
    </xmlCellPr>
  </singleXmlCell>
  <singleXmlCell id="224" xr6:uid="{346DD076-2DA4-4251-A79F-2E70009BE916}" r="N128" connectionId="0">
    <xmlCellPr id="1" xr6:uid="{767DE812-3AD5-4FB1-B13D-F97C2386EE60}" uniqueName="zero">
      <xmlPr mapId="7" xpath="/MAKE/PP/PPHeadform/WAD_on_Centreline/v2800_18/@zero" xmlDataType="string"/>
    </xmlCellPr>
  </singleXmlCell>
  <singleXmlCell id="225" xr6:uid="{A758AF36-2612-41CA-A636-5ACD4096BF44}" r="O128" connectionId="0">
    <xmlCellPr id="1" xr6:uid="{7AB2A482-C91E-4269-870A-E6BE9D1766B4}" uniqueName="minus1">
      <xmlPr mapId="7" xpath="/MAKE/PP/PPHeadform/WAD_on_Centreline/v2800_18/@minus1" xmlDataType="string"/>
    </xmlCellPr>
  </singleXmlCell>
  <singleXmlCell id="226" xr6:uid="{D9C6A6C3-20E0-4A0C-A8AD-1775F0F5FCCE}" r="P128" connectionId="0">
    <xmlCellPr id="1" xr6:uid="{D0903C7B-C67E-450B-995F-B3EB037C56FE}" uniqueName="minus2">
      <xmlPr mapId="7" xpath="/MAKE/PP/PPHeadform/WAD_on_Centreline/v2800_18/@minus2" xmlDataType="string"/>
    </xmlCellPr>
  </singleXmlCell>
  <singleXmlCell id="227" xr6:uid="{9E0448BE-CE1E-4CCA-AE91-969AC1C54D5A}" r="Q128" connectionId="0">
    <xmlCellPr id="1" xr6:uid="{D8C3AFC1-64E6-4CDE-91CC-2B07AED54A33}" uniqueName="minus3">
      <xmlPr mapId="7" xpath="/MAKE/PP/PPHeadform/WAD_on_Centreline/v2800_18/@minus3" xmlDataType="string"/>
    </xmlCellPr>
  </singleXmlCell>
  <singleXmlCell id="228" xr6:uid="{239A6759-0185-489E-9959-13B7BEF46188}" r="R128" connectionId="0">
    <xmlCellPr id="1" xr6:uid="{7118E9C4-606F-416E-AF07-99813BBA9E21}" uniqueName="minus4">
      <xmlPr mapId="7" xpath="/MAKE/PP/PPHeadform/WAD_on_Centreline/v2800_18/@minus4" xmlDataType="string"/>
    </xmlCellPr>
  </singleXmlCell>
  <singleXmlCell id="229" xr6:uid="{3BA60866-D3A7-4DD1-9913-67D37CB59B25}" r="S128" connectionId="0">
    <xmlCellPr id="1" xr6:uid="{2E765C6E-A796-43D4-85DB-249804C17D15}" uniqueName="minus5">
      <xmlPr mapId="7" xpath="/MAKE/PP/PPHeadform/WAD_on_Centreline/v2800_18/@minus5" xmlDataType="string"/>
    </xmlCellPr>
  </singleXmlCell>
  <singleXmlCell id="230" xr6:uid="{66FCD97A-E672-46B2-9F76-9E15DE132202}" r="T128" connectionId="0">
    <xmlCellPr id="1" xr6:uid="{7DB0AEB8-1DF9-420D-ADCB-F96499DB68A9}" uniqueName="minus6">
      <xmlPr mapId="7" xpath="/MAKE/PP/PPHeadform/WAD_on_Centreline/v2800_18/@minus6" xmlDataType="string"/>
    </xmlCellPr>
  </singleXmlCell>
  <singleXmlCell id="231" xr6:uid="{D78DA2E2-1F4D-4C34-8F5C-E96501F80E71}" r="U128" connectionId="0">
    <xmlCellPr id="1" xr6:uid="{BD4390F1-42A0-4341-8E7D-4A1EA1A9A9C5}" uniqueName="minus7">
      <xmlPr mapId="7" xpath="/MAKE/PP/PPHeadform/WAD_on_Centreline/v2800_18/@minus7" xmlDataType="string"/>
    </xmlCellPr>
  </singleXmlCell>
  <singleXmlCell id="232" xr6:uid="{FDE359FE-BEE8-4F36-B4B8-87AB632E6246}" r="V128" connectionId="0">
    <xmlCellPr id="1" xr6:uid="{697176D0-DF23-4BB7-B0FD-DA75243CE5B9}" uniqueName="minus8">
      <xmlPr mapId="7" xpath="/MAKE/PP/PPHeadform/WAD_on_Centreline/v2800_18/@minus8" xmlDataType="string"/>
    </xmlCellPr>
  </singleXmlCell>
  <singleXmlCell id="233" xr6:uid="{4E26ACB7-A6E8-405E-95A7-040A950350C4}" r="W128" connectionId="0">
    <xmlCellPr id="1" xr6:uid="{E30AFB18-3455-434E-82DD-8F40ED8F0F2F}" uniqueName="minus9">
      <xmlPr mapId="7" xpath="/MAKE/PP/PPHeadform/WAD_on_Centreline/v2800_18/@minus9" xmlDataType="string"/>
    </xmlCellPr>
  </singleXmlCell>
  <singleXmlCell id="234" xr6:uid="{5D372ECC-61E5-47D4-A213-D9281D449DAD}" r="X128" connectionId="0">
    <xmlCellPr id="1" xr6:uid="{C6DFDA47-5FD1-4924-808D-3F26DD4CDE5D}" uniqueName="minus10">
      <xmlPr mapId="7" xpath="/MAKE/PP/PPHeadform/WAD_on_Centreline/v2800_18/@minus10" xmlDataType="string"/>
    </xmlCellPr>
  </singleXmlCell>
  <singleXmlCell id="235" xr6:uid="{531645DB-6CED-4B18-987B-E863E8069F77}" r="Y128" connectionId="0">
    <xmlCellPr id="1" xr6:uid="{C7EFC6CF-9EAB-4CD9-990A-78D7DD6EF706}" uniqueName="WindshieldStartsHere">
      <xmlPr mapId="7" xpath="/MAKE/PP/PPHeadform/WAD_on_Centreline/v2800_18/@WindshieldStartsHere" xmlDataType="string"/>
    </xmlCellPr>
  </singleXmlCell>
  <singleXmlCell id="236" xr6:uid="{4E9D5395-D8AB-4EB4-83AE-82407614346A}" r="D129" connectionId="0">
    <xmlCellPr id="1" xr6:uid="{457B0A76-06EB-4629-AB43-AD286BCF1A5F}" uniqueName="plus10">
      <xmlPr mapId="7" xpath="/MAKE/PP/PPHeadform/WAD_on_Centreline/v2700_17/@plus10" xmlDataType="string"/>
    </xmlCellPr>
  </singleXmlCell>
  <singleXmlCell id="237" xr6:uid="{559B19EA-1477-40EC-9C4D-04BE199270B9}" r="E129" connectionId="0">
    <xmlCellPr id="1" xr6:uid="{8C784BFC-3F76-4D8C-B70C-681D46C823FA}" uniqueName="plus9">
      <xmlPr mapId="7" xpath="/MAKE/PP/PPHeadform/WAD_on_Centreline/v2700_17/@plus9" xmlDataType="string"/>
    </xmlCellPr>
  </singleXmlCell>
  <singleXmlCell id="238" xr6:uid="{87EAC04D-23A6-4D30-B480-05F0D157BDF1}" r="F129" connectionId="0">
    <xmlCellPr id="1" xr6:uid="{34D59E98-76F3-4D07-944E-DD5F1C3682BC}" uniqueName="plus8">
      <xmlPr mapId="7" xpath="/MAKE/PP/PPHeadform/WAD_on_Centreline/v2700_17/@plus8" xmlDataType="string"/>
    </xmlCellPr>
  </singleXmlCell>
  <singleXmlCell id="239" xr6:uid="{91622E1B-9847-4242-89DA-3FE96E607B95}" r="G129" connectionId="0">
    <xmlCellPr id="1" xr6:uid="{258AC66F-EED6-4E55-9285-0FBC9451D2CA}" uniqueName="plus7">
      <xmlPr mapId="7" xpath="/MAKE/PP/PPHeadform/WAD_on_Centreline/v2700_17/@plus7" xmlDataType="string"/>
    </xmlCellPr>
  </singleXmlCell>
  <singleXmlCell id="240" xr6:uid="{1C18E59F-F268-40DC-8749-63E51FCA2279}" r="H129" connectionId="0">
    <xmlCellPr id="1" xr6:uid="{7FDBEA52-4683-47B1-94FA-D26EB3195DE4}" uniqueName="plus6">
      <xmlPr mapId="7" xpath="/MAKE/PP/PPHeadform/WAD_on_Centreline/v2700_17/@plus6" xmlDataType="string"/>
    </xmlCellPr>
  </singleXmlCell>
  <singleXmlCell id="241" xr6:uid="{0B6FB66D-04B4-42B2-ABA9-A5885CD0E15E}" r="I129" connectionId="0">
    <xmlCellPr id="1" xr6:uid="{A508196C-F2A9-4A61-85B5-5F80643851EA}" uniqueName="plus5">
      <xmlPr mapId="7" xpath="/MAKE/PP/PPHeadform/WAD_on_Centreline/v2700_17/@plus5" xmlDataType="string"/>
    </xmlCellPr>
  </singleXmlCell>
  <singleXmlCell id="242" xr6:uid="{7144490F-FE85-49AD-BF26-ADE099DCDC5D}" r="J129" connectionId="0">
    <xmlCellPr id="1" xr6:uid="{A9DBBF9A-40DC-46D0-A1B1-5E9D83BD2E1D}" uniqueName="plus4">
      <xmlPr mapId="7" xpath="/MAKE/PP/PPHeadform/WAD_on_Centreline/v2700_17/@plus4" xmlDataType="string"/>
    </xmlCellPr>
  </singleXmlCell>
  <singleXmlCell id="243" xr6:uid="{34D03AB8-465F-4A1D-A2C9-377F2BFCD6C5}" r="K129" connectionId="0">
    <xmlCellPr id="1" xr6:uid="{60041369-E028-419E-950B-FC24EDBCD993}" uniqueName="plus3">
      <xmlPr mapId="7" xpath="/MAKE/PP/PPHeadform/WAD_on_Centreline/v2700_17/@plus3" xmlDataType="string"/>
    </xmlCellPr>
  </singleXmlCell>
  <singleXmlCell id="244" xr6:uid="{4B3B17D6-7F53-4CDA-8EF2-117B0E02DB20}" r="L129" connectionId="0">
    <xmlCellPr id="1" xr6:uid="{DCD987EB-3B6E-4068-B165-45EA5231C9FD}" uniqueName="plus2">
      <xmlPr mapId="7" xpath="/MAKE/PP/PPHeadform/WAD_on_Centreline/v2700_17/@plus2" xmlDataType="string"/>
    </xmlCellPr>
  </singleXmlCell>
  <singleXmlCell id="245" xr6:uid="{2D5965D7-836A-49C9-AD73-E0C60FDC5199}" r="M129" connectionId="0">
    <xmlCellPr id="1" xr6:uid="{D1F9245C-0924-4091-A3D9-6066061115E2}" uniqueName="plus1">
      <xmlPr mapId="7" xpath="/MAKE/PP/PPHeadform/WAD_on_Centreline/v2700_17/@plus1" xmlDataType="string"/>
    </xmlCellPr>
  </singleXmlCell>
  <singleXmlCell id="246" xr6:uid="{A9E59FD9-018E-47B0-8A2B-94CA39A6878D}" r="N129" connectionId="0">
    <xmlCellPr id="1" xr6:uid="{92C22467-E7C5-4DA5-B99B-AACE3B43207F}" uniqueName="zero">
      <xmlPr mapId="7" xpath="/MAKE/PP/PPHeadform/WAD_on_Centreline/v2700_17/@zero" xmlDataType="string"/>
    </xmlCellPr>
  </singleXmlCell>
  <singleXmlCell id="247" xr6:uid="{C91AB561-B402-4D2E-AA9A-EF644E30D42E}" r="O129" connectionId="0">
    <xmlCellPr id="1" xr6:uid="{E81EAAE7-FBDE-424D-8348-8FF0A38C8EA2}" uniqueName="minus1">
      <xmlPr mapId="7" xpath="/MAKE/PP/PPHeadform/WAD_on_Centreline/v2700_17/@minus1" xmlDataType="string"/>
    </xmlCellPr>
  </singleXmlCell>
  <singleXmlCell id="248" xr6:uid="{D5B3DC17-E116-4ABF-97BF-FB81980B15A7}" r="P129" connectionId="0">
    <xmlCellPr id="1" xr6:uid="{991EBE83-13E3-4A63-AB36-564B85A91607}" uniqueName="minus2">
      <xmlPr mapId="7" xpath="/MAKE/PP/PPHeadform/WAD_on_Centreline/v2700_17/@minus2" xmlDataType="string"/>
    </xmlCellPr>
  </singleXmlCell>
  <singleXmlCell id="249" xr6:uid="{0DDA1068-A0E0-4967-8576-293BD47AF109}" r="Q129" connectionId="0">
    <xmlCellPr id="1" xr6:uid="{9B7DECFD-B331-4809-97E6-63A2B35F5BE2}" uniqueName="minus3">
      <xmlPr mapId="7" xpath="/MAKE/PP/PPHeadform/WAD_on_Centreline/v2700_17/@minus3" xmlDataType="string"/>
    </xmlCellPr>
  </singleXmlCell>
  <singleXmlCell id="250" xr6:uid="{F3980823-0E88-4C37-B901-47430457D49E}" r="R129" connectionId="0">
    <xmlCellPr id="1" xr6:uid="{52447146-C62F-4615-9DF8-C03E8EFCB513}" uniqueName="minus4">
      <xmlPr mapId="7" xpath="/MAKE/PP/PPHeadform/WAD_on_Centreline/v2700_17/@minus4" xmlDataType="string"/>
    </xmlCellPr>
  </singleXmlCell>
  <singleXmlCell id="251" xr6:uid="{6D9A4E7A-1302-4C5E-8084-52808A9B4DA6}" r="S129" connectionId="0">
    <xmlCellPr id="1" xr6:uid="{CD74F242-ACE5-4AFE-BD8A-F38F86AB79AC}" uniqueName="minus5">
      <xmlPr mapId="7" xpath="/MAKE/PP/PPHeadform/WAD_on_Centreline/v2700_17/@minus5" xmlDataType="string"/>
    </xmlCellPr>
  </singleXmlCell>
  <singleXmlCell id="252" xr6:uid="{D17E7F01-9547-4386-B18E-16A9843BC5FB}" r="T129" connectionId="0">
    <xmlCellPr id="1" xr6:uid="{2F5110B8-DB0B-4547-A1F3-2F343B4368CD}" uniqueName="minus6">
      <xmlPr mapId="7" xpath="/MAKE/PP/PPHeadform/WAD_on_Centreline/v2700_17/@minus6" xmlDataType="string"/>
    </xmlCellPr>
  </singleXmlCell>
  <singleXmlCell id="253" xr6:uid="{41B5CA2D-E41A-4B65-8958-3303D65DD306}" r="U129" connectionId="0">
    <xmlCellPr id="1" xr6:uid="{1647E52B-A0CD-484D-9D6C-06A74A9ADA4E}" uniqueName="minus7">
      <xmlPr mapId="7" xpath="/MAKE/PP/PPHeadform/WAD_on_Centreline/v2700_17/@minus7" xmlDataType="string"/>
    </xmlCellPr>
  </singleXmlCell>
  <singleXmlCell id="254" xr6:uid="{F848C66F-67E5-4228-9016-74AEA0785E06}" r="V129" connectionId="0">
    <xmlCellPr id="1" xr6:uid="{801CCB1B-8440-4A3B-B6B5-C81EA7BF052F}" uniqueName="minus8">
      <xmlPr mapId="7" xpath="/MAKE/PP/PPHeadform/WAD_on_Centreline/v2700_17/@minus8" xmlDataType="string"/>
    </xmlCellPr>
  </singleXmlCell>
  <singleXmlCell id="255" xr6:uid="{6CB1E58D-7161-404A-9DA4-9B5C554E30D7}" r="W129" connectionId="0">
    <xmlCellPr id="1" xr6:uid="{EE395003-8502-448E-9EF8-554DC8301357}" uniqueName="minus9">
      <xmlPr mapId="7" xpath="/MAKE/PP/PPHeadform/WAD_on_Centreline/v2700_17/@minus9" xmlDataType="string"/>
    </xmlCellPr>
  </singleXmlCell>
  <singleXmlCell id="256" xr6:uid="{13398535-1872-44C7-BC2A-DDB1D958C979}" r="X129" connectionId="0">
    <xmlCellPr id="1" xr6:uid="{B99F5B45-175F-44A7-A79D-6EF295A4EF7E}" uniqueName="minus10">
      <xmlPr mapId="7" xpath="/MAKE/PP/PPHeadform/WAD_on_Centreline/v2700_17/@minus10" xmlDataType="string"/>
    </xmlCellPr>
  </singleXmlCell>
  <singleXmlCell id="257" xr6:uid="{499EBBB8-5E1E-4FDA-A99E-C25962579B6C}" r="Y129" connectionId="0">
    <xmlCellPr id="1" xr6:uid="{DC114C10-7F4F-47DE-B38F-4D5D3CEE5C52}" uniqueName="WindshieldStartsHere">
      <xmlPr mapId="7" xpath="/MAKE/PP/PPHeadform/WAD_on_Centreline/v2700_17/@WindshieldStartsHere" xmlDataType="string"/>
    </xmlCellPr>
  </singleXmlCell>
  <singleXmlCell id="258" xr6:uid="{651AD180-05EE-41AF-B778-E7206D0E2722}" r="D130" connectionId="0">
    <xmlCellPr id="1" xr6:uid="{51CF0F4E-07EF-416B-996E-FD221EEB04A1}" uniqueName="plus10">
      <xmlPr mapId="7" xpath="/MAKE/PP/PPHeadform/WAD_on_Centreline/v2600_16/@plus10" xmlDataType="string"/>
    </xmlCellPr>
  </singleXmlCell>
  <singleXmlCell id="259" xr6:uid="{84A21275-1730-4F43-8513-4AD93D4639E1}" r="E130" connectionId="0">
    <xmlCellPr id="1" xr6:uid="{F4E6DC67-A460-4C69-B5BB-F39D764AB0D4}" uniqueName="plus9">
      <xmlPr mapId="7" xpath="/MAKE/PP/PPHeadform/WAD_on_Centreline/v2600_16/@plus9" xmlDataType="string"/>
    </xmlCellPr>
  </singleXmlCell>
  <singleXmlCell id="260" xr6:uid="{97278040-AC0F-44E7-8399-2266BD5D2205}" r="F130" connectionId="0">
    <xmlCellPr id="1" xr6:uid="{FD6EDB19-1663-4726-9AF0-560373244F6C}" uniqueName="plus8">
      <xmlPr mapId="7" xpath="/MAKE/PP/PPHeadform/WAD_on_Centreline/v2600_16/@plus8" xmlDataType="string"/>
    </xmlCellPr>
  </singleXmlCell>
  <singleXmlCell id="261" xr6:uid="{F5E00EE4-5592-4759-81B9-7517DEECEFC8}" r="G130" connectionId="0">
    <xmlCellPr id="1" xr6:uid="{C9E05B0D-6F0F-4EC4-8D06-80E724D6AD50}" uniqueName="plus7">
      <xmlPr mapId="7" xpath="/MAKE/PP/PPHeadform/WAD_on_Centreline/v2600_16/@plus7" xmlDataType="string"/>
    </xmlCellPr>
  </singleXmlCell>
  <singleXmlCell id="262" xr6:uid="{31538164-4B3B-45A1-AE88-7A9E07147DDC}" r="H130" connectionId="0">
    <xmlCellPr id="1" xr6:uid="{A305EA8D-C131-4091-ACBB-311CF41E31D9}" uniqueName="plus6">
      <xmlPr mapId="7" xpath="/MAKE/PP/PPHeadform/WAD_on_Centreline/v2600_16/@plus6" xmlDataType="string"/>
    </xmlCellPr>
  </singleXmlCell>
  <singleXmlCell id="263" xr6:uid="{E658FBF3-2644-4C47-984E-4AEC2BC40B09}" r="I130" connectionId="0">
    <xmlCellPr id="1" xr6:uid="{0B17C584-FA34-4272-92C5-29290FF7D7A4}" uniqueName="plus5">
      <xmlPr mapId="7" xpath="/MAKE/PP/PPHeadform/WAD_on_Centreline/v2600_16/@plus5" xmlDataType="string"/>
    </xmlCellPr>
  </singleXmlCell>
  <singleXmlCell id="264" xr6:uid="{A4FB94D2-4037-4CF8-953A-3337A42076D7}" r="J130" connectionId="0">
    <xmlCellPr id="1" xr6:uid="{BD68D73B-52AA-45E2-A8FF-83511C5FD641}" uniqueName="plus4">
      <xmlPr mapId="7" xpath="/MAKE/PP/PPHeadform/WAD_on_Centreline/v2600_16/@plus4" xmlDataType="string"/>
    </xmlCellPr>
  </singleXmlCell>
  <singleXmlCell id="265" xr6:uid="{344A0F10-9A8A-49D5-89D6-3F85ADAD108D}" r="K130" connectionId="0">
    <xmlCellPr id="1" xr6:uid="{6902757D-DFF9-451F-B92C-BA67F689D761}" uniqueName="plus3">
      <xmlPr mapId="7" xpath="/MAKE/PP/PPHeadform/WAD_on_Centreline/v2600_16/@plus3" xmlDataType="string"/>
    </xmlCellPr>
  </singleXmlCell>
  <singleXmlCell id="266" xr6:uid="{D7794FBD-BAE4-4936-A362-A34465EB1D3E}" r="L130" connectionId="0">
    <xmlCellPr id="1" xr6:uid="{82E1447B-8908-45D5-A1FF-A90095FDDAB5}" uniqueName="plus2">
      <xmlPr mapId="7" xpath="/MAKE/PP/PPHeadform/WAD_on_Centreline/v2600_16/@plus2" xmlDataType="string"/>
    </xmlCellPr>
  </singleXmlCell>
  <singleXmlCell id="267" xr6:uid="{1ED524E6-C86C-4B84-9114-9468B6D06904}" r="M130" connectionId="0">
    <xmlCellPr id="1" xr6:uid="{CD0660D8-7ADF-42EB-B0AF-9E2A01828B80}" uniqueName="plus1">
      <xmlPr mapId="7" xpath="/MAKE/PP/PPHeadform/WAD_on_Centreline/v2600_16/@plus1" xmlDataType="string"/>
    </xmlCellPr>
  </singleXmlCell>
  <singleXmlCell id="268" xr6:uid="{3D30670B-C56D-4947-AA77-52154C564C0B}" r="N130" connectionId="0">
    <xmlCellPr id="1" xr6:uid="{10BCF54F-9B8B-4959-A2A6-81B9E3750B93}" uniqueName="zero">
      <xmlPr mapId="7" xpath="/MAKE/PP/PPHeadform/WAD_on_Centreline/v2600_16/@zero" xmlDataType="string"/>
    </xmlCellPr>
  </singleXmlCell>
  <singleXmlCell id="269" xr6:uid="{55A0D121-7CB8-4242-A157-86F69080E45F}" r="O130" connectionId="0">
    <xmlCellPr id="1" xr6:uid="{CF390563-1DA7-4C04-8376-CE6F67D2F62A}" uniqueName="minus1">
      <xmlPr mapId="7" xpath="/MAKE/PP/PPHeadform/WAD_on_Centreline/v2600_16/@minus1" xmlDataType="string"/>
    </xmlCellPr>
  </singleXmlCell>
  <singleXmlCell id="270" xr6:uid="{3A42235E-5ADC-4398-8816-3094BC535C6D}" r="P130" connectionId="0">
    <xmlCellPr id="1" xr6:uid="{C258E45A-DBD7-4F13-96F0-ACAC5802DAF4}" uniqueName="minus2">
      <xmlPr mapId="7" xpath="/MAKE/PP/PPHeadform/WAD_on_Centreline/v2600_16/@minus2" xmlDataType="string"/>
    </xmlCellPr>
  </singleXmlCell>
  <singleXmlCell id="271" xr6:uid="{DE315F48-6DDC-449F-B9EB-EAF837D318C6}" r="Q130" connectionId="0">
    <xmlCellPr id="1" xr6:uid="{AE64B63A-26C2-4818-976D-1D960B8AC798}" uniqueName="minus3">
      <xmlPr mapId="7" xpath="/MAKE/PP/PPHeadform/WAD_on_Centreline/v2600_16/@minus3" xmlDataType="string"/>
    </xmlCellPr>
  </singleXmlCell>
  <singleXmlCell id="272" xr6:uid="{41895F13-17E6-4A66-B625-54E3BDC91AED}" r="R130" connectionId="0">
    <xmlCellPr id="1" xr6:uid="{F716EFBF-4ACD-4F11-B9B2-279C7B6AADFA}" uniqueName="minus4">
      <xmlPr mapId="7" xpath="/MAKE/PP/PPHeadform/WAD_on_Centreline/v2600_16/@minus4" xmlDataType="string"/>
    </xmlCellPr>
  </singleXmlCell>
  <singleXmlCell id="273" xr6:uid="{D325B392-5F36-4DCD-946F-CA8737EF77D6}" r="S130" connectionId="0">
    <xmlCellPr id="1" xr6:uid="{F7578B9B-963C-4511-B676-8214D6457463}" uniqueName="minus5">
      <xmlPr mapId="7" xpath="/MAKE/PP/PPHeadform/WAD_on_Centreline/v2600_16/@minus5" xmlDataType="string"/>
    </xmlCellPr>
  </singleXmlCell>
  <singleXmlCell id="274" xr6:uid="{C88E7CE4-427A-4EBD-BACE-BF04F18DD72F}" r="T130" connectionId="0">
    <xmlCellPr id="1" xr6:uid="{4C45AA99-758D-4575-83E6-0DCA94C047C0}" uniqueName="minus6">
      <xmlPr mapId="7" xpath="/MAKE/PP/PPHeadform/WAD_on_Centreline/v2600_16/@minus6" xmlDataType="string"/>
    </xmlCellPr>
  </singleXmlCell>
  <singleXmlCell id="275" xr6:uid="{D0740A2D-B288-4BA9-ACBB-5AB89AA3497A}" r="U130" connectionId="0">
    <xmlCellPr id="1" xr6:uid="{814BB207-0739-4ECE-A53E-1F2A1AE350DD}" uniqueName="minus7">
      <xmlPr mapId="7" xpath="/MAKE/PP/PPHeadform/WAD_on_Centreline/v2600_16/@minus7" xmlDataType="string"/>
    </xmlCellPr>
  </singleXmlCell>
  <singleXmlCell id="276" xr6:uid="{C2DAB32A-04F6-476A-A3CB-991E770E5EB6}" r="V130" connectionId="0">
    <xmlCellPr id="1" xr6:uid="{599763CC-8C17-440D-B654-0E4AE49AF3B1}" uniqueName="minus8">
      <xmlPr mapId="7" xpath="/MAKE/PP/PPHeadform/WAD_on_Centreline/v2600_16/@minus8" xmlDataType="string"/>
    </xmlCellPr>
  </singleXmlCell>
  <singleXmlCell id="277" xr6:uid="{92121675-5144-4269-B1A8-D10618EE2DE3}" r="W130" connectionId="0">
    <xmlCellPr id="1" xr6:uid="{FE16DCF4-FF5B-4F36-B11F-6BD4331CA051}" uniqueName="minus9">
      <xmlPr mapId="7" xpath="/MAKE/PP/PPHeadform/WAD_on_Centreline/v2600_16/@minus9" xmlDataType="string"/>
    </xmlCellPr>
  </singleXmlCell>
  <singleXmlCell id="278" xr6:uid="{4F5FD544-F22D-46EA-B173-461BEBE7AE57}" r="X130" connectionId="0">
    <xmlCellPr id="1" xr6:uid="{EDE63946-5879-42DD-8462-B127DBD8179E}" uniqueName="minus10">
      <xmlPr mapId="7" xpath="/MAKE/PP/PPHeadform/WAD_on_Centreline/v2600_16/@minus10" xmlDataType="string"/>
    </xmlCellPr>
  </singleXmlCell>
  <singleXmlCell id="279" xr6:uid="{6860990E-569F-45C9-8D7F-AE5C2566D4C7}" r="Y130" connectionId="0">
    <xmlCellPr id="1" xr6:uid="{400D372B-99F8-4CEC-B763-0E834441BEDD}" uniqueName="WindshieldStartsHere">
      <xmlPr mapId="7" xpath="/MAKE/PP/PPHeadform/WAD_on_Centreline/v2600_16/@WindshieldStartsHere" xmlDataType="string"/>
    </xmlCellPr>
  </singleXmlCell>
  <singleXmlCell id="280" xr6:uid="{5174E944-8954-47B8-ABCD-4FE8A61A8C82}" r="D131" connectionId="0">
    <xmlCellPr id="1" xr6:uid="{18A77AED-D8A5-4364-BF4C-0E44AF0F6111}" uniqueName="plus10">
      <xmlPr mapId="7" xpath="/MAKE/PP/PPHeadform/WAD_on_Centreline/v2500_15/@plus10" xmlDataType="string"/>
    </xmlCellPr>
  </singleXmlCell>
  <singleXmlCell id="281" xr6:uid="{CD0C5AD9-3B06-4517-A52D-A8924CDB3DC6}" r="E131" connectionId="0">
    <xmlCellPr id="1" xr6:uid="{2725F384-E128-4C8F-80EB-94D5BB1E330E}" uniqueName="plus9">
      <xmlPr mapId="7" xpath="/MAKE/PP/PPHeadform/WAD_on_Centreline/v2500_15/@plus9" xmlDataType="string"/>
    </xmlCellPr>
  </singleXmlCell>
  <singleXmlCell id="282" xr6:uid="{FDBF7526-1075-4AA9-B06F-7DE11EA2CC9B}" r="F131" connectionId="0">
    <xmlCellPr id="1" xr6:uid="{6E99F902-195E-4E76-AFBE-84C2A0B36655}" uniqueName="plus8">
      <xmlPr mapId="7" xpath="/MAKE/PP/PPHeadform/WAD_on_Centreline/v2500_15/@plus8" xmlDataType="string"/>
    </xmlCellPr>
  </singleXmlCell>
  <singleXmlCell id="283" xr6:uid="{8A65811E-B324-4D55-991E-204AC303AC55}" r="G131" connectionId="0">
    <xmlCellPr id="1" xr6:uid="{CDF291BB-CD42-4BEC-8005-5B12DA086B32}" uniqueName="plus7">
      <xmlPr mapId="7" xpath="/MAKE/PP/PPHeadform/WAD_on_Centreline/v2500_15/@plus7" xmlDataType="string"/>
    </xmlCellPr>
  </singleXmlCell>
  <singleXmlCell id="284" xr6:uid="{B1C220DA-03EC-465D-8EAF-199C524CB891}" r="H131" connectionId="0">
    <xmlCellPr id="1" xr6:uid="{05659FE4-1CB5-4CC6-B134-3F53D00718DE}" uniqueName="plus6">
      <xmlPr mapId="7" xpath="/MAKE/PP/PPHeadform/WAD_on_Centreline/v2500_15/@plus6" xmlDataType="string"/>
    </xmlCellPr>
  </singleXmlCell>
  <singleXmlCell id="285" xr6:uid="{032C8ED0-DAE8-41CC-9938-767CE067DC2D}" r="I131" connectionId="0">
    <xmlCellPr id="1" xr6:uid="{9DD98B4F-1A7F-4682-8D5B-CDA457A9E4C4}" uniqueName="plus5">
      <xmlPr mapId="7" xpath="/MAKE/PP/PPHeadform/WAD_on_Centreline/v2500_15/@plus5" xmlDataType="string"/>
    </xmlCellPr>
  </singleXmlCell>
  <singleXmlCell id="286" xr6:uid="{89FA8B76-CE25-40C4-BB1C-601A34ED6534}" r="J131" connectionId="0">
    <xmlCellPr id="1" xr6:uid="{2A1C5887-A2D4-4BE4-819D-E2D6576657A8}" uniqueName="plus4">
      <xmlPr mapId="7" xpath="/MAKE/PP/PPHeadform/WAD_on_Centreline/v2500_15/@plus4" xmlDataType="string"/>
    </xmlCellPr>
  </singleXmlCell>
  <singleXmlCell id="287" xr6:uid="{71CDE3AF-F933-4BE5-BF87-AF93ECEC83DC}" r="K131" connectionId="0">
    <xmlCellPr id="1" xr6:uid="{E4B726DD-6D2A-405F-B2C0-0F6D585740F3}" uniqueName="plus3">
      <xmlPr mapId="7" xpath="/MAKE/PP/PPHeadform/WAD_on_Centreline/v2500_15/@plus3" xmlDataType="string"/>
    </xmlCellPr>
  </singleXmlCell>
  <singleXmlCell id="288" xr6:uid="{3117BEC2-3147-4387-8612-0B151F1AFA5E}" r="L131" connectionId="0">
    <xmlCellPr id="1" xr6:uid="{62226C33-1B90-497D-A153-D48FC52F2256}" uniqueName="plus2">
      <xmlPr mapId="7" xpath="/MAKE/PP/PPHeadform/WAD_on_Centreline/v2500_15/@plus2" xmlDataType="string"/>
    </xmlCellPr>
  </singleXmlCell>
  <singleXmlCell id="289" xr6:uid="{AFB1A94E-F695-4F34-ABA1-BC4A0BFD67F5}" r="M131" connectionId="0">
    <xmlCellPr id="1" xr6:uid="{FE55CC3A-84D7-4E92-A940-1D59449B0D99}" uniqueName="plus1">
      <xmlPr mapId="7" xpath="/MAKE/PP/PPHeadform/WAD_on_Centreline/v2500_15/@plus1" xmlDataType="string"/>
    </xmlCellPr>
  </singleXmlCell>
  <singleXmlCell id="290" xr6:uid="{F7EB6316-0A67-4270-93F7-6BAC3C701B75}" r="N131" connectionId="0">
    <xmlCellPr id="1" xr6:uid="{D008F718-5D2C-430F-888F-3FB552D27B4B}" uniqueName="zero">
      <xmlPr mapId="7" xpath="/MAKE/PP/PPHeadform/WAD_on_Centreline/v2500_15/@zero" xmlDataType="string"/>
    </xmlCellPr>
  </singleXmlCell>
  <singleXmlCell id="291" xr6:uid="{893553B4-7FFD-4FE9-9D15-302D69E4D396}" r="O131" connectionId="0">
    <xmlCellPr id="1" xr6:uid="{8AA465E6-07EE-4D45-A564-7CDC7B802F35}" uniqueName="minus1">
      <xmlPr mapId="7" xpath="/MAKE/PP/PPHeadform/WAD_on_Centreline/v2500_15/@minus1" xmlDataType="string"/>
    </xmlCellPr>
  </singleXmlCell>
  <singleXmlCell id="292" xr6:uid="{04C14E2D-B091-48B4-9679-2225588BD16C}" r="P131" connectionId="0">
    <xmlCellPr id="1" xr6:uid="{67F5B1E1-3044-4D6B-B0A3-F107A41C9775}" uniqueName="minus2">
      <xmlPr mapId="7" xpath="/MAKE/PP/PPHeadform/WAD_on_Centreline/v2500_15/@minus2" xmlDataType="string"/>
    </xmlCellPr>
  </singleXmlCell>
  <singleXmlCell id="293" xr6:uid="{E06A8487-6C60-4378-9102-8A7F19AA1294}" r="Q131" connectionId="0">
    <xmlCellPr id="1" xr6:uid="{D001292D-6898-41F6-8D22-3BC57879F865}" uniqueName="minus3">
      <xmlPr mapId="7" xpath="/MAKE/PP/PPHeadform/WAD_on_Centreline/v2500_15/@minus3" xmlDataType="string"/>
    </xmlCellPr>
  </singleXmlCell>
  <singleXmlCell id="294" xr6:uid="{05950F2D-5199-477A-A117-5035B963AFCA}" r="R131" connectionId="0">
    <xmlCellPr id="1" xr6:uid="{8929DAEB-A43A-4C34-8A29-FC402A3D7679}" uniqueName="minus4">
      <xmlPr mapId="7" xpath="/MAKE/PP/PPHeadform/WAD_on_Centreline/v2500_15/@minus4" xmlDataType="string"/>
    </xmlCellPr>
  </singleXmlCell>
  <singleXmlCell id="295" xr6:uid="{A7F7CB59-116B-47BE-AF35-72549AEA420D}" r="S131" connectionId="0">
    <xmlCellPr id="1" xr6:uid="{54A6DF94-F73F-41F1-A0B8-2966D8576D50}" uniqueName="minus5">
      <xmlPr mapId="7" xpath="/MAKE/PP/PPHeadform/WAD_on_Centreline/v2500_15/@minus5" xmlDataType="string"/>
    </xmlCellPr>
  </singleXmlCell>
  <singleXmlCell id="296" xr6:uid="{55A6D838-8290-483C-A6A5-36EC682903E5}" r="T131" connectionId="0">
    <xmlCellPr id="1" xr6:uid="{4DDA2EE9-A1D7-49D5-AF75-E4F796CAF626}" uniqueName="minus6">
      <xmlPr mapId="7" xpath="/MAKE/PP/PPHeadform/WAD_on_Centreline/v2500_15/@minus6" xmlDataType="string"/>
    </xmlCellPr>
  </singleXmlCell>
  <singleXmlCell id="297" xr6:uid="{604913E3-E1F6-4230-A640-3B9AC90779C6}" r="U131" connectionId="0">
    <xmlCellPr id="1" xr6:uid="{727671F2-9D0C-48AC-9F4C-F3E314B976E2}" uniqueName="minus7">
      <xmlPr mapId="7" xpath="/MAKE/PP/PPHeadform/WAD_on_Centreline/v2500_15/@minus7" xmlDataType="string"/>
    </xmlCellPr>
  </singleXmlCell>
  <singleXmlCell id="298" xr6:uid="{3B7F092F-497A-4206-8326-D198398F5761}" r="V131" connectionId="0">
    <xmlCellPr id="1" xr6:uid="{0FFF9928-D300-4BE7-BA24-234F0861AA32}" uniqueName="minus8">
      <xmlPr mapId="7" xpath="/MAKE/PP/PPHeadform/WAD_on_Centreline/v2500_15/@minus8" xmlDataType="string"/>
    </xmlCellPr>
  </singleXmlCell>
  <singleXmlCell id="299" xr6:uid="{E6E212CE-388D-4D1C-945A-32CE9CBFA85C}" r="W131" connectionId="0">
    <xmlCellPr id="1" xr6:uid="{63874A29-B0E1-45B7-8DE7-A310873238CD}" uniqueName="minus9">
      <xmlPr mapId="7" xpath="/MAKE/PP/PPHeadform/WAD_on_Centreline/v2500_15/@minus9" xmlDataType="string"/>
    </xmlCellPr>
  </singleXmlCell>
  <singleXmlCell id="300" xr6:uid="{56C97723-19E8-441E-9837-C5948B03C14A}" r="X131" connectionId="0">
    <xmlCellPr id="1" xr6:uid="{D81DCAC1-3A48-44F6-BC6A-B61A7002FAB5}" uniqueName="minus10">
      <xmlPr mapId="7" xpath="/MAKE/PP/PPHeadform/WAD_on_Centreline/v2500_15/@minus10" xmlDataType="string"/>
    </xmlCellPr>
  </singleXmlCell>
  <singleXmlCell id="301" xr6:uid="{885C8410-59A1-4DDA-8165-714FB14A4058}" r="Y131" connectionId="0">
    <xmlCellPr id="1" xr6:uid="{9DBF8B02-3850-45DB-A4BF-A038574E720A}" uniqueName="WindshieldStartsHere">
      <xmlPr mapId="7" xpath="/MAKE/PP/PPHeadform/WAD_on_Centreline/v2500_15/@WindshieldStartsHere" xmlDataType="string"/>
    </xmlCellPr>
  </singleXmlCell>
  <singleXmlCell id="302" xr6:uid="{8BC613D6-FD33-487C-806D-7ECF340ED793}" r="D132" connectionId="0">
    <xmlCellPr id="1" xr6:uid="{3A3EA5F2-CDFD-4D7A-9693-4D8E6FC12DAF}" uniqueName="plus10">
      <xmlPr mapId="7" xpath="/MAKE/PP/PPHeadform/WAD_on_Centreline/v2400_14/@plus10" xmlDataType="string"/>
    </xmlCellPr>
  </singleXmlCell>
  <singleXmlCell id="303" xr6:uid="{0E80A220-08C9-4A79-9946-A453BB073ABE}" r="E132" connectionId="0">
    <xmlCellPr id="1" xr6:uid="{72993079-F59E-45E1-A285-3640107FBB92}" uniqueName="plus9">
      <xmlPr mapId="7" xpath="/MAKE/PP/PPHeadform/WAD_on_Centreline/v2400_14/@plus9" xmlDataType="string"/>
    </xmlCellPr>
  </singleXmlCell>
  <singleXmlCell id="304" xr6:uid="{56A7307F-700E-421E-ADA0-A3326EEF4841}" r="F132" connectionId="0">
    <xmlCellPr id="1" xr6:uid="{B3D8216B-5288-4883-BE21-FD18CDFD0FB2}" uniqueName="plus8">
      <xmlPr mapId="7" xpath="/MAKE/PP/PPHeadform/WAD_on_Centreline/v2400_14/@plus8" xmlDataType="string"/>
    </xmlCellPr>
  </singleXmlCell>
  <singleXmlCell id="305" xr6:uid="{F39B4F24-EB4E-4073-9C18-E0EB9BBAB22C}" r="G132" connectionId="0">
    <xmlCellPr id="1" xr6:uid="{15956BA5-DD2C-4AFE-B7C1-E40B6A7AB106}" uniqueName="plus7">
      <xmlPr mapId="7" xpath="/MAKE/PP/PPHeadform/WAD_on_Centreline/v2400_14/@plus7" xmlDataType="string"/>
    </xmlCellPr>
  </singleXmlCell>
  <singleXmlCell id="306" xr6:uid="{480EC7FB-8460-4C17-BD6A-B2DE7A7BF7E9}" r="H132" connectionId="0">
    <xmlCellPr id="1" xr6:uid="{1865C074-7956-47A7-BDE7-56C3612B195E}" uniqueName="plus6">
      <xmlPr mapId="7" xpath="/MAKE/PP/PPHeadform/WAD_on_Centreline/v2400_14/@plus6" xmlDataType="string"/>
    </xmlCellPr>
  </singleXmlCell>
  <singleXmlCell id="307" xr6:uid="{2686F1FD-EE91-49B2-922F-20CB7A50F38E}" r="I132" connectionId="0">
    <xmlCellPr id="1" xr6:uid="{130EE2CE-D330-4246-87E6-B9325A57E1CB}" uniqueName="plus5">
      <xmlPr mapId="7" xpath="/MAKE/PP/PPHeadform/WAD_on_Centreline/v2400_14/@plus5" xmlDataType="string"/>
    </xmlCellPr>
  </singleXmlCell>
  <singleXmlCell id="308" xr6:uid="{8D0976AA-79D8-4B11-91BE-B73CB97356D3}" r="J132" connectionId="0">
    <xmlCellPr id="1" xr6:uid="{ADE0F2E2-D6CB-461F-963C-384C3C6037E7}" uniqueName="plus4">
      <xmlPr mapId="7" xpath="/MAKE/PP/PPHeadform/WAD_on_Centreline/v2400_14/@plus4" xmlDataType="string"/>
    </xmlCellPr>
  </singleXmlCell>
  <singleXmlCell id="309" xr6:uid="{61E32539-8F72-4393-8F4C-8175EE996E4D}" r="K132" connectionId="0">
    <xmlCellPr id="1" xr6:uid="{FC814447-4ABF-4997-8166-DFAF294E7919}" uniqueName="plus3">
      <xmlPr mapId="7" xpath="/MAKE/PP/PPHeadform/WAD_on_Centreline/v2400_14/@plus3" xmlDataType="string"/>
    </xmlCellPr>
  </singleXmlCell>
  <singleXmlCell id="310" xr6:uid="{B5559EB5-B1D4-4E23-A4BB-10F2D81AE621}" r="L132" connectionId="0">
    <xmlCellPr id="1" xr6:uid="{6290B905-9699-4000-92C8-89B690B9E1A0}" uniqueName="plus2">
      <xmlPr mapId="7" xpath="/MAKE/PP/PPHeadform/WAD_on_Centreline/v2400_14/@plus2" xmlDataType="string"/>
    </xmlCellPr>
  </singleXmlCell>
  <singleXmlCell id="311" xr6:uid="{4294F428-8BD2-45AF-A429-62D0F9BF74CF}" r="M132" connectionId="0">
    <xmlCellPr id="1" xr6:uid="{0209CC40-2A62-45B1-B3F7-7999946B6BD4}" uniqueName="plus1">
      <xmlPr mapId="7" xpath="/MAKE/PP/PPHeadform/WAD_on_Centreline/v2400_14/@plus1" xmlDataType="string"/>
    </xmlCellPr>
  </singleXmlCell>
  <singleXmlCell id="312" xr6:uid="{899D4638-96F1-424C-9626-E0A81AE19176}" r="N132" connectionId="0">
    <xmlCellPr id="1" xr6:uid="{A63E76FC-5D70-4F95-A201-56A3D8F03911}" uniqueName="zero">
      <xmlPr mapId="7" xpath="/MAKE/PP/PPHeadform/WAD_on_Centreline/v2400_14/@zero" xmlDataType="string"/>
    </xmlCellPr>
  </singleXmlCell>
  <singleXmlCell id="313" xr6:uid="{835AB802-F57C-4635-9348-8A327CF1828E}" r="O132" connectionId="0">
    <xmlCellPr id="1" xr6:uid="{801AA7F0-F67E-40F2-8EA0-86B917B5F9D9}" uniqueName="minus1">
      <xmlPr mapId="7" xpath="/MAKE/PP/PPHeadform/WAD_on_Centreline/v2400_14/@minus1" xmlDataType="string"/>
    </xmlCellPr>
  </singleXmlCell>
  <singleXmlCell id="314" xr6:uid="{EFED3D44-3309-43BF-B80A-AD368D1B431B}" r="P132" connectionId="0">
    <xmlCellPr id="1" xr6:uid="{B5F6A115-F71B-41A7-9037-AF4C472F62C5}" uniqueName="minus2">
      <xmlPr mapId="7" xpath="/MAKE/PP/PPHeadform/WAD_on_Centreline/v2400_14/@minus2" xmlDataType="string"/>
    </xmlCellPr>
  </singleXmlCell>
  <singleXmlCell id="315" xr6:uid="{C0EC3AAA-3ACD-4ACA-87E1-C328D87990B0}" r="Q132" connectionId="0">
    <xmlCellPr id="1" xr6:uid="{59D1D305-A87A-4F46-B323-307CDB14C29D}" uniqueName="minus3">
      <xmlPr mapId="7" xpath="/MAKE/PP/PPHeadform/WAD_on_Centreline/v2400_14/@minus3" xmlDataType="string"/>
    </xmlCellPr>
  </singleXmlCell>
  <singleXmlCell id="316" xr6:uid="{6AAC3620-0B6E-4232-9A15-FFF76DE42AD1}" r="R132" connectionId="0">
    <xmlCellPr id="1" xr6:uid="{8542BF1F-B73A-43D3-AB8A-759C5759299D}" uniqueName="minus4">
      <xmlPr mapId="7" xpath="/MAKE/PP/PPHeadform/WAD_on_Centreline/v2400_14/@minus4" xmlDataType="string"/>
    </xmlCellPr>
  </singleXmlCell>
  <singleXmlCell id="317" xr6:uid="{BEDF1F43-5DE0-4138-9C41-437402AC7CE0}" r="S132" connectionId="0">
    <xmlCellPr id="1" xr6:uid="{C75E389B-C385-4A59-871B-F51760324159}" uniqueName="minus5">
      <xmlPr mapId="7" xpath="/MAKE/PP/PPHeadform/WAD_on_Centreline/v2400_14/@minus5" xmlDataType="string"/>
    </xmlCellPr>
  </singleXmlCell>
  <singleXmlCell id="318" xr6:uid="{56BB9E0E-4D9C-4828-BA59-F9243C3ED230}" r="T132" connectionId="0">
    <xmlCellPr id="1" xr6:uid="{8DB80925-F033-480F-B246-2C8D9FD8CAED}" uniqueName="minus6">
      <xmlPr mapId="7" xpath="/MAKE/PP/PPHeadform/WAD_on_Centreline/v2400_14/@minus6" xmlDataType="string"/>
    </xmlCellPr>
  </singleXmlCell>
  <singleXmlCell id="319" xr6:uid="{273E831F-131A-486C-8800-CD6D8306B940}" r="U132" connectionId="0">
    <xmlCellPr id="1" xr6:uid="{AB5D2F3A-023C-4E25-946D-34CAEE1C155A}" uniqueName="minus7">
      <xmlPr mapId="7" xpath="/MAKE/PP/PPHeadform/WAD_on_Centreline/v2400_14/@minus7" xmlDataType="string"/>
    </xmlCellPr>
  </singleXmlCell>
  <singleXmlCell id="320" xr6:uid="{35BA3B83-9434-4764-8918-F25516732355}" r="V132" connectionId="0">
    <xmlCellPr id="1" xr6:uid="{4946C2BC-C1AB-45F9-A843-71C8FA75207A}" uniqueName="minus8">
      <xmlPr mapId="7" xpath="/MAKE/PP/PPHeadform/WAD_on_Centreline/v2400_14/@minus8" xmlDataType="string"/>
    </xmlCellPr>
  </singleXmlCell>
  <singleXmlCell id="321" xr6:uid="{3DA7EEF2-377D-42C6-9156-E513E12A4B19}" r="W132" connectionId="0">
    <xmlCellPr id="1" xr6:uid="{4A04B6C7-90F2-4AF3-9330-2830D57904FF}" uniqueName="minus9">
      <xmlPr mapId="7" xpath="/MAKE/PP/PPHeadform/WAD_on_Centreline/v2400_14/@minus9" xmlDataType="string"/>
    </xmlCellPr>
  </singleXmlCell>
  <singleXmlCell id="322" xr6:uid="{C05F4372-2140-4882-8430-EC66190B31C0}" r="X132" connectionId="0">
    <xmlCellPr id="1" xr6:uid="{8C37EC0C-80E9-4DFA-BF96-929828AEDD19}" uniqueName="minus10">
      <xmlPr mapId="7" xpath="/MAKE/PP/PPHeadform/WAD_on_Centreline/v2400_14/@minus10" xmlDataType="string"/>
    </xmlCellPr>
  </singleXmlCell>
  <singleXmlCell id="323" xr6:uid="{3BC2BFB9-57CC-4866-8C5D-2720EDC136AF}" r="Y132" connectionId="0">
    <xmlCellPr id="1" xr6:uid="{9D9DAC5F-E9BD-47F7-9E80-322D21E795DD}" uniqueName="WindshieldStartsHere">
      <xmlPr mapId="7" xpath="/MAKE/PP/PPHeadform/WAD_on_Centreline/v2400_14/@WindshieldStartsHere" xmlDataType="string"/>
    </xmlCellPr>
  </singleXmlCell>
  <singleXmlCell id="324" xr6:uid="{A14123E5-CD1D-4F6E-8601-A40DEA32616D}" r="D133" connectionId="0">
    <xmlCellPr id="1" xr6:uid="{46A2F433-C06A-40C8-A1A5-7471DC04DBE6}" uniqueName="plus10">
      <xmlPr mapId="7" xpath="/MAKE/PP/PPHeadform/WAD_on_Centreline/v2300_13/@plus10" xmlDataType="string"/>
    </xmlCellPr>
  </singleXmlCell>
  <singleXmlCell id="325" xr6:uid="{22DCA5CC-B626-408F-AFE0-A1D1EA360AAD}" r="E133" connectionId="0">
    <xmlCellPr id="1" xr6:uid="{8320263E-8215-488A-89E6-297D8A22D3BD}" uniqueName="plus9">
      <xmlPr mapId="7" xpath="/MAKE/PP/PPHeadform/WAD_on_Centreline/v2300_13/@plus9" xmlDataType="string"/>
    </xmlCellPr>
  </singleXmlCell>
  <singleXmlCell id="326" xr6:uid="{67B58EAE-2CC3-4E9E-A932-CD0272A772C0}" r="F133" connectionId="0">
    <xmlCellPr id="1" xr6:uid="{42AE54DF-2070-450E-A189-0863928FF293}" uniqueName="plus8">
      <xmlPr mapId="7" xpath="/MAKE/PP/PPHeadform/WAD_on_Centreline/v2300_13/@plus8" xmlDataType="string"/>
    </xmlCellPr>
  </singleXmlCell>
  <singleXmlCell id="327" xr6:uid="{E4D2DD0D-E529-48F1-93F2-FAEC94DB681D}" r="G133" connectionId="0">
    <xmlCellPr id="1" xr6:uid="{9E270F08-4A3A-4839-B2AB-FD70C4DD6D97}" uniqueName="plus7">
      <xmlPr mapId="7" xpath="/MAKE/PP/PPHeadform/WAD_on_Centreline/v2300_13/@plus7" xmlDataType="string"/>
    </xmlCellPr>
  </singleXmlCell>
  <singleXmlCell id="328" xr6:uid="{E7D66728-3BC7-4FF4-B4A9-0B3076E0E72A}" r="H133" connectionId="0">
    <xmlCellPr id="1" xr6:uid="{25B764F8-E25B-4009-8C80-A6AF881283BA}" uniqueName="plus6">
      <xmlPr mapId="7" xpath="/MAKE/PP/PPHeadform/WAD_on_Centreline/v2300_13/@plus6" xmlDataType="string"/>
    </xmlCellPr>
  </singleXmlCell>
  <singleXmlCell id="329" xr6:uid="{62808E7A-5E7D-466E-A5C0-2172EEA5AAB2}" r="I133" connectionId="0">
    <xmlCellPr id="1" xr6:uid="{7D8F796F-8C39-4E97-A340-8B7D7E201534}" uniqueName="plus5">
      <xmlPr mapId="7" xpath="/MAKE/PP/PPHeadform/WAD_on_Centreline/v2300_13/@plus5" xmlDataType="string"/>
    </xmlCellPr>
  </singleXmlCell>
  <singleXmlCell id="330" xr6:uid="{E48C75DB-4013-4DB7-881E-DAC5373F76D4}" r="J133" connectionId="0">
    <xmlCellPr id="1" xr6:uid="{38DF1CC9-991A-40BC-88D4-56FE6058E595}" uniqueName="plus4">
      <xmlPr mapId="7" xpath="/MAKE/PP/PPHeadform/WAD_on_Centreline/v2300_13/@plus4" xmlDataType="string"/>
    </xmlCellPr>
  </singleXmlCell>
  <singleXmlCell id="331" xr6:uid="{26307CB0-C88D-4C1D-8C17-50278DD271A6}" r="K133" connectionId="0">
    <xmlCellPr id="1" xr6:uid="{468A2A74-4F8D-4C1A-9F6E-57000C85A4E9}" uniqueName="plus3">
      <xmlPr mapId="7" xpath="/MAKE/PP/PPHeadform/WAD_on_Centreline/v2300_13/@plus3" xmlDataType="string"/>
    </xmlCellPr>
  </singleXmlCell>
  <singleXmlCell id="332" xr6:uid="{F19DA955-D10B-403B-9429-AC5826E4B831}" r="L133" connectionId="0">
    <xmlCellPr id="1" xr6:uid="{421F1C5E-C861-400C-BCDC-D362BD761D38}" uniqueName="plus2">
      <xmlPr mapId="7" xpath="/MAKE/PP/PPHeadform/WAD_on_Centreline/v2300_13/@plus2" xmlDataType="string"/>
    </xmlCellPr>
  </singleXmlCell>
  <singleXmlCell id="333" xr6:uid="{4A80C78F-7159-4CDF-81C1-717E8668B7A4}" r="M133" connectionId="0">
    <xmlCellPr id="1" xr6:uid="{EB2816C5-F21C-4451-98D2-98DEDF1930CE}" uniqueName="plus1">
      <xmlPr mapId="7" xpath="/MAKE/PP/PPHeadform/WAD_on_Centreline/v2300_13/@plus1" xmlDataType="string"/>
    </xmlCellPr>
  </singleXmlCell>
  <singleXmlCell id="334" xr6:uid="{52C0E0B6-600D-4C85-A25F-C701ACF364A9}" r="N133" connectionId="0">
    <xmlCellPr id="1" xr6:uid="{6E510887-B772-4970-80FC-CE0B6BA90C87}" uniqueName="zero">
      <xmlPr mapId="7" xpath="/MAKE/PP/PPHeadform/WAD_on_Centreline/v2300_13/@zero" xmlDataType="string"/>
    </xmlCellPr>
  </singleXmlCell>
  <singleXmlCell id="335" xr6:uid="{233D7591-DFD9-45FE-B317-DE4CE669B4A1}" r="O133" connectionId="0">
    <xmlCellPr id="1" xr6:uid="{06901900-E5C4-4BA3-B261-6FDC9AB8E5B8}" uniqueName="minus1">
      <xmlPr mapId="7" xpath="/MAKE/PP/PPHeadform/WAD_on_Centreline/v2300_13/@minus1" xmlDataType="string"/>
    </xmlCellPr>
  </singleXmlCell>
  <singleXmlCell id="336" xr6:uid="{BE0E6EBB-DF9F-46DB-BFEC-D4F1C93DC62C}" r="P133" connectionId="0">
    <xmlCellPr id="1" xr6:uid="{F69E8AF6-EA1A-4C00-BC75-36B0DF77B8BB}" uniqueName="minus2">
      <xmlPr mapId="7" xpath="/MAKE/PP/PPHeadform/WAD_on_Centreline/v2300_13/@minus2" xmlDataType="string"/>
    </xmlCellPr>
  </singleXmlCell>
  <singleXmlCell id="337" xr6:uid="{FAA7986D-A42E-4FCA-9654-85D422F12C8D}" r="Q133" connectionId="0">
    <xmlCellPr id="1" xr6:uid="{7C4972DF-823B-4763-B9FD-AB8959F1F8ED}" uniqueName="minus3">
      <xmlPr mapId="7" xpath="/MAKE/PP/PPHeadform/WAD_on_Centreline/v2300_13/@minus3" xmlDataType="string"/>
    </xmlCellPr>
  </singleXmlCell>
  <singleXmlCell id="338" xr6:uid="{548F7CEF-71E8-49BC-9B68-172B0FC55B53}" r="R133" connectionId="0">
    <xmlCellPr id="1" xr6:uid="{3793F149-950F-4A1A-9547-BA43BA61866E}" uniqueName="minus4">
      <xmlPr mapId="7" xpath="/MAKE/PP/PPHeadform/WAD_on_Centreline/v2300_13/@minus4" xmlDataType="string"/>
    </xmlCellPr>
  </singleXmlCell>
  <singleXmlCell id="339" xr6:uid="{603CFF35-4277-4745-82DE-020D7F03166D}" r="S133" connectionId="0">
    <xmlCellPr id="1" xr6:uid="{1A2955B6-4AC3-4053-9478-4227D768AD70}" uniqueName="minus5">
      <xmlPr mapId="7" xpath="/MAKE/PP/PPHeadform/WAD_on_Centreline/v2300_13/@minus5" xmlDataType="string"/>
    </xmlCellPr>
  </singleXmlCell>
  <singleXmlCell id="340" xr6:uid="{70C21FCE-C0E5-4921-8FFD-854017563392}" r="T133" connectionId="0">
    <xmlCellPr id="1" xr6:uid="{E127ED79-4DD5-4D68-ACC1-A122363B1001}" uniqueName="minus6">
      <xmlPr mapId="7" xpath="/MAKE/PP/PPHeadform/WAD_on_Centreline/v2300_13/@minus6" xmlDataType="string"/>
    </xmlCellPr>
  </singleXmlCell>
  <singleXmlCell id="341" xr6:uid="{80AB2CEC-E2AB-4D17-BD3E-8428E1B0B75E}" r="U133" connectionId="0">
    <xmlCellPr id="1" xr6:uid="{A4AF21AC-1D2B-401E-9A4B-BBB0608BC9DC}" uniqueName="minus7">
      <xmlPr mapId="7" xpath="/MAKE/PP/PPHeadform/WAD_on_Centreline/v2300_13/@minus7" xmlDataType="string"/>
    </xmlCellPr>
  </singleXmlCell>
  <singleXmlCell id="342" xr6:uid="{76E0D784-9E5C-4765-87C8-5479463689CC}" r="V133" connectionId="0">
    <xmlCellPr id="1" xr6:uid="{6DA6AEAD-7CA9-4D1A-B16E-474CE34D5CF3}" uniqueName="minus8">
      <xmlPr mapId="7" xpath="/MAKE/PP/PPHeadform/WAD_on_Centreline/v2300_13/@minus8" xmlDataType="string"/>
    </xmlCellPr>
  </singleXmlCell>
  <singleXmlCell id="343" xr6:uid="{22187DCF-AAF4-4EC3-B77C-B1CAF42A19A9}" r="W133" connectionId="0">
    <xmlCellPr id="1" xr6:uid="{DF980FDA-5596-43BA-BDBC-D09547328262}" uniqueName="minus9">
      <xmlPr mapId="7" xpath="/MAKE/PP/PPHeadform/WAD_on_Centreline/v2300_13/@minus9" xmlDataType="string"/>
    </xmlCellPr>
  </singleXmlCell>
  <singleXmlCell id="344" xr6:uid="{54A8EDCB-3AF7-4B23-9519-72A9280619A4}" r="X133" connectionId="0">
    <xmlCellPr id="1" xr6:uid="{6F5D0A44-A503-49BC-BFBF-1102E8935A07}" uniqueName="minus10">
      <xmlPr mapId="7" xpath="/MAKE/PP/PPHeadform/WAD_on_Centreline/v2300_13/@minus10" xmlDataType="string"/>
    </xmlCellPr>
  </singleXmlCell>
  <singleXmlCell id="345" xr6:uid="{171BADEE-A359-4BD6-97D3-16D37412CF15}" r="Y133" connectionId="0">
    <xmlCellPr id="1" xr6:uid="{FA0EE7AF-52B1-44E8-97C3-D0D872942FA9}" uniqueName="WindshieldStartsHere">
      <xmlPr mapId="7" xpath="/MAKE/PP/PPHeadform/WAD_on_Centreline/v2300_13/@WindshieldStartsHere" xmlDataType="string"/>
    </xmlCellPr>
  </singleXmlCell>
  <singleXmlCell id="346" xr6:uid="{624A9259-B170-400C-ACCD-6645BDA23290}" r="D134" connectionId="0">
    <xmlCellPr id="1" xr6:uid="{E656F325-571E-4DD4-9368-11A8DF89B934}" uniqueName="plus10">
      <xmlPr mapId="7" xpath="/MAKE/PP/PPHeadform/WAD_on_Centreline/v2200_12/@plus10" xmlDataType="string"/>
    </xmlCellPr>
  </singleXmlCell>
  <singleXmlCell id="347" xr6:uid="{EC747C97-1DA1-4D9C-A0CC-E90BFAE214E3}" r="E134" connectionId="0">
    <xmlCellPr id="1" xr6:uid="{6B22BB43-031F-4D38-8973-D89308B05EAB}" uniqueName="plus9">
      <xmlPr mapId="7" xpath="/MAKE/PP/PPHeadform/WAD_on_Centreline/v2200_12/@plus9" xmlDataType="string"/>
    </xmlCellPr>
  </singleXmlCell>
  <singleXmlCell id="348" xr6:uid="{1F2E9CC2-BFBD-450C-93A4-6D9F5D5B787C}" r="F134" connectionId="0">
    <xmlCellPr id="1" xr6:uid="{40DE036D-F226-4B6E-9D26-1AE9083BF868}" uniqueName="plus8">
      <xmlPr mapId="7" xpath="/MAKE/PP/PPHeadform/WAD_on_Centreline/v2200_12/@plus8" xmlDataType="string"/>
    </xmlCellPr>
  </singleXmlCell>
  <singleXmlCell id="349" xr6:uid="{9D2C8272-BC0C-4070-85C3-CDD41A5D9D5F}" r="G134" connectionId="0">
    <xmlCellPr id="1" xr6:uid="{3F14462B-4A0E-4AE4-8B2D-5183A39CD22A}" uniqueName="plus7">
      <xmlPr mapId="7" xpath="/MAKE/PP/PPHeadform/WAD_on_Centreline/v2200_12/@plus7" xmlDataType="string"/>
    </xmlCellPr>
  </singleXmlCell>
  <singleXmlCell id="350" xr6:uid="{2C576DCC-A983-40EF-A65A-D9575044E0B3}" r="H134" connectionId="0">
    <xmlCellPr id="1" xr6:uid="{9858E788-2170-44B1-8565-885927B52525}" uniqueName="plus6">
      <xmlPr mapId="7" xpath="/MAKE/PP/PPHeadform/WAD_on_Centreline/v2200_12/@plus6" xmlDataType="string"/>
    </xmlCellPr>
  </singleXmlCell>
  <singleXmlCell id="351" xr6:uid="{673CCEA2-3588-432F-8960-ECCFB8E0FC9D}" r="I134" connectionId="0">
    <xmlCellPr id="1" xr6:uid="{5F11D18A-1A06-4AB0-8EC9-7FDB87E1E162}" uniqueName="plus5">
      <xmlPr mapId="7" xpath="/MAKE/PP/PPHeadform/WAD_on_Centreline/v2200_12/@plus5" xmlDataType="string"/>
    </xmlCellPr>
  </singleXmlCell>
  <singleXmlCell id="352" xr6:uid="{E3623B27-A82C-4D14-9CBE-A18DEEB0B3DC}" r="J134" connectionId="0">
    <xmlCellPr id="1" xr6:uid="{A3CC8281-825C-43D9-BE52-E4098445A491}" uniqueName="plus4">
      <xmlPr mapId="7" xpath="/MAKE/PP/PPHeadform/WAD_on_Centreline/v2200_12/@plus4" xmlDataType="string"/>
    </xmlCellPr>
  </singleXmlCell>
  <singleXmlCell id="353" xr6:uid="{15996493-B155-4BD4-A903-CAE07DC8366C}" r="K134" connectionId="0">
    <xmlCellPr id="1" xr6:uid="{0575A63A-0220-4819-8D22-DDF88F7A0D2B}" uniqueName="plus3">
      <xmlPr mapId="7" xpath="/MAKE/PP/PPHeadform/WAD_on_Centreline/v2200_12/@plus3" xmlDataType="string"/>
    </xmlCellPr>
  </singleXmlCell>
  <singleXmlCell id="354" xr6:uid="{D670AA79-761D-4F97-A72C-322905C15A30}" r="L134" connectionId="0">
    <xmlCellPr id="1" xr6:uid="{4A37DF54-492F-4ABB-9648-FFC882785EF7}" uniqueName="plus2">
      <xmlPr mapId="7" xpath="/MAKE/PP/PPHeadform/WAD_on_Centreline/v2200_12/@plus2" xmlDataType="string"/>
    </xmlCellPr>
  </singleXmlCell>
  <singleXmlCell id="355" xr6:uid="{46DBB262-6B05-4DC3-84F7-52F33497F377}" r="M134" connectionId="0">
    <xmlCellPr id="1" xr6:uid="{C27A3775-B043-4925-B1B2-ED5092CB2879}" uniqueName="plus1">
      <xmlPr mapId="7" xpath="/MAKE/PP/PPHeadform/WAD_on_Centreline/v2200_12/@plus1" xmlDataType="string"/>
    </xmlCellPr>
  </singleXmlCell>
  <singleXmlCell id="356" xr6:uid="{BB627DE4-BEBA-418E-9FE8-606E074855CC}" r="N134" connectionId="0">
    <xmlCellPr id="1" xr6:uid="{D40DB937-66C3-436F-A678-41D4907D763F}" uniqueName="zero">
      <xmlPr mapId="7" xpath="/MAKE/PP/PPHeadform/WAD_on_Centreline/v2200_12/@zero" xmlDataType="string"/>
    </xmlCellPr>
  </singleXmlCell>
  <singleXmlCell id="357" xr6:uid="{F17E14A7-A859-44F7-9B60-AB3AD2380867}" r="O134" connectionId="0">
    <xmlCellPr id="1" xr6:uid="{2A3E2D1E-911B-47DD-8B6F-CE242F97F687}" uniqueName="minus1">
      <xmlPr mapId="7" xpath="/MAKE/PP/PPHeadform/WAD_on_Centreline/v2200_12/@minus1" xmlDataType="string"/>
    </xmlCellPr>
  </singleXmlCell>
  <singleXmlCell id="358" xr6:uid="{47CB40A5-13BE-4943-90B8-58CE20D6387F}" r="P134" connectionId="0">
    <xmlCellPr id="1" xr6:uid="{3AF582B9-99D7-4855-A829-89F68B26F227}" uniqueName="minus2">
      <xmlPr mapId="7" xpath="/MAKE/PP/PPHeadform/WAD_on_Centreline/v2200_12/@minus2" xmlDataType="string"/>
    </xmlCellPr>
  </singleXmlCell>
  <singleXmlCell id="359" xr6:uid="{47DC1A82-F0DD-4953-AC71-960FB835FF11}" r="Q134" connectionId="0">
    <xmlCellPr id="1" xr6:uid="{ED4FED03-595D-4A16-B63F-EF78B1D09984}" uniqueName="minus3">
      <xmlPr mapId="7" xpath="/MAKE/PP/PPHeadform/WAD_on_Centreline/v2200_12/@minus3" xmlDataType="string"/>
    </xmlCellPr>
  </singleXmlCell>
  <singleXmlCell id="360" xr6:uid="{3C18F9D7-6F74-4458-96AA-1ABC8A95B651}" r="R134" connectionId="0">
    <xmlCellPr id="1" xr6:uid="{E3B3BA01-9036-44B6-A766-2C4AFFC103F6}" uniqueName="minus4">
      <xmlPr mapId="7" xpath="/MAKE/PP/PPHeadform/WAD_on_Centreline/v2200_12/@minus4" xmlDataType="string"/>
    </xmlCellPr>
  </singleXmlCell>
  <singleXmlCell id="361" xr6:uid="{87FB607F-DE40-4192-A4DA-88A931172F6D}" r="S134" connectionId="0">
    <xmlCellPr id="1" xr6:uid="{7EF204D5-F051-437F-A0D5-B7473C6A6505}" uniqueName="minus5">
      <xmlPr mapId="7" xpath="/MAKE/PP/PPHeadform/WAD_on_Centreline/v2200_12/@minus5" xmlDataType="string"/>
    </xmlCellPr>
  </singleXmlCell>
  <singleXmlCell id="362" xr6:uid="{56DC5C1C-A851-48E8-A4EB-63B8A00AC28E}" r="T134" connectionId="0">
    <xmlCellPr id="1" xr6:uid="{A1905E03-CEAD-4FC0-AF58-81408753CE15}" uniqueName="minus6">
      <xmlPr mapId="7" xpath="/MAKE/PP/PPHeadform/WAD_on_Centreline/v2200_12/@minus6" xmlDataType="string"/>
    </xmlCellPr>
  </singleXmlCell>
  <singleXmlCell id="363" xr6:uid="{F7A2CDD9-6993-47E6-8E48-F7306363ADC9}" r="U134" connectionId="0">
    <xmlCellPr id="1" xr6:uid="{4CBD2090-AB7A-40B5-A5FF-C046403DE176}" uniqueName="minus7">
      <xmlPr mapId="7" xpath="/MAKE/PP/PPHeadform/WAD_on_Centreline/v2200_12/@minus7" xmlDataType="string"/>
    </xmlCellPr>
  </singleXmlCell>
  <singleXmlCell id="364" xr6:uid="{953037F8-59CB-4396-93E7-2656FAFF4CFA}" r="V134" connectionId="0">
    <xmlCellPr id="1" xr6:uid="{4593E2B9-8ED9-488F-A17F-1D2F7D8DCB56}" uniqueName="minus8">
      <xmlPr mapId="7" xpath="/MAKE/PP/PPHeadform/WAD_on_Centreline/v2200_12/@minus8" xmlDataType="string"/>
    </xmlCellPr>
  </singleXmlCell>
  <singleXmlCell id="365" xr6:uid="{C89AD363-4688-4F1E-A44A-A1B1EA9C2401}" r="W134" connectionId="0">
    <xmlCellPr id="1" xr6:uid="{4D8A2318-3CB7-439C-A661-4B4BB8C56E6B}" uniqueName="minus9">
      <xmlPr mapId="7" xpath="/MAKE/PP/PPHeadform/WAD_on_Centreline/v2200_12/@minus9" xmlDataType="string"/>
    </xmlCellPr>
  </singleXmlCell>
  <singleXmlCell id="366" xr6:uid="{C843107F-93FD-4915-82EC-CECF48EBA082}" r="X134" connectionId="0">
    <xmlCellPr id="1" xr6:uid="{DFA829A1-DF96-4817-8ABF-C08E74949117}" uniqueName="minus10">
      <xmlPr mapId="7" xpath="/MAKE/PP/PPHeadform/WAD_on_Centreline/v2200_12/@minus10" xmlDataType="string"/>
    </xmlCellPr>
  </singleXmlCell>
  <singleXmlCell id="367" xr6:uid="{B504C243-15D3-4B8B-9AED-6068FAF45EA4}" r="Y134" connectionId="0">
    <xmlCellPr id="1" xr6:uid="{5CA0ECC7-E20A-4AF5-965E-41CFC3F12A8E}" uniqueName="WindshieldStartsHere">
      <xmlPr mapId="7" xpath="/MAKE/PP/PPHeadform/WAD_on_Centreline/v2200_12/@WindshieldStartsHere" xmlDataType="string"/>
    </xmlCellPr>
  </singleXmlCell>
  <singleXmlCell id="368" xr6:uid="{59454C9E-C2C3-4235-94AD-AA18A3310DF9}" r="D135" connectionId="0">
    <xmlCellPr id="1" xr6:uid="{C57AAA87-7A0A-4B9F-B63C-F2D697213C6B}" uniqueName="plus10">
      <xmlPr mapId="7" xpath="/MAKE/PP/PPHeadform/WAD_on_Centreline/v2100_11/@plus10" xmlDataType="string"/>
    </xmlCellPr>
  </singleXmlCell>
  <singleXmlCell id="369" xr6:uid="{81065D2B-919F-43B0-A2A8-5A907D44300B}" r="E135" connectionId="0">
    <xmlCellPr id="1" xr6:uid="{55E2D036-7D5B-44E9-B17E-2495AF4AFCCD}" uniqueName="plus9">
      <xmlPr mapId="7" xpath="/MAKE/PP/PPHeadform/WAD_on_Centreline/v2100_11/@plus9" xmlDataType="string"/>
    </xmlCellPr>
  </singleXmlCell>
  <singleXmlCell id="370" xr6:uid="{D15A06A1-57A4-4707-BA1C-4070DE030AA7}" r="F135" connectionId="0">
    <xmlCellPr id="1" xr6:uid="{DC5A8746-D6FE-4601-982C-A71505702233}" uniqueName="plus8">
      <xmlPr mapId="7" xpath="/MAKE/PP/PPHeadform/WAD_on_Centreline/v2100_11/@plus8" xmlDataType="string"/>
    </xmlCellPr>
  </singleXmlCell>
  <singleXmlCell id="371" xr6:uid="{F2660554-126B-4D6A-B98A-E2FFA3541BC7}" r="G135" connectionId="0">
    <xmlCellPr id="1" xr6:uid="{FF3CD807-CBA2-4257-B065-4D824092CD0C}" uniqueName="plus7">
      <xmlPr mapId="7" xpath="/MAKE/PP/PPHeadform/WAD_on_Centreline/v2100_11/@plus7" xmlDataType="string"/>
    </xmlCellPr>
  </singleXmlCell>
  <singleXmlCell id="372" xr6:uid="{BF8B4A27-83AE-495F-8DCB-13891B6AF09C}" r="H135" connectionId="0">
    <xmlCellPr id="1" xr6:uid="{D7197D02-8790-4D2A-9F91-B67EAAF26C81}" uniqueName="plus6">
      <xmlPr mapId="7" xpath="/MAKE/PP/PPHeadform/WAD_on_Centreline/v2100_11/@plus6" xmlDataType="string"/>
    </xmlCellPr>
  </singleXmlCell>
  <singleXmlCell id="373" xr6:uid="{9AF79CFB-3944-454D-A2DD-B3F220557A2D}" r="I135" connectionId="0">
    <xmlCellPr id="1" xr6:uid="{D8850443-B72C-4B9C-AFB8-C52DDCC26678}" uniqueName="plus5">
      <xmlPr mapId="7" xpath="/MAKE/PP/PPHeadform/WAD_on_Centreline/v2100_11/@plus5" xmlDataType="string"/>
    </xmlCellPr>
  </singleXmlCell>
  <singleXmlCell id="374" xr6:uid="{8A320514-4433-4276-8909-59B79BEAF7F4}" r="J135" connectionId="0">
    <xmlCellPr id="1" xr6:uid="{1C868474-030B-4D32-A396-2AD2EA41F57F}" uniqueName="plus4">
      <xmlPr mapId="7" xpath="/MAKE/PP/PPHeadform/WAD_on_Centreline/v2100_11/@plus4" xmlDataType="string"/>
    </xmlCellPr>
  </singleXmlCell>
  <singleXmlCell id="375" xr6:uid="{8ABF47D1-44A9-4C66-A1F0-0DA701E1E69C}" r="K135" connectionId="0">
    <xmlCellPr id="1" xr6:uid="{333EA493-1127-4761-9AE3-91AA39ADBF75}" uniqueName="plus3">
      <xmlPr mapId="7" xpath="/MAKE/PP/PPHeadform/WAD_on_Centreline/v2100_11/@plus3" xmlDataType="string"/>
    </xmlCellPr>
  </singleXmlCell>
  <singleXmlCell id="376" xr6:uid="{9BA06D33-FA7E-4544-BBA6-D3DF6AF5E55C}" r="L135" connectionId="0">
    <xmlCellPr id="1" xr6:uid="{22D0DDBB-0AD5-4D37-864F-E77C9E05E82E}" uniqueName="plus2">
      <xmlPr mapId="7" xpath="/MAKE/PP/PPHeadform/WAD_on_Centreline/v2100_11/@plus2" xmlDataType="string"/>
    </xmlCellPr>
  </singleXmlCell>
  <singleXmlCell id="377" xr6:uid="{CAFC4611-1C35-4214-8FE8-F880E29F1914}" r="M135" connectionId="0">
    <xmlCellPr id="1" xr6:uid="{525FAB34-E33E-4664-A305-0EB50026AB14}" uniqueName="plus1">
      <xmlPr mapId="7" xpath="/MAKE/PP/PPHeadform/WAD_on_Centreline/v2100_11/@plus1" xmlDataType="string"/>
    </xmlCellPr>
  </singleXmlCell>
  <singleXmlCell id="378" xr6:uid="{8E6F45A9-E093-400E-958A-12FCF9E94D16}" r="N135" connectionId="0">
    <xmlCellPr id="1" xr6:uid="{40155787-302A-4042-B19A-DFDAB4398CB3}" uniqueName="zero">
      <xmlPr mapId="7" xpath="/MAKE/PP/PPHeadform/WAD_on_Centreline/v2100_11/@zero" xmlDataType="string"/>
    </xmlCellPr>
  </singleXmlCell>
  <singleXmlCell id="379" xr6:uid="{5E6E2EEE-1E51-41BC-B7FC-EB2A3B411850}" r="O135" connectionId="0">
    <xmlCellPr id="1" xr6:uid="{412FDC57-3DA1-464D-9DB9-E57699A472FA}" uniqueName="minus1">
      <xmlPr mapId="7" xpath="/MAKE/PP/PPHeadform/WAD_on_Centreline/v2100_11/@minus1" xmlDataType="string"/>
    </xmlCellPr>
  </singleXmlCell>
  <singleXmlCell id="380" xr6:uid="{7536CBFD-39FB-404F-AB3F-D8956D16DD0F}" r="P135" connectionId="0">
    <xmlCellPr id="1" xr6:uid="{5E0E2EE6-B15C-4F61-B977-E9099C0D99AE}" uniqueName="minus2">
      <xmlPr mapId="7" xpath="/MAKE/PP/PPHeadform/WAD_on_Centreline/v2100_11/@minus2" xmlDataType="string"/>
    </xmlCellPr>
  </singleXmlCell>
  <singleXmlCell id="381" xr6:uid="{FC5A5D04-08AB-4D4B-8BAF-C4C913E82FB2}" r="Q135" connectionId="0">
    <xmlCellPr id="1" xr6:uid="{21D14CF9-69B9-491A-B634-89FCB65E065E}" uniqueName="minus3">
      <xmlPr mapId="7" xpath="/MAKE/PP/PPHeadform/WAD_on_Centreline/v2100_11/@minus3" xmlDataType="string"/>
    </xmlCellPr>
  </singleXmlCell>
  <singleXmlCell id="382" xr6:uid="{D8770E35-C07F-4BF6-AE56-E729E4F9A3F6}" r="R135" connectionId="0">
    <xmlCellPr id="1" xr6:uid="{05D90932-F0CE-4DE4-9481-0B1B41ADCF7F}" uniqueName="minus4">
      <xmlPr mapId="7" xpath="/MAKE/PP/PPHeadform/WAD_on_Centreline/v2100_11/@minus4" xmlDataType="string"/>
    </xmlCellPr>
  </singleXmlCell>
  <singleXmlCell id="383" xr6:uid="{D57755F5-C89E-4CF9-A5B9-9D99048422E4}" r="S135" connectionId="0">
    <xmlCellPr id="1" xr6:uid="{59DEEC88-415C-4A04-88B3-EE984874C425}" uniqueName="minus5">
      <xmlPr mapId="7" xpath="/MAKE/PP/PPHeadform/WAD_on_Centreline/v2100_11/@minus5" xmlDataType="string"/>
    </xmlCellPr>
  </singleXmlCell>
  <singleXmlCell id="384" xr6:uid="{DF5E1043-2557-4C2E-8BC4-F9AFA7E8F9AA}" r="T135" connectionId="0">
    <xmlCellPr id="1" xr6:uid="{A5791C53-7DA0-4F8C-972B-1FB5E8D69F3C}" uniqueName="minus6">
      <xmlPr mapId="7" xpath="/MAKE/PP/PPHeadform/WAD_on_Centreline/v2100_11/@minus6" xmlDataType="string"/>
    </xmlCellPr>
  </singleXmlCell>
  <singleXmlCell id="385" xr6:uid="{8C7FD716-BC2B-4E77-9AB6-3EF1037AC74E}" r="U135" connectionId="0">
    <xmlCellPr id="1" xr6:uid="{62C28897-9652-40A1-ABCC-D6F66F2F6342}" uniqueName="minus7">
      <xmlPr mapId="7" xpath="/MAKE/PP/PPHeadform/WAD_on_Centreline/v2100_11/@minus7" xmlDataType="string"/>
    </xmlCellPr>
  </singleXmlCell>
  <singleXmlCell id="386" xr6:uid="{A3AA0DC0-D1D6-4C62-BC7B-8DA3F27B776D}" r="V135" connectionId="0">
    <xmlCellPr id="1" xr6:uid="{1FB71C4F-EB69-46D0-9500-010CE19249B4}" uniqueName="minus8">
      <xmlPr mapId="7" xpath="/MAKE/PP/PPHeadform/WAD_on_Centreline/v2100_11/@minus8" xmlDataType="string"/>
    </xmlCellPr>
  </singleXmlCell>
  <singleXmlCell id="387" xr6:uid="{F7852087-7FFD-49C0-B280-1F3C365EF1A3}" r="W135" connectionId="0">
    <xmlCellPr id="1" xr6:uid="{73481236-3FF3-407A-B1CB-823744E85010}" uniqueName="minus9">
      <xmlPr mapId="7" xpath="/MAKE/PP/PPHeadform/WAD_on_Centreline/v2100_11/@minus9" xmlDataType="string"/>
    </xmlCellPr>
  </singleXmlCell>
  <singleXmlCell id="388" xr6:uid="{0E276A76-6499-4350-AC23-EEC0526C4209}" r="X135" connectionId="0">
    <xmlCellPr id="1" xr6:uid="{7400A7F0-D57A-4261-A7AB-063DD01CFAC6}" uniqueName="minus10">
      <xmlPr mapId="7" xpath="/MAKE/PP/PPHeadform/WAD_on_Centreline/v2100_11/@minus10" xmlDataType="string"/>
    </xmlCellPr>
  </singleXmlCell>
  <singleXmlCell id="389" xr6:uid="{3D6D49CF-4E08-4F6A-A078-70780B7AD191}" r="Y135" connectionId="0">
    <xmlCellPr id="1" xr6:uid="{30075BD6-3C86-4D52-B539-E53F24D0AFE2}" uniqueName="WindshieldStartsHere">
      <xmlPr mapId="7" xpath="/MAKE/PP/PPHeadform/WAD_on_Centreline/v2100_11/@WindshieldStartsHere" xmlDataType="string"/>
    </xmlCellPr>
  </singleXmlCell>
  <singleXmlCell id="390" xr6:uid="{8D8D8673-A6AC-465C-8D58-AF33A53295E9}" r="D136" connectionId="0">
    <xmlCellPr id="1" xr6:uid="{96F86431-C66D-488F-A994-B694907F38C3}" uniqueName="plus10">
      <xmlPr mapId="7" xpath="/MAKE/PP/PPHeadform/WAD_on_Centreline/v2000_10/@plus10" xmlDataType="string"/>
    </xmlCellPr>
  </singleXmlCell>
  <singleXmlCell id="391" xr6:uid="{513912E6-1F86-4975-A882-3499BBAAEB46}" r="E136" connectionId="0">
    <xmlCellPr id="1" xr6:uid="{009455FA-8638-4C2A-B195-F0ADDEA2EF51}" uniqueName="plus9">
      <xmlPr mapId="7" xpath="/MAKE/PP/PPHeadform/WAD_on_Centreline/v2000_10/@plus9" xmlDataType="string"/>
    </xmlCellPr>
  </singleXmlCell>
  <singleXmlCell id="392" xr6:uid="{710EADE3-0AF6-4B15-AD49-BF435C301D84}" r="F136" connectionId="0">
    <xmlCellPr id="1" xr6:uid="{7A7A1723-241C-4F7C-946D-D4ED226260FA}" uniqueName="plus8">
      <xmlPr mapId="7" xpath="/MAKE/PP/PPHeadform/WAD_on_Centreline/v2000_10/@plus8" xmlDataType="string"/>
    </xmlCellPr>
  </singleXmlCell>
  <singleXmlCell id="393" xr6:uid="{74C4E76B-8076-4EF0-87FC-66EAFA13046B}" r="G136" connectionId="0">
    <xmlCellPr id="1" xr6:uid="{7840DC86-8DF3-48C0-923C-1531B294A64C}" uniqueName="plus7">
      <xmlPr mapId="7" xpath="/MAKE/PP/PPHeadform/WAD_on_Centreline/v2000_10/@plus7" xmlDataType="string"/>
    </xmlCellPr>
  </singleXmlCell>
  <singleXmlCell id="394" xr6:uid="{7A742E86-095A-4A88-B3D4-05769BFEE640}" r="H136" connectionId="0">
    <xmlCellPr id="1" xr6:uid="{769C8544-030C-467C-A374-E653E285EBFC}" uniqueName="plus6">
      <xmlPr mapId="7" xpath="/MAKE/PP/PPHeadform/WAD_on_Centreline/v2000_10/@plus6" xmlDataType="string"/>
    </xmlCellPr>
  </singleXmlCell>
  <singleXmlCell id="395" xr6:uid="{4865C7D8-18A0-4104-A324-5D5133ECD150}" r="I136" connectionId="0">
    <xmlCellPr id="1" xr6:uid="{F1AB2B5E-52B5-450D-BD82-4B34CEF9128E}" uniqueName="plus5">
      <xmlPr mapId="7" xpath="/MAKE/PP/PPHeadform/WAD_on_Centreline/v2000_10/@plus5" xmlDataType="string"/>
    </xmlCellPr>
  </singleXmlCell>
  <singleXmlCell id="396" xr6:uid="{86B19DA8-0FE5-4F71-A75A-D5C6BB428B7F}" r="J136" connectionId="0">
    <xmlCellPr id="1" xr6:uid="{426C4DC7-531B-41C8-9A7A-682430FDECD2}" uniqueName="plus4">
      <xmlPr mapId="7" xpath="/MAKE/PP/PPHeadform/WAD_on_Centreline/v2000_10/@plus4" xmlDataType="string"/>
    </xmlCellPr>
  </singleXmlCell>
  <singleXmlCell id="397" xr6:uid="{7E00C233-80D4-477F-9A06-4B8C1089C1E9}" r="K136" connectionId="0">
    <xmlCellPr id="1" xr6:uid="{A3FC11F2-6C83-4F11-BDC2-67B3620AFB37}" uniqueName="plus3">
      <xmlPr mapId="7" xpath="/MAKE/PP/PPHeadform/WAD_on_Centreline/v2000_10/@plus3" xmlDataType="string"/>
    </xmlCellPr>
  </singleXmlCell>
  <singleXmlCell id="398" xr6:uid="{D5A0DEB5-9C60-4193-9ED1-5D0B3D5DE2C2}" r="L136" connectionId="0">
    <xmlCellPr id="1" xr6:uid="{76251A4D-3054-45C8-ACB8-EB09BCE56D89}" uniqueName="plus2">
      <xmlPr mapId="7" xpath="/MAKE/PP/PPHeadform/WAD_on_Centreline/v2000_10/@plus2" xmlDataType="string"/>
    </xmlCellPr>
  </singleXmlCell>
  <singleXmlCell id="399" xr6:uid="{72C28EDE-103D-4DC5-8B46-5BFF018BE448}" r="M136" connectionId="0">
    <xmlCellPr id="1" xr6:uid="{8F6F8F2C-44A1-4FC8-9555-CF1D298E88FC}" uniqueName="plus1">
      <xmlPr mapId="7" xpath="/MAKE/PP/PPHeadform/WAD_on_Centreline/v2000_10/@plus1" xmlDataType="string"/>
    </xmlCellPr>
  </singleXmlCell>
  <singleXmlCell id="400" xr6:uid="{3D408C67-4544-44F8-BE89-6AD7BDA138A2}" r="N136" connectionId="0">
    <xmlCellPr id="1" xr6:uid="{19082571-BCE7-4E2C-B49F-C2910A96EA07}" uniqueName="zero">
      <xmlPr mapId="7" xpath="/MAKE/PP/PPHeadform/WAD_on_Centreline/v2000_10/@zero" xmlDataType="string"/>
    </xmlCellPr>
  </singleXmlCell>
  <singleXmlCell id="401" xr6:uid="{810229BB-6526-40EE-B121-794FFA2ECF4C}" r="O136" connectionId="0">
    <xmlCellPr id="1" xr6:uid="{7CA4D6E1-48D5-44E2-AFB9-905CF31B372A}" uniqueName="minus1">
      <xmlPr mapId="7" xpath="/MAKE/PP/PPHeadform/WAD_on_Centreline/v2000_10/@minus1" xmlDataType="string"/>
    </xmlCellPr>
  </singleXmlCell>
  <singleXmlCell id="402" xr6:uid="{5BBB166D-E8D9-4112-90EB-52E1E33DB4A5}" r="P136" connectionId="0">
    <xmlCellPr id="1" xr6:uid="{7CAFD8E3-4921-4091-AE95-C31C15C3CC6C}" uniqueName="minus2">
      <xmlPr mapId="7" xpath="/MAKE/PP/PPHeadform/WAD_on_Centreline/v2000_10/@minus2" xmlDataType="string"/>
    </xmlCellPr>
  </singleXmlCell>
  <singleXmlCell id="403" xr6:uid="{A9624557-6380-4961-91EB-151BFD846599}" r="Q136" connectionId="0">
    <xmlCellPr id="1" xr6:uid="{EE6AEE6D-95D4-4B10-9D4A-D9B17BE470C6}" uniqueName="minus3">
      <xmlPr mapId="7" xpath="/MAKE/PP/PPHeadform/WAD_on_Centreline/v2000_10/@minus3" xmlDataType="string"/>
    </xmlCellPr>
  </singleXmlCell>
  <singleXmlCell id="404" xr6:uid="{13EFC4A5-371B-46F5-A87F-0373398FF429}" r="R136" connectionId="0">
    <xmlCellPr id="1" xr6:uid="{E7E7D39C-A469-49BF-BCCE-71FEFB10218B}" uniqueName="minus4">
      <xmlPr mapId="7" xpath="/MAKE/PP/PPHeadform/WAD_on_Centreline/v2000_10/@minus4" xmlDataType="string"/>
    </xmlCellPr>
  </singleXmlCell>
  <singleXmlCell id="405" xr6:uid="{86FC2824-0D4A-423C-AE45-0279F6CF3DC1}" r="S136" connectionId="0">
    <xmlCellPr id="1" xr6:uid="{C7452D3E-7281-45E7-8B62-AA5A59393DA0}" uniqueName="minus5">
      <xmlPr mapId="7" xpath="/MAKE/PP/PPHeadform/WAD_on_Centreline/v2000_10/@minus5" xmlDataType="string"/>
    </xmlCellPr>
  </singleXmlCell>
  <singleXmlCell id="406" xr6:uid="{E6074900-8D6E-4D41-A737-6772B73CD3A3}" r="T136" connectionId="0">
    <xmlCellPr id="1" xr6:uid="{F48EF268-908E-4A45-A1B1-C1597DB443D5}" uniqueName="minus6">
      <xmlPr mapId="7" xpath="/MAKE/PP/PPHeadform/WAD_on_Centreline/v2000_10/@minus6" xmlDataType="string"/>
    </xmlCellPr>
  </singleXmlCell>
  <singleXmlCell id="407" xr6:uid="{210495FE-468F-4997-BA80-D682FE4D5BE2}" r="U136" connectionId="0">
    <xmlCellPr id="1" xr6:uid="{50772EFF-E42E-4347-9364-BDEC573390B9}" uniqueName="minus7">
      <xmlPr mapId="7" xpath="/MAKE/PP/PPHeadform/WAD_on_Centreline/v2000_10/@minus7" xmlDataType="string"/>
    </xmlCellPr>
  </singleXmlCell>
  <singleXmlCell id="408" xr6:uid="{82DADB5A-0ECA-4135-8FC8-F5D30D86667B}" r="V136" connectionId="0">
    <xmlCellPr id="1" xr6:uid="{C3ED30AF-5312-4B58-8B22-B7FB82811BF9}" uniqueName="minus8">
      <xmlPr mapId="7" xpath="/MAKE/PP/PPHeadform/WAD_on_Centreline/v2000_10/@minus8" xmlDataType="string"/>
    </xmlCellPr>
  </singleXmlCell>
  <singleXmlCell id="409" xr6:uid="{DE8C3EE9-BCD3-4612-80CB-5FB706B0CDDF}" r="W136" connectionId="0">
    <xmlCellPr id="1" xr6:uid="{A1BD388B-6DD9-49D6-A498-246DF96517A9}" uniqueName="minus9">
      <xmlPr mapId="7" xpath="/MAKE/PP/PPHeadform/WAD_on_Centreline/v2000_10/@minus9" xmlDataType="string"/>
    </xmlCellPr>
  </singleXmlCell>
  <singleXmlCell id="410" xr6:uid="{99940DC1-925A-4B75-BB4D-71E34F29A7A5}" r="X136" connectionId="0">
    <xmlCellPr id="1" xr6:uid="{982B6EB3-746B-40D4-BF49-39D3B27E14C2}" uniqueName="minus10">
      <xmlPr mapId="7" xpath="/MAKE/PP/PPHeadform/WAD_on_Centreline/v2000_10/@minus10" xmlDataType="string"/>
    </xmlCellPr>
  </singleXmlCell>
  <singleXmlCell id="411" xr6:uid="{865127F1-9814-4B4A-9A24-450F8440C6E1}" r="Y136" connectionId="0">
    <xmlCellPr id="1" xr6:uid="{B260F442-EA1A-43E5-9221-497902D34875}" uniqueName="WindshieldStartsHere">
      <xmlPr mapId="7" xpath="/MAKE/PP/PPHeadform/WAD_on_Centreline/v2000_10/@WindshieldStartsHere" xmlDataType="string"/>
    </xmlCellPr>
  </singleXmlCell>
  <singleXmlCell id="412" xr6:uid="{50432DCB-000C-4CCB-B9F6-2E921F6EA808}" r="D137" connectionId="0">
    <xmlCellPr id="1" xr6:uid="{5E3F6546-EA6B-4FD4-B0FA-9A2352D01927}" uniqueName="plus10">
      <xmlPr mapId="7" xpath="/MAKE/PP/PPHeadform/WAD_on_Centreline/v1900_9/@plus10" xmlDataType="string"/>
    </xmlCellPr>
  </singleXmlCell>
  <singleXmlCell id="413" xr6:uid="{E6160700-E458-4D10-AAA2-E068014824D4}" r="E137" connectionId="0">
    <xmlCellPr id="1" xr6:uid="{92DB897B-C06D-435B-83D4-A2B9ED32025C}" uniqueName="plus9">
      <xmlPr mapId="7" xpath="/MAKE/PP/PPHeadform/WAD_on_Centreline/v1900_9/@plus9" xmlDataType="string"/>
    </xmlCellPr>
  </singleXmlCell>
  <singleXmlCell id="414" xr6:uid="{5E8679A2-0616-482E-9D63-71FF3860219C}" r="F137" connectionId="0">
    <xmlCellPr id="1" xr6:uid="{FAA2AA98-1959-45AC-B926-55C8E25DEA48}" uniqueName="plus8">
      <xmlPr mapId="7" xpath="/MAKE/PP/PPHeadform/WAD_on_Centreline/v1900_9/@plus8" xmlDataType="string"/>
    </xmlCellPr>
  </singleXmlCell>
  <singleXmlCell id="415" xr6:uid="{8270F1EF-AB2D-4FAD-885D-65BAB92AEFD1}" r="G137" connectionId="0">
    <xmlCellPr id="1" xr6:uid="{B8558AA0-4E78-4C5D-8F84-84BF62638C94}" uniqueName="plus7">
      <xmlPr mapId="7" xpath="/MAKE/PP/PPHeadform/WAD_on_Centreline/v1900_9/@plus7" xmlDataType="string"/>
    </xmlCellPr>
  </singleXmlCell>
  <singleXmlCell id="416" xr6:uid="{C47F5C4C-2000-45EC-8622-1FBFE235A8B9}" r="H137" connectionId="0">
    <xmlCellPr id="1" xr6:uid="{61E5D33E-559F-47B5-9E09-B55FDE304FE0}" uniqueName="plus6">
      <xmlPr mapId="7" xpath="/MAKE/PP/PPHeadform/WAD_on_Centreline/v1900_9/@plus6" xmlDataType="string"/>
    </xmlCellPr>
  </singleXmlCell>
  <singleXmlCell id="417" xr6:uid="{9CCAEF0D-DDC4-47C1-95DE-1CDE299607ED}" r="I137" connectionId="0">
    <xmlCellPr id="1" xr6:uid="{35752134-38EA-4E75-9E10-3C392E5CA2AA}" uniqueName="plus5">
      <xmlPr mapId="7" xpath="/MAKE/PP/PPHeadform/WAD_on_Centreline/v1900_9/@plus5" xmlDataType="string"/>
    </xmlCellPr>
  </singleXmlCell>
  <singleXmlCell id="418" xr6:uid="{7DEFBF59-4BE9-4A1D-B719-4B6746F57EF6}" r="J137" connectionId="0">
    <xmlCellPr id="1" xr6:uid="{F70A9F36-14F8-4331-8B8F-7B7752AB0A1A}" uniqueName="plus4">
      <xmlPr mapId="7" xpath="/MAKE/PP/PPHeadform/WAD_on_Centreline/v1900_9/@plus4" xmlDataType="string"/>
    </xmlCellPr>
  </singleXmlCell>
  <singleXmlCell id="419" xr6:uid="{6F2147B1-48D5-4576-A44D-708155C9DA6F}" r="K137" connectionId="0">
    <xmlCellPr id="1" xr6:uid="{18E1A3A0-F84B-44AB-9936-7EB0CBBD34EB}" uniqueName="plus3">
      <xmlPr mapId="7" xpath="/MAKE/PP/PPHeadform/WAD_on_Centreline/v1900_9/@plus3" xmlDataType="string"/>
    </xmlCellPr>
  </singleXmlCell>
  <singleXmlCell id="420" xr6:uid="{81BD6FE9-06A0-41FA-AC5D-3D0261B2D776}" r="L137" connectionId="0">
    <xmlCellPr id="1" xr6:uid="{57351AB4-16C1-404A-8BB7-967782B75667}" uniqueName="plus2">
      <xmlPr mapId="7" xpath="/MAKE/PP/PPHeadform/WAD_on_Centreline/v1900_9/@plus2" xmlDataType="string"/>
    </xmlCellPr>
  </singleXmlCell>
  <singleXmlCell id="421" xr6:uid="{101954DE-ECF6-40D1-B460-2F2564B36723}" r="M137" connectionId="0">
    <xmlCellPr id="1" xr6:uid="{1329FBCD-F020-4641-8D3F-666F2FBCC6F3}" uniqueName="plus1">
      <xmlPr mapId="7" xpath="/MAKE/PP/PPHeadform/WAD_on_Centreline/v1900_9/@plus1" xmlDataType="string"/>
    </xmlCellPr>
  </singleXmlCell>
  <singleXmlCell id="422" xr6:uid="{11467F1A-194C-4D5A-9C74-549CDE15CD7D}" r="N137" connectionId="0">
    <xmlCellPr id="1" xr6:uid="{43E47AB7-83CD-436B-BDE5-9ABF3E937A03}" uniqueName="zero">
      <xmlPr mapId="7" xpath="/MAKE/PP/PPHeadform/WAD_on_Centreline/v1900_9/@zero" xmlDataType="string"/>
    </xmlCellPr>
  </singleXmlCell>
  <singleXmlCell id="423" xr6:uid="{E4321ED0-37D9-4E12-9E2A-6498E3EF69C3}" r="O137" connectionId="0">
    <xmlCellPr id="1" xr6:uid="{BD29B2D9-9D50-4BC3-96E0-E08707AB316E}" uniqueName="minus1">
      <xmlPr mapId="7" xpath="/MAKE/PP/PPHeadform/WAD_on_Centreline/v1900_9/@minus1" xmlDataType="string"/>
    </xmlCellPr>
  </singleXmlCell>
  <singleXmlCell id="424" xr6:uid="{60BCA676-49CF-4582-814F-B82F66370AAD}" r="P137" connectionId="0">
    <xmlCellPr id="1" xr6:uid="{47C7F95B-4768-4D27-8411-19D07B2311A1}" uniqueName="minus2">
      <xmlPr mapId="7" xpath="/MAKE/PP/PPHeadform/WAD_on_Centreline/v1900_9/@minus2" xmlDataType="string"/>
    </xmlCellPr>
  </singleXmlCell>
  <singleXmlCell id="425" xr6:uid="{AD8D4985-603A-4543-AD67-3B089C662145}" r="Q137" connectionId="0">
    <xmlCellPr id="1" xr6:uid="{25847893-1DCA-4F14-B576-707559367924}" uniqueName="minus3">
      <xmlPr mapId="7" xpath="/MAKE/PP/PPHeadform/WAD_on_Centreline/v1900_9/@minus3" xmlDataType="string"/>
    </xmlCellPr>
  </singleXmlCell>
  <singleXmlCell id="426" xr6:uid="{034EDFCD-15DF-4696-B5CA-278DEF52948E}" r="R137" connectionId="0">
    <xmlCellPr id="1" xr6:uid="{2F554DFB-3FB4-486A-A54B-08AA2B58F3CB}" uniqueName="minus4">
      <xmlPr mapId="7" xpath="/MAKE/PP/PPHeadform/WAD_on_Centreline/v1900_9/@minus4" xmlDataType="string"/>
    </xmlCellPr>
  </singleXmlCell>
  <singleXmlCell id="427" xr6:uid="{1BEA65C1-651C-49EC-A824-8AA25F1DB52A}" r="S137" connectionId="0">
    <xmlCellPr id="1" xr6:uid="{8A8952FC-EAB0-4E32-9F96-176ABC89A133}" uniqueName="minus5">
      <xmlPr mapId="7" xpath="/MAKE/PP/PPHeadform/WAD_on_Centreline/v1900_9/@minus5" xmlDataType="string"/>
    </xmlCellPr>
  </singleXmlCell>
  <singleXmlCell id="428" xr6:uid="{56E2036E-39FC-4B33-B2D7-3E881262F51B}" r="T137" connectionId="0">
    <xmlCellPr id="1" xr6:uid="{A5F71339-8796-4500-80BC-8D57776004A4}" uniqueName="minus6">
      <xmlPr mapId="7" xpath="/MAKE/PP/PPHeadform/WAD_on_Centreline/v1900_9/@minus6" xmlDataType="string"/>
    </xmlCellPr>
  </singleXmlCell>
  <singleXmlCell id="429" xr6:uid="{575EA9A7-43B6-423A-B3D3-06099C4D5748}" r="U137" connectionId="0">
    <xmlCellPr id="1" xr6:uid="{2A312E7B-064C-49BB-8EA1-65674E7D4AEC}" uniqueName="minus7">
      <xmlPr mapId="7" xpath="/MAKE/PP/PPHeadform/WAD_on_Centreline/v1900_9/@minus7" xmlDataType="string"/>
    </xmlCellPr>
  </singleXmlCell>
  <singleXmlCell id="430" xr6:uid="{AE0E1E29-D9BA-4968-93D1-75BA7A0C5B8F}" r="V137" connectionId="0">
    <xmlCellPr id="1" xr6:uid="{159385B0-0357-415E-BA12-60B8D0DB8791}" uniqueName="minus8">
      <xmlPr mapId="7" xpath="/MAKE/PP/PPHeadform/WAD_on_Centreline/v1900_9/@minus8" xmlDataType="string"/>
    </xmlCellPr>
  </singleXmlCell>
  <singleXmlCell id="431" xr6:uid="{24744CF2-6609-4164-8D29-5FA822981DE1}" r="W137" connectionId="0">
    <xmlCellPr id="1" xr6:uid="{48FEB2BC-B784-4255-B5C7-C6B09154B299}" uniqueName="minus9">
      <xmlPr mapId="7" xpath="/MAKE/PP/PPHeadform/WAD_on_Centreline/v1900_9/@minus9" xmlDataType="string"/>
    </xmlCellPr>
  </singleXmlCell>
  <singleXmlCell id="432" xr6:uid="{F5B92407-E083-49DA-82D8-57D58DF56D32}" r="X137" connectionId="0">
    <xmlCellPr id="1" xr6:uid="{F0AEEA9F-CC73-4093-865C-58FF01037BBC}" uniqueName="minus10">
      <xmlPr mapId="7" xpath="/MAKE/PP/PPHeadform/WAD_on_Centreline/v1900_9/@minus10" xmlDataType="string"/>
    </xmlCellPr>
  </singleXmlCell>
  <singleXmlCell id="433" xr6:uid="{9702F3F3-C729-4648-B802-39F1DF393A74}" r="Y137" connectionId="0">
    <xmlCellPr id="1" xr6:uid="{DF675E7E-1D3B-40F1-A8CF-3429CFAA30BE}" uniqueName="WindshieldStartsHere">
      <xmlPr mapId="7" xpath="/MAKE/PP/PPHeadform/WAD_on_Centreline/v1900_9/@WindshieldStartsHere" xmlDataType="string"/>
    </xmlCellPr>
  </singleXmlCell>
  <singleXmlCell id="434" xr6:uid="{F2826435-9ED4-4F37-A462-1F3B962C7363}" r="D138" connectionId="0">
    <xmlCellPr id="1" xr6:uid="{0211670F-0A38-4B36-8332-C8D60B79A7B4}" uniqueName="plus10">
      <xmlPr mapId="7" xpath="/MAKE/PP/PPHeadform/WAD_on_Centreline/v1800_8/@plus10" xmlDataType="string"/>
    </xmlCellPr>
  </singleXmlCell>
  <singleXmlCell id="435" xr6:uid="{17F3690A-DD70-4C27-8A08-C3B85C5E9CD3}" r="E138" connectionId="0">
    <xmlCellPr id="1" xr6:uid="{8E9C76C4-E74F-4BAE-B53A-73B375FAE88F}" uniqueName="plus9">
      <xmlPr mapId="7" xpath="/MAKE/PP/PPHeadform/WAD_on_Centreline/v1800_8/@plus9" xmlDataType="string"/>
    </xmlCellPr>
  </singleXmlCell>
  <singleXmlCell id="436" xr6:uid="{095CDA55-14F0-45AD-9E6E-A1F6D6257ADC}" r="F138" connectionId="0">
    <xmlCellPr id="1" xr6:uid="{C1BBCAF5-0EB0-472F-AB29-78B839682D87}" uniqueName="plus8">
      <xmlPr mapId="7" xpath="/MAKE/PP/PPHeadform/WAD_on_Centreline/v1800_8/@plus8" xmlDataType="string"/>
    </xmlCellPr>
  </singleXmlCell>
  <singleXmlCell id="437" xr6:uid="{11DE8AD2-478E-4C0C-8D52-38D73724F0E2}" r="G138" connectionId="0">
    <xmlCellPr id="1" xr6:uid="{3CBB730B-8EEB-44BE-8ABF-00E641220E2B}" uniqueName="plus7">
      <xmlPr mapId="7" xpath="/MAKE/PP/PPHeadform/WAD_on_Centreline/v1800_8/@plus7" xmlDataType="string"/>
    </xmlCellPr>
  </singleXmlCell>
  <singleXmlCell id="438" xr6:uid="{519D6EA1-CFE3-40DC-AE0C-403E5C792C23}" r="H138" connectionId="0">
    <xmlCellPr id="1" xr6:uid="{A0CC5F21-B847-42CF-A1B2-7CD9F5BCA36F}" uniqueName="plus6">
      <xmlPr mapId="7" xpath="/MAKE/PP/PPHeadform/WAD_on_Centreline/v1800_8/@plus6" xmlDataType="string"/>
    </xmlCellPr>
  </singleXmlCell>
  <singleXmlCell id="439" xr6:uid="{181A4FD0-281A-42E4-927F-9AEE4F08E335}" r="I138" connectionId="0">
    <xmlCellPr id="1" xr6:uid="{8EA11319-0D3A-42FC-803E-7292A6FF7FE5}" uniqueName="plus5">
      <xmlPr mapId="7" xpath="/MAKE/PP/PPHeadform/WAD_on_Centreline/v1800_8/@plus5" xmlDataType="string"/>
    </xmlCellPr>
  </singleXmlCell>
  <singleXmlCell id="440" xr6:uid="{A2BE5A2C-7718-4493-A3AD-991BBD24FA71}" r="J138" connectionId="0">
    <xmlCellPr id="1" xr6:uid="{C2EE6E11-9BEB-454C-A399-AE1F92F3D04F}" uniqueName="plus4">
      <xmlPr mapId="7" xpath="/MAKE/PP/PPHeadform/WAD_on_Centreline/v1800_8/@plus4" xmlDataType="string"/>
    </xmlCellPr>
  </singleXmlCell>
  <singleXmlCell id="441" xr6:uid="{E4FCB128-15CE-4DF3-848C-40C26112672A}" r="K138" connectionId="0">
    <xmlCellPr id="1" xr6:uid="{6E414598-56DE-4A6A-8514-50CC879F5102}" uniqueName="plus3">
      <xmlPr mapId="7" xpath="/MAKE/PP/PPHeadform/WAD_on_Centreline/v1800_8/@plus3" xmlDataType="string"/>
    </xmlCellPr>
  </singleXmlCell>
  <singleXmlCell id="442" xr6:uid="{A7791739-5EBC-43B1-B5F0-118D5E343CA0}" r="L138" connectionId="0">
    <xmlCellPr id="1" xr6:uid="{C37DFB69-7269-4F52-B116-F55318332540}" uniqueName="plus2">
      <xmlPr mapId="7" xpath="/MAKE/PP/PPHeadform/WAD_on_Centreline/v1800_8/@plus2" xmlDataType="string"/>
    </xmlCellPr>
  </singleXmlCell>
  <singleXmlCell id="443" xr6:uid="{A11BC9B5-E1A3-4909-BC71-EAEBBF8A3623}" r="M138" connectionId="0">
    <xmlCellPr id="1" xr6:uid="{1E90BE07-B205-4920-A2BE-C01139D47453}" uniqueName="plus1">
      <xmlPr mapId="7" xpath="/MAKE/PP/PPHeadform/WAD_on_Centreline/v1800_8/@plus1" xmlDataType="string"/>
    </xmlCellPr>
  </singleXmlCell>
  <singleXmlCell id="444" xr6:uid="{43C29458-8320-4ED0-9EE1-60BC02B6B596}" r="N138" connectionId="0">
    <xmlCellPr id="1" xr6:uid="{C37575E3-9B2E-4576-8897-EBBDF245E5DB}" uniqueName="zero">
      <xmlPr mapId="7" xpath="/MAKE/PP/PPHeadform/WAD_on_Centreline/v1800_8/@zero" xmlDataType="string"/>
    </xmlCellPr>
  </singleXmlCell>
  <singleXmlCell id="445" xr6:uid="{96F3CB8E-E747-452F-8F81-707EE8CBE349}" r="O138" connectionId="0">
    <xmlCellPr id="1" xr6:uid="{0D3F8E44-3653-43DC-AEA9-31F824612674}" uniqueName="minus1">
      <xmlPr mapId="7" xpath="/MAKE/PP/PPHeadform/WAD_on_Centreline/v1800_8/@minus1" xmlDataType="string"/>
    </xmlCellPr>
  </singleXmlCell>
  <singleXmlCell id="446" xr6:uid="{827A260A-629C-4A11-9B01-DA8678F8E39D}" r="P138" connectionId="0">
    <xmlCellPr id="1" xr6:uid="{B1ECDC51-A8A8-424C-A1A3-AAF9334D6DB2}" uniqueName="minus2">
      <xmlPr mapId="7" xpath="/MAKE/PP/PPHeadform/WAD_on_Centreline/v1800_8/@minus2" xmlDataType="string"/>
    </xmlCellPr>
  </singleXmlCell>
  <singleXmlCell id="447" xr6:uid="{39FB077E-B1E0-48F6-8F53-A3F38F4A3D3E}" r="Q138" connectionId="0">
    <xmlCellPr id="1" xr6:uid="{7B216AAC-55DA-4850-9B08-11F77AAB9356}" uniqueName="minus3">
      <xmlPr mapId="7" xpath="/MAKE/PP/PPHeadform/WAD_on_Centreline/v1800_8/@minus3" xmlDataType="string"/>
    </xmlCellPr>
  </singleXmlCell>
  <singleXmlCell id="448" xr6:uid="{760E3EB8-0E84-4AC0-86CA-FF11C447CDF0}" r="R138" connectionId="0">
    <xmlCellPr id="1" xr6:uid="{7BCCAAD8-C9B1-469D-A20B-DD8ADCED82F5}" uniqueName="minus4">
      <xmlPr mapId="7" xpath="/MAKE/PP/PPHeadform/WAD_on_Centreline/v1800_8/@minus4" xmlDataType="string"/>
    </xmlCellPr>
  </singleXmlCell>
  <singleXmlCell id="449" xr6:uid="{6D9C028A-A619-4DDB-B4A1-70B83348CC57}" r="S138" connectionId="0">
    <xmlCellPr id="1" xr6:uid="{05C7024E-7473-40EF-A0AD-D454D46BF765}" uniqueName="minus5">
      <xmlPr mapId="7" xpath="/MAKE/PP/PPHeadform/WAD_on_Centreline/v1800_8/@minus5" xmlDataType="string"/>
    </xmlCellPr>
  </singleXmlCell>
  <singleXmlCell id="450" xr6:uid="{8A91FD91-ABAA-4F30-B130-251847C1739F}" r="T138" connectionId="0">
    <xmlCellPr id="1" xr6:uid="{D00759E8-0512-44DD-9C6E-BB359FE66501}" uniqueName="minus6">
      <xmlPr mapId="7" xpath="/MAKE/PP/PPHeadform/WAD_on_Centreline/v1800_8/@minus6" xmlDataType="string"/>
    </xmlCellPr>
  </singleXmlCell>
  <singleXmlCell id="451" xr6:uid="{C1F30105-C5B3-4893-BE0A-714956C7D702}" r="U138" connectionId="0">
    <xmlCellPr id="1" xr6:uid="{88191603-7A0A-47F2-8E96-8BFFF779DA73}" uniqueName="minus7">
      <xmlPr mapId="7" xpath="/MAKE/PP/PPHeadform/WAD_on_Centreline/v1800_8/@minus7" xmlDataType="string"/>
    </xmlCellPr>
  </singleXmlCell>
  <singleXmlCell id="452" xr6:uid="{C8955610-7548-41A6-843B-1B26B5189D7F}" r="V138" connectionId="0">
    <xmlCellPr id="1" xr6:uid="{83676EE4-E083-4201-95C4-2858817AE2FC}" uniqueName="minus8">
      <xmlPr mapId="7" xpath="/MAKE/PP/PPHeadform/WAD_on_Centreline/v1800_8/@minus8" xmlDataType="string"/>
    </xmlCellPr>
  </singleXmlCell>
  <singleXmlCell id="453" xr6:uid="{7B17B670-47A4-4897-ABCE-B53D46F9310E}" r="W138" connectionId="0">
    <xmlCellPr id="1" xr6:uid="{1C713D1C-B6C8-499E-9E54-3998EBF495E7}" uniqueName="minus9">
      <xmlPr mapId="7" xpath="/MAKE/PP/PPHeadform/WAD_on_Centreline/v1800_8/@minus9" xmlDataType="string"/>
    </xmlCellPr>
  </singleXmlCell>
  <singleXmlCell id="454" xr6:uid="{9060FF46-E256-4140-A754-453229302CE6}" r="X138" connectionId="0">
    <xmlCellPr id="1" xr6:uid="{84931C99-03E1-424F-B77F-2633EE52D254}" uniqueName="minus10">
      <xmlPr mapId="7" xpath="/MAKE/PP/PPHeadform/WAD_on_Centreline/v1800_8/@minus10" xmlDataType="string"/>
    </xmlCellPr>
  </singleXmlCell>
  <singleXmlCell id="455" xr6:uid="{1DA9EFBF-6880-4D71-A53C-142ECF5D2E30}" r="Y138" connectionId="0">
    <xmlCellPr id="1" xr6:uid="{FCF205C5-12D7-4BD1-9C7E-6E0670196436}" uniqueName="WindshieldStartsHere">
      <xmlPr mapId="7" xpath="/MAKE/PP/PPHeadform/WAD_on_Centreline/v1800_8/@WindshieldStartsHere" xmlDataType="string"/>
    </xmlCellPr>
  </singleXmlCell>
  <singleXmlCell id="456" xr6:uid="{352B2814-E969-4C47-9CD7-38A1A04F9C6A}" r="D139" connectionId="0">
    <xmlCellPr id="1" xr6:uid="{BDB75FF2-E272-48EE-9811-CEDDB73B4184}" uniqueName="plus10">
      <xmlPr mapId="7" xpath="/MAKE/PP/PPHeadform/WAD_on_Centreline/v1700_7/@plus10" xmlDataType="string"/>
    </xmlCellPr>
  </singleXmlCell>
  <singleXmlCell id="457" xr6:uid="{B619BF45-4D0F-4E68-9399-C2614E33C6EC}" r="E139" connectionId="0">
    <xmlCellPr id="1" xr6:uid="{F2CD212A-6377-41F8-8700-A5E4A98A8646}" uniqueName="plus9">
      <xmlPr mapId="7" xpath="/MAKE/PP/PPHeadform/WAD_on_Centreline/v1700_7/@plus9" xmlDataType="string"/>
    </xmlCellPr>
  </singleXmlCell>
  <singleXmlCell id="458" xr6:uid="{D8A325DD-6B48-4CB8-B816-024A5E1E3473}" r="F139" connectionId="0">
    <xmlCellPr id="1" xr6:uid="{A14CA56E-7D7F-417C-862F-5E5C350CA617}" uniqueName="plus8">
      <xmlPr mapId="7" xpath="/MAKE/PP/PPHeadform/WAD_on_Centreline/v1700_7/@plus8" xmlDataType="string"/>
    </xmlCellPr>
  </singleXmlCell>
  <singleXmlCell id="459" xr6:uid="{718E518B-84C4-416B-BCE3-0A01DE343900}" r="G139" connectionId="0">
    <xmlCellPr id="1" xr6:uid="{7FC9FBB3-0B29-416A-9EB9-35A99190CF28}" uniqueName="plus7">
      <xmlPr mapId="7" xpath="/MAKE/PP/PPHeadform/WAD_on_Centreline/v1700_7/@plus7" xmlDataType="string"/>
    </xmlCellPr>
  </singleXmlCell>
  <singleXmlCell id="460" xr6:uid="{71729939-0927-4499-929C-2CC14744F814}" r="H139" connectionId="0">
    <xmlCellPr id="1" xr6:uid="{A07E8A61-0844-4856-B3F9-42C08ED32D38}" uniqueName="plus6">
      <xmlPr mapId="7" xpath="/MAKE/PP/PPHeadform/WAD_on_Centreline/v1700_7/@plus6" xmlDataType="string"/>
    </xmlCellPr>
  </singleXmlCell>
  <singleXmlCell id="461" xr6:uid="{1E4EAECD-BF82-48E2-97E8-3FE00F04EB46}" r="I139" connectionId="0">
    <xmlCellPr id="1" xr6:uid="{28A5B1A5-20F3-44B4-A688-6C4E48F2E722}" uniqueName="plus5">
      <xmlPr mapId="7" xpath="/MAKE/PP/PPHeadform/WAD_on_Centreline/v1700_7/@plus5" xmlDataType="string"/>
    </xmlCellPr>
  </singleXmlCell>
  <singleXmlCell id="462" xr6:uid="{ECDCF141-FC3A-473E-BE06-EACBD6E0C9DE}" r="J139" connectionId="0">
    <xmlCellPr id="1" xr6:uid="{1534B059-A907-4F4C-83B4-D8A0461A504E}" uniqueName="plus4">
      <xmlPr mapId="7" xpath="/MAKE/PP/PPHeadform/WAD_on_Centreline/v1700_7/@plus4" xmlDataType="string"/>
    </xmlCellPr>
  </singleXmlCell>
  <singleXmlCell id="463" xr6:uid="{38D67922-DCC6-42C6-AFF0-9CEE766733B2}" r="K139" connectionId="0">
    <xmlCellPr id="1" xr6:uid="{B853C566-A19E-44D4-B8C7-CB50AB8EB5A2}" uniqueName="plus3">
      <xmlPr mapId="7" xpath="/MAKE/PP/PPHeadform/WAD_on_Centreline/v1700_7/@plus3" xmlDataType="string"/>
    </xmlCellPr>
  </singleXmlCell>
  <singleXmlCell id="464" xr6:uid="{3E44D03C-DFFC-47E7-B6F3-0A189C3C03AF}" r="L139" connectionId="0">
    <xmlCellPr id="1" xr6:uid="{52255A47-CC8E-4C37-BF49-EAB96A03F5E9}" uniqueName="plus2">
      <xmlPr mapId="7" xpath="/MAKE/PP/PPHeadform/WAD_on_Centreline/v1700_7/@plus2" xmlDataType="string"/>
    </xmlCellPr>
  </singleXmlCell>
  <singleXmlCell id="465" xr6:uid="{B8BF0986-EAC6-41CC-BE4C-5B230DD901CE}" r="M139" connectionId="0">
    <xmlCellPr id="1" xr6:uid="{0E8FAEDF-9900-4B04-97BB-5D60FFF0F9DC}" uniqueName="plus1">
      <xmlPr mapId="7" xpath="/MAKE/PP/PPHeadform/WAD_on_Centreline/v1700_7/@plus1" xmlDataType="string"/>
    </xmlCellPr>
  </singleXmlCell>
  <singleXmlCell id="466" xr6:uid="{F5C82CB3-ADE0-4D2D-A59C-73C9B8920BB1}" r="N139" connectionId="0">
    <xmlCellPr id="1" xr6:uid="{3D58B457-61C7-4195-A787-A82776637A6C}" uniqueName="zero">
      <xmlPr mapId="7" xpath="/MAKE/PP/PPHeadform/WAD_on_Centreline/v1700_7/@zero" xmlDataType="string"/>
    </xmlCellPr>
  </singleXmlCell>
  <singleXmlCell id="467" xr6:uid="{BE66F0CC-2EB7-4C3B-9B19-C5F021D6A381}" r="O139" connectionId="0">
    <xmlCellPr id="1" xr6:uid="{A17FB6B2-BA7B-4757-B2E9-D5579C142270}" uniqueName="minus1">
      <xmlPr mapId="7" xpath="/MAKE/PP/PPHeadform/WAD_on_Centreline/v1700_7/@minus1" xmlDataType="string"/>
    </xmlCellPr>
  </singleXmlCell>
  <singleXmlCell id="468" xr6:uid="{C867F2C9-76EF-4AE7-8835-6B029A557EF2}" r="P139" connectionId="0">
    <xmlCellPr id="1" xr6:uid="{25372F6F-256F-44F3-A4A4-DF610C655080}" uniqueName="minus2">
      <xmlPr mapId="7" xpath="/MAKE/PP/PPHeadform/WAD_on_Centreline/v1700_7/@minus2" xmlDataType="string"/>
    </xmlCellPr>
  </singleXmlCell>
  <singleXmlCell id="469" xr6:uid="{43D81B97-14C1-4E7C-8B2C-288EEE52A001}" r="Q139" connectionId="0">
    <xmlCellPr id="1" xr6:uid="{1BC9B444-2C88-4F76-8905-9411B9490584}" uniqueName="minus3">
      <xmlPr mapId="7" xpath="/MAKE/PP/PPHeadform/WAD_on_Centreline/v1700_7/@minus3" xmlDataType="string"/>
    </xmlCellPr>
  </singleXmlCell>
  <singleXmlCell id="470" xr6:uid="{19DB17DA-7712-4FF0-B1A2-CB964AC24605}" r="R139" connectionId="0">
    <xmlCellPr id="1" xr6:uid="{0FCA2649-5CAF-428B-8C63-997FAD3A4246}" uniqueName="minus4">
      <xmlPr mapId="7" xpath="/MAKE/PP/PPHeadform/WAD_on_Centreline/v1700_7/@minus4" xmlDataType="string"/>
    </xmlCellPr>
  </singleXmlCell>
  <singleXmlCell id="471" xr6:uid="{7EC89BEE-F3B8-49EE-8C6E-4F9EE6F44198}" r="S139" connectionId="0">
    <xmlCellPr id="1" xr6:uid="{D6C2F00A-F9F8-457D-B657-38C3226721D2}" uniqueName="minus5">
      <xmlPr mapId="7" xpath="/MAKE/PP/PPHeadform/WAD_on_Centreline/v1700_7/@minus5" xmlDataType="string"/>
    </xmlCellPr>
  </singleXmlCell>
  <singleXmlCell id="472" xr6:uid="{101CC757-9873-4834-916D-CB9B4CCCFB2A}" r="T139" connectionId="0">
    <xmlCellPr id="1" xr6:uid="{830F2FAE-604B-4ADB-9D2B-026F1C2FA5AF}" uniqueName="minus6">
      <xmlPr mapId="7" xpath="/MAKE/PP/PPHeadform/WAD_on_Centreline/v1700_7/@minus6" xmlDataType="string"/>
    </xmlCellPr>
  </singleXmlCell>
  <singleXmlCell id="473" xr6:uid="{28DFF35D-0DAB-4794-AC70-24F0288C9136}" r="U139" connectionId="0">
    <xmlCellPr id="1" xr6:uid="{AC371F62-06E7-4AF5-B678-2A015373C4CA}" uniqueName="minus7">
      <xmlPr mapId="7" xpath="/MAKE/PP/PPHeadform/WAD_on_Centreline/v1700_7/@minus7" xmlDataType="string"/>
    </xmlCellPr>
  </singleXmlCell>
  <singleXmlCell id="474" xr6:uid="{32ED3C7F-B0A4-4A4A-AA6A-9DC6144C611D}" r="V139" connectionId="0">
    <xmlCellPr id="1" xr6:uid="{0740DCF4-0B7D-425F-830C-259C19B8C594}" uniqueName="minus8">
      <xmlPr mapId="7" xpath="/MAKE/PP/PPHeadform/WAD_on_Centreline/v1700_7/@minus8" xmlDataType="string"/>
    </xmlCellPr>
  </singleXmlCell>
  <singleXmlCell id="475" xr6:uid="{D8B81F30-3EB7-4F9A-BB2F-56FD997C2526}" r="W139" connectionId="0">
    <xmlCellPr id="1" xr6:uid="{FCC80CE4-8EDF-4757-9628-E04EE75C2D4A}" uniqueName="minus9">
      <xmlPr mapId="7" xpath="/MAKE/PP/PPHeadform/WAD_on_Centreline/v1700_7/@minus9" xmlDataType="string"/>
    </xmlCellPr>
  </singleXmlCell>
  <singleXmlCell id="476" xr6:uid="{420ADB92-32E8-4F94-909A-C4F204C94AED}" r="X139" connectionId="0">
    <xmlCellPr id="1" xr6:uid="{3130A263-B8F5-41D4-8DA4-ADB7B794C816}" uniqueName="minus10">
      <xmlPr mapId="7" xpath="/MAKE/PP/PPHeadform/WAD_on_Centreline/v1700_7/@minus10" xmlDataType="string"/>
    </xmlCellPr>
  </singleXmlCell>
  <singleXmlCell id="477" xr6:uid="{4CCCB0BB-042A-4BC5-B8E9-D8987E4902F5}" r="Y139" connectionId="0">
    <xmlCellPr id="1" xr6:uid="{CA420DD9-41ED-41CE-BD36-F9482EE2AEFA}" uniqueName="WindshieldStartsHere">
      <xmlPr mapId="7" xpath="/MAKE/PP/PPHeadform/WAD_on_Centreline/v1700_7/@WindshieldStartsHere" xmlDataType="string"/>
    </xmlCellPr>
  </singleXmlCell>
  <singleXmlCell id="478" xr6:uid="{4CB5D2F9-C4AA-4A1D-91A2-C661ABCA0B26}" r="D140" connectionId="0">
    <xmlCellPr id="1" xr6:uid="{8EB928C5-C71D-4D4D-ADCA-DC4717B691FF}" uniqueName="plus10">
      <xmlPr mapId="7" xpath="/MAKE/PP/PPHeadform/WAD_on_Centreline/v1600_6/@plus10" xmlDataType="string"/>
    </xmlCellPr>
  </singleXmlCell>
  <singleXmlCell id="479" xr6:uid="{3417B79A-E68E-4C27-9650-EFA758BA01D8}" r="E140" connectionId="0">
    <xmlCellPr id="1" xr6:uid="{3B5B4FBE-2D99-49AE-9BAB-ED910E6FFE25}" uniqueName="plus9">
      <xmlPr mapId="7" xpath="/MAKE/PP/PPHeadform/WAD_on_Centreline/v1600_6/@plus9" xmlDataType="string"/>
    </xmlCellPr>
  </singleXmlCell>
  <singleXmlCell id="480" xr6:uid="{0B629CAA-1ACF-4399-A3EA-5E63E74976F4}" r="F140" connectionId="0">
    <xmlCellPr id="1" xr6:uid="{9B7E3AA1-FD64-4100-B191-CA41AF321280}" uniqueName="plus8">
      <xmlPr mapId="7" xpath="/MAKE/PP/PPHeadform/WAD_on_Centreline/v1600_6/@plus8" xmlDataType="string"/>
    </xmlCellPr>
  </singleXmlCell>
  <singleXmlCell id="481" xr6:uid="{E487FEBD-4BE5-4B71-8F93-112F40A9B9DD}" r="G140" connectionId="0">
    <xmlCellPr id="1" xr6:uid="{0B2A0917-E437-4635-AA05-2DBBCA7B0C27}" uniqueName="plus7">
      <xmlPr mapId="7" xpath="/MAKE/PP/PPHeadform/WAD_on_Centreline/v1600_6/@plus7" xmlDataType="string"/>
    </xmlCellPr>
  </singleXmlCell>
  <singleXmlCell id="482" xr6:uid="{AC3641BE-A3F5-4F41-9DDB-F32C56E9BC04}" r="H140" connectionId="0">
    <xmlCellPr id="1" xr6:uid="{A0B721FE-D92D-4E96-8FCA-418569F2B036}" uniqueName="plus6">
      <xmlPr mapId="7" xpath="/MAKE/PP/PPHeadform/WAD_on_Centreline/v1600_6/@plus6" xmlDataType="string"/>
    </xmlCellPr>
  </singleXmlCell>
  <singleXmlCell id="483" xr6:uid="{9B0B7103-0235-4295-B28A-E5E490D43ECF}" r="I140" connectionId="0">
    <xmlCellPr id="1" xr6:uid="{00601088-F10E-4647-A2C2-20B6BCE808F6}" uniqueName="plus5">
      <xmlPr mapId="7" xpath="/MAKE/PP/PPHeadform/WAD_on_Centreline/v1600_6/@plus5" xmlDataType="string"/>
    </xmlCellPr>
  </singleXmlCell>
  <singleXmlCell id="484" xr6:uid="{9406A017-B541-4273-93A3-C95B9DDEE7A1}" r="J140" connectionId="0">
    <xmlCellPr id="1" xr6:uid="{605F08F7-EC71-4BF2-AD6E-EAF8A3310D1A}" uniqueName="plus4">
      <xmlPr mapId="7" xpath="/MAKE/PP/PPHeadform/WAD_on_Centreline/v1600_6/@plus4" xmlDataType="string"/>
    </xmlCellPr>
  </singleXmlCell>
  <singleXmlCell id="485" xr6:uid="{DD10CE15-23E0-464B-B4DA-A16F9972F940}" r="K140" connectionId="0">
    <xmlCellPr id="1" xr6:uid="{5A8AE394-3CB7-4AE4-9192-2DCDF2C2151E}" uniqueName="plus3">
      <xmlPr mapId="7" xpath="/MAKE/PP/PPHeadform/WAD_on_Centreline/v1600_6/@plus3" xmlDataType="string"/>
    </xmlCellPr>
  </singleXmlCell>
  <singleXmlCell id="486" xr6:uid="{7F422392-E714-4CDC-8AA9-0BA5D3482B61}" r="L140" connectionId="0">
    <xmlCellPr id="1" xr6:uid="{03E9E7D0-E085-4021-B45A-ABD95434E588}" uniqueName="plus2">
      <xmlPr mapId="7" xpath="/MAKE/PP/PPHeadform/WAD_on_Centreline/v1600_6/@plus2" xmlDataType="string"/>
    </xmlCellPr>
  </singleXmlCell>
  <singleXmlCell id="487" xr6:uid="{DF811440-6B39-41C2-8B33-D9D4ADAFDB2F}" r="M140" connectionId="0">
    <xmlCellPr id="1" xr6:uid="{2AB5ED99-E1D8-49A7-A12A-8278379E2EDA}" uniqueName="plus1">
      <xmlPr mapId="7" xpath="/MAKE/PP/PPHeadform/WAD_on_Centreline/v1600_6/@plus1" xmlDataType="string"/>
    </xmlCellPr>
  </singleXmlCell>
  <singleXmlCell id="488" xr6:uid="{D74435CB-FD71-4BFA-84A1-9EE625039FD2}" r="N140" connectionId="0">
    <xmlCellPr id="1" xr6:uid="{63306FFC-EEFB-48AC-A9E5-815F7E5AE0BA}" uniqueName="zero">
      <xmlPr mapId="7" xpath="/MAKE/PP/PPHeadform/WAD_on_Centreline/v1600_6/@zero" xmlDataType="string"/>
    </xmlCellPr>
  </singleXmlCell>
  <singleXmlCell id="489" xr6:uid="{85643465-53D4-4781-B9B5-1F4A34E36316}" r="O140" connectionId="0">
    <xmlCellPr id="1" xr6:uid="{0F375D1B-F508-4E2E-8F30-2A43EA4F555E}" uniqueName="minus1">
      <xmlPr mapId="7" xpath="/MAKE/PP/PPHeadform/WAD_on_Centreline/v1600_6/@minus1" xmlDataType="string"/>
    </xmlCellPr>
  </singleXmlCell>
  <singleXmlCell id="490" xr6:uid="{DBAF9ECB-38F7-4B2B-914A-5AD37F8EB037}" r="P140" connectionId="0">
    <xmlCellPr id="1" xr6:uid="{DB1AC6F8-8C14-4ED8-8E76-5579DFCCB610}" uniqueName="minus2">
      <xmlPr mapId="7" xpath="/MAKE/PP/PPHeadform/WAD_on_Centreline/v1600_6/@minus2" xmlDataType="string"/>
    </xmlCellPr>
  </singleXmlCell>
  <singleXmlCell id="491" xr6:uid="{265B6889-A4EF-4F2E-A612-B1D8A96382A7}" r="Q140" connectionId="0">
    <xmlCellPr id="1" xr6:uid="{596AD296-4669-413B-9045-40E9F772984D}" uniqueName="minus3">
      <xmlPr mapId="7" xpath="/MAKE/PP/PPHeadform/WAD_on_Centreline/v1600_6/@minus3" xmlDataType="string"/>
    </xmlCellPr>
  </singleXmlCell>
  <singleXmlCell id="492" xr6:uid="{3FD12792-1912-41BC-AAF8-C49BECED50B9}" r="R140" connectionId="0">
    <xmlCellPr id="1" xr6:uid="{0CBE6467-D034-46DD-8236-001FD517C9DC}" uniqueName="minus4">
      <xmlPr mapId="7" xpath="/MAKE/PP/PPHeadform/WAD_on_Centreline/v1600_6/@minus4" xmlDataType="string"/>
    </xmlCellPr>
  </singleXmlCell>
  <singleXmlCell id="493" xr6:uid="{260BA325-96C9-40E5-B75E-2F2A7015DCE9}" r="S140" connectionId="0">
    <xmlCellPr id="1" xr6:uid="{3CB72773-829C-44F1-B59C-F4C738CC61CE}" uniqueName="minus5">
      <xmlPr mapId="7" xpath="/MAKE/PP/PPHeadform/WAD_on_Centreline/v1600_6/@minus5" xmlDataType="string"/>
    </xmlCellPr>
  </singleXmlCell>
  <singleXmlCell id="494" xr6:uid="{D80711F1-37DC-4EDF-AAEF-74C7C4FD1FE2}" r="T140" connectionId="0">
    <xmlCellPr id="1" xr6:uid="{20190F48-D880-4CE5-B5A2-DF1789CFFBE7}" uniqueName="minus6">
      <xmlPr mapId="7" xpath="/MAKE/PP/PPHeadform/WAD_on_Centreline/v1600_6/@minus6" xmlDataType="string"/>
    </xmlCellPr>
  </singleXmlCell>
  <singleXmlCell id="495" xr6:uid="{F6A1D476-D5D3-48BC-9D48-935E2E72B02D}" r="U140" connectionId="0">
    <xmlCellPr id="1" xr6:uid="{7A3A61D4-2893-442E-8953-67BFEC03C222}" uniqueName="minus7">
      <xmlPr mapId="7" xpath="/MAKE/PP/PPHeadform/WAD_on_Centreline/v1600_6/@minus7" xmlDataType="string"/>
    </xmlCellPr>
  </singleXmlCell>
  <singleXmlCell id="496" xr6:uid="{BAFA1137-CBCA-419E-9066-35E2E1ED2640}" r="V140" connectionId="0">
    <xmlCellPr id="1" xr6:uid="{5EB3F45E-162A-4FD5-87EB-49E50F3D9764}" uniqueName="minus8">
      <xmlPr mapId="7" xpath="/MAKE/PP/PPHeadform/WAD_on_Centreline/v1600_6/@minus8" xmlDataType="string"/>
    </xmlCellPr>
  </singleXmlCell>
  <singleXmlCell id="497" xr6:uid="{263CB852-AE19-435E-B5F9-31716B1224D6}" r="W140" connectionId="0">
    <xmlCellPr id="1" xr6:uid="{13684BCE-D8FC-4037-B7B1-1726CAE03CCF}" uniqueName="minus9">
      <xmlPr mapId="7" xpath="/MAKE/PP/PPHeadform/WAD_on_Centreline/v1600_6/@minus9" xmlDataType="string"/>
    </xmlCellPr>
  </singleXmlCell>
  <singleXmlCell id="498" xr6:uid="{09D3A4CD-108C-4E35-8393-B6D20D5714FA}" r="X140" connectionId="0">
    <xmlCellPr id="1" xr6:uid="{FF856E53-86AE-42F2-8AB4-09825552DBC9}" uniqueName="minus10">
      <xmlPr mapId="7" xpath="/MAKE/PP/PPHeadform/WAD_on_Centreline/v1600_6/@minus10" xmlDataType="string"/>
    </xmlCellPr>
  </singleXmlCell>
  <singleXmlCell id="499" xr6:uid="{BC994D18-A19B-44D2-948B-D1F376B762E0}" r="Y140" connectionId="0">
    <xmlCellPr id="1" xr6:uid="{98223964-3FBD-47F2-8E82-6AED194A44B0}" uniqueName="WindshieldStartsHere">
      <xmlPr mapId="7" xpath="/MAKE/PP/PPHeadform/WAD_on_Centreline/v1600_6/@WindshieldStartsHere" xmlDataType="string"/>
    </xmlCellPr>
  </singleXmlCell>
  <singleXmlCell id="500" xr6:uid="{835F7C69-6ED9-4FE2-A217-E00F6191B349}" r="D141" connectionId="0">
    <xmlCellPr id="1" xr6:uid="{E14EBD1A-8BBD-4CF0-B4BD-CC25B73424FC}" uniqueName="plus10">
      <xmlPr mapId="7" xpath="/MAKE/PP/PPHeadform/WAD_on_Centreline/v1500_5/@plus10" xmlDataType="string"/>
    </xmlCellPr>
  </singleXmlCell>
  <singleXmlCell id="501" xr6:uid="{1300EAFC-618B-439E-BA99-6FAD6E48879F}" r="E141" connectionId="0">
    <xmlCellPr id="1" xr6:uid="{F8AD8C6A-727F-44C0-9A42-6CAB26086E33}" uniqueName="plus9">
      <xmlPr mapId="7" xpath="/MAKE/PP/PPHeadform/WAD_on_Centreline/v1500_5/@plus9" xmlDataType="string"/>
    </xmlCellPr>
  </singleXmlCell>
  <singleXmlCell id="502" xr6:uid="{DBD845D7-3311-4FDC-AAB2-14E5CB068901}" r="F141" connectionId="0">
    <xmlCellPr id="1" xr6:uid="{C727095C-44C5-47C2-A034-33A421B952E4}" uniqueName="plus8">
      <xmlPr mapId="7" xpath="/MAKE/PP/PPHeadform/WAD_on_Centreline/v1500_5/@plus8" xmlDataType="string"/>
    </xmlCellPr>
  </singleXmlCell>
  <singleXmlCell id="503" xr6:uid="{215E1406-7BB0-4002-9456-A04EE10083B1}" r="G141" connectionId="0">
    <xmlCellPr id="1" xr6:uid="{85300893-7326-4CC4-B1B3-51F8B1D8837F}" uniqueName="plus7">
      <xmlPr mapId="7" xpath="/MAKE/PP/PPHeadform/WAD_on_Centreline/v1500_5/@plus7" xmlDataType="string"/>
    </xmlCellPr>
  </singleXmlCell>
  <singleXmlCell id="504" xr6:uid="{D5551BE2-6A2C-4BCE-A408-0AD550EA1FA3}" r="H141" connectionId="0">
    <xmlCellPr id="1" xr6:uid="{14323832-228F-4E5B-ACBF-3EC1FBA5A55C}" uniqueName="plus6">
      <xmlPr mapId="7" xpath="/MAKE/PP/PPHeadform/WAD_on_Centreline/v1500_5/@plus6" xmlDataType="string"/>
    </xmlCellPr>
  </singleXmlCell>
  <singleXmlCell id="505" xr6:uid="{F66DA21F-BC96-4C75-BA7F-9E357A3D2716}" r="I141" connectionId="0">
    <xmlCellPr id="1" xr6:uid="{7C7A7BE4-0652-4794-8A89-D2C4FC4288FD}" uniqueName="plus5">
      <xmlPr mapId="7" xpath="/MAKE/PP/PPHeadform/WAD_on_Centreline/v1500_5/@plus5" xmlDataType="string"/>
    </xmlCellPr>
  </singleXmlCell>
  <singleXmlCell id="506" xr6:uid="{B2D87A58-EFF9-4943-88B4-778B74D4769C}" r="J141" connectionId="0">
    <xmlCellPr id="1" xr6:uid="{46959923-527F-42EF-9297-FA33AF18C6CE}" uniqueName="plus4">
      <xmlPr mapId="7" xpath="/MAKE/PP/PPHeadform/WAD_on_Centreline/v1500_5/@plus4" xmlDataType="string"/>
    </xmlCellPr>
  </singleXmlCell>
  <singleXmlCell id="507" xr6:uid="{C5257E59-3397-4573-806F-42A3968BB1DE}" r="K141" connectionId="0">
    <xmlCellPr id="1" xr6:uid="{65583DAA-8240-4A99-A2B5-FC5CA263411E}" uniqueName="plus3">
      <xmlPr mapId="7" xpath="/MAKE/PP/PPHeadform/WAD_on_Centreline/v1500_5/@plus3" xmlDataType="string"/>
    </xmlCellPr>
  </singleXmlCell>
  <singleXmlCell id="508" xr6:uid="{4EF3A8AA-10C2-4C26-B7D9-02356FD86AE8}" r="L141" connectionId="0">
    <xmlCellPr id="1" xr6:uid="{43D898F9-6554-4BE2-9824-738164688929}" uniqueName="plus2">
      <xmlPr mapId="7" xpath="/MAKE/PP/PPHeadform/WAD_on_Centreline/v1500_5/@plus2" xmlDataType="string"/>
    </xmlCellPr>
  </singleXmlCell>
  <singleXmlCell id="509" xr6:uid="{A7C6CB0E-03CE-4C0D-9D91-86741E63645A}" r="M141" connectionId="0">
    <xmlCellPr id="1" xr6:uid="{12C01E63-AE0C-45C8-96C2-924FEB38F05F}" uniqueName="plus1">
      <xmlPr mapId="7" xpath="/MAKE/PP/PPHeadform/WAD_on_Centreline/v1500_5/@plus1" xmlDataType="string"/>
    </xmlCellPr>
  </singleXmlCell>
  <singleXmlCell id="510" xr6:uid="{FFF69D08-CF2F-4098-AE2B-DE9D18F5A428}" r="N141" connectionId="0">
    <xmlCellPr id="1" xr6:uid="{09219FBA-FB02-49F4-8CA6-F9711B6413FF}" uniqueName="zero">
      <xmlPr mapId="7" xpath="/MAKE/PP/PPHeadform/WAD_on_Centreline/v1500_5/@zero" xmlDataType="string"/>
    </xmlCellPr>
  </singleXmlCell>
  <singleXmlCell id="511" xr6:uid="{35A8BC36-FCFD-46E7-99A8-BAA0CFB8E220}" r="O141" connectionId="0">
    <xmlCellPr id="1" xr6:uid="{7DFD7EA5-902B-4A12-BF8B-639830276807}" uniqueName="minus1">
      <xmlPr mapId="7" xpath="/MAKE/PP/PPHeadform/WAD_on_Centreline/v1500_5/@minus1" xmlDataType="string"/>
    </xmlCellPr>
  </singleXmlCell>
  <singleXmlCell id="512" xr6:uid="{BCB91E95-AE33-48A7-83A3-CD3C87750A15}" r="P141" connectionId="0">
    <xmlCellPr id="1" xr6:uid="{29785B2D-581B-46EA-8631-8DAF42029C9F}" uniqueName="minus2">
      <xmlPr mapId="7" xpath="/MAKE/PP/PPHeadform/WAD_on_Centreline/v1500_5/@minus2" xmlDataType="string"/>
    </xmlCellPr>
  </singleXmlCell>
  <singleXmlCell id="513" xr6:uid="{3DB6F8AE-37CD-4419-A58E-73C364558B2F}" r="Q141" connectionId="0">
    <xmlCellPr id="1" xr6:uid="{05AB4FC6-3943-4EAE-A345-F7623902FDCA}" uniqueName="minus3">
      <xmlPr mapId="7" xpath="/MAKE/PP/PPHeadform/WAD_on_Centreline/v1500_5/@minus3" xmlDataType="string"/>
    </xmlCellPr>
  </singleXmlCell>
  <singleXmlCell id="514" xr6:uid="{BE6BD67B-6002-464A-AE05-96E215236357}" r="R141" connectionId="0">
    <xmlCellPr id="1" xr6:uid="{776A58C2-D3E8-426F-A311-1DAD71025995}" uniqueName="minus4">
      <xmlPr mapId="7" xpath="/MAKE/PP/PPHeadform/WAD_on_Centreline/v1500_5/@minus4" xmlDataType="string"/>
    </xmlCellPr>
  </singleXmlCell>
  <singleXmlCell id="515" xr6:uid="{FD58774D-A33F-4267-82BE-F6C67CFB72D2}" r="S141" connectionId="0">
    <xmlCellPr id="1" xr6:uid="{CFD8FCDC-2C11-471A-A7E3-58D52A811747}" uniqueName="minus5">
      <xmlPr mapId="7" xpath="/MAKE/PP/PPHeadform/WAD_on_Centreline/v1500_5/@minus5" xmlDataType="string"/>
    </xmlCellPr>
  </singleXmlCell>
  <singleXmlCell id="516" xr6:uid="{74CD3577-9874-4A03-850A-E0AFFA4646DD}" r="T141" connectionId="0">
    <xmlCellPr id="1" xr6:uid="{5AC15503-A44B-4B17-9E3A-7FF68EE16D70}" uniqueName="minus6">
      <xmlPr mapId="7" xpath="/MAKE/PP/PPHeadform/WAD_on_Centreline/v1500_5/@minus6" xmlDataType="string"/>
    </xmlCellPr>
  </singleXmlCell>
  <singleXmlCell id="517" xr6:uid="{95DD9798-A02A-4195-877D-8C0A3D5724CB}" r="U141" connectionId="0">
    <xmlCellPr id="1" xr6:uid="{9E72D0D6-4AC2-40F1-80A4-4EA93C6B3EA2}" uniqueName="minus7">
      <xmlPr mapId="7" xpath="/MAKE/PP/PPHeadform/WAD_on_Centreline/v1500_5/@minus7" xmlDataType="string"/>
    </xmlCellPr>
  </singleXmlCell>
  <singleXmlCell id="518" xr6:uid="{0DECDEB4-095E-4A3A-B5E1-21FB78AC77AF}" r="V141" connectionId="0">
    <xmlCellPr id="1" xr6:uid="{24CF979C-3276-4A43-BE89-72CFF8447C99}" uniqueName="minus8">
      <xmlPr mapId="7" xpath="/MAKE/PP/PPHeadform/WAD_on_Centreline/v1500_5/@minus8" xmlDataType="string"/>
    </xmlCellPr>
  </singleXmlCell>
  <singleXmlCell id="519" xr6:uid="{DAD04D01-2F14-4F56-931C-EA08FD4231D4}" r="W141" connectionId="0">
    <xmlCellPr id="1" xr6:uid="{C1252D79-D114-4090-8ED0-991FAD45AC0A}" uniqueName="minus9">
      <xmlPr mapId="7" xpath="/MAKE/PP/PPHeadform/WAD_on_Centreline/v1500_5/@minus9" xmlDataType="string"/>
    </xmlCellPr>
  </singleXmlCell>
  <singleXmlCell id="520" xr6:uid="{EFBFDDA8-0721-408E-BEB6-F55B12041DCB}" r="X141" connectionId="0">
    <xmlCellPr id="1" xr6:uid="{36247151-E243-4B93-82EE-9041E58EE3EA}" uniqueName="minus10">
      <xmlPr mapId="7" xpath="/MAKE/PP/PPHeadform/WAD_on_Centreline/v1500_5/@minus10" xmlDataType="string"/>
    </xmlCellPr>
  </singleXmlCell>
  <singleXmlCell id="521" xr6:uid="{C6990C28-3A6A-412F-AB35-0F8E3EBA45DC}" r="Y141" connectionId="0">
    <xmlCellPr id="1" xr6:uid="{B83509BF-F6D7-44F1-9638-77A6642F3718}" uniqueName="WindshieldStartsHere">
      <xmlPr mapId="7" xpath="/MAKE/PP/PPHeadform/WAD_on_Centreline/v1500_5/@WindshieldStartsHere" xmlDataType="string"/>
    </xmlCellPr>
  </singleXmlCell>
  <singleXmlCell id="522" xr6:uid="{AEF6E659-A10C-4EA8-AC9B-742E01318320}" r="D142" connectionId="0">
    <xmlCellPr id="1" xr6:uid="{74D85C22-7987-47CF-AD83-46EC34AB9522}" uniqueName="plus10">
      <xmlPr mapId="7" xpath="/MAKE/PP/PPHeadform/WAD_on_Centreline/v1400_4/@plus10" xmlDataType="string"/>
    </xmlCellPr>
  </singleXmlCell>
  <singleXmlCell id="523" xr6:uid="{1238512F-787C-4F78-B609-3A4B21ED004E}" r="E142" connectionId="0">
    <xmlCellPr id="1" xr6:uid="{53B36D0A-98D6-4469-B5DD-DAF2DB0EE728}" uniqueName="plus9">
      <xmlPr mapId="7" xpath="/MAKE/PP/PPHeadform/WAD_on_Centreline/v1400_4/@plus9" xmlDataType="string"/>
    </xmlCellPr>
  </singleXmlCell>
  <singleXmlCell id="524" xr6:uid="{46BE414C-7A1A-4501-8E24-96C7FA9662DB}" r="F142" connectionId="0">
    <xmlCellPr id="1" xr6:uid="{64A6D01C-336B-47D2-8A57-581A34E05505}" uniqueName="plus8">
      <xmlPr mapId="7" xpath="/MAKE/PP/PPHeadform/WAD_on_Centreline/v1400_4/@plus8" xmlDataType="string"/>
    </xmlCellPr>
  </singleXmlCell>
  <singleXmlCell id="525" xr6:uid="{5A7623FF-8FFE-4F49-B7D7-0E6284E30565}" r="G142" connectionId="0">
    <xmlCellPr id="1" xr6:uid="{E98C347A-0D95-4003-992E-72E75EB224E3}" uniqueName="plus7">
      <xmlPr mapId="7" xpath="/MAKE/PP/PPHeadform/WAD_on_Centreline/v1400_4/@plus7" xmlDataType="string"/>
    </xmlCellPr>
  </singleXmlCell>
  <singleXmlCell id="526" xr6:uid="{2B474BA8-D4E2-4961-81F6-44C459914DC9}" r="H142" connectionId="0">
    <xmlCellPr id="1" xr6:uid="{31F52644-AAD3-45D5-8F50-E58D02FF7514}" uniqueName="plus6">
      <xmlPr mapId="7" xpath="/MAKE/PP/PPHeadform/WAD_on_Centreline/v1400_4/@plus6" xmlDataType="string"/>
    </xmlCellPr>
  </singleXmlCell>
  <singleXmlCell id="527" xr6:uid="{F13F06C9-A1CE-4BAA-B981-DDE9567B6E61}" r="I142" connectionId="0">
    <xmlCellPr id="1" xr6:uid="{23920B91-260B-48AA-8668-36380AD24FD4}" uniqueName="plus5">
      <xmlPr mapId="7" xpath="/MAKE/PP/PPHeadform/WAD_on_Centreline/v1400_4/@plus5" xmlDataType="string"/>
    </xmlCellPr>
  </singleXmlCell>
  <singleXmlCell id="528" xr6:uid="{7794A59C-0405-47C6-9476-3211AE7751B3}" r="J142" connectionId="0">
    <xmlCellPr id="1" xr6:uid="{D55634AD-60DB-497B-BD40-62CA6969A492}" uniqueName="plus4">
      <xmlPr mapId="7" xpath="/MAKE/PP/PPHeadform/WAD_on_Centreline/v1400_4/@plus4" xmlDataType="string"/>
    </xmlCellPr>
  </singleXmlCell>
  <singleXmlCell id="529" xr6:uid="{E0EC6001-E042-4936-B0C5-7DA996D704D5}" r="K142" connectionId="0">
    <xmlCellPr id="1" xr6:uid="{2F902B04-B1C1-4305-B68A-449E95781754}" uniqueName="plus3">
      <xmlPr mapId="7" xpath="/MAKE/PP/PPHeadform/WAD_on_Centreline/v1400_4/@plus3" xmlDataType="string"/>
    </xmlCellPr>
  </singleXmlCell>
  <singleXmlCell id="530" xr6:uid="{758DB7F4-A2E7-4D3B-B524-938786735459}" r="L142" connectionId="0">
    <xmlCellPr id="1" xr6:uid="{6A5C1D83-3F31-4F18-878B-D13ED83B2EB5}" uniqueName="plus2">
      <xmlPr mapId="7" xpath="/MAKE/PP/PPHeadform/WAD_on_Centreline/v1400_4/@plus2" xmlDataType="string"/>
    </xmlCellPr>
  </singleXmlCell>
  <singleXmlCell id="531" xr6:uid="{C7CFBF6E-5AF6-4DB3-AD35-6D860C13FF45}" r="M142" connectionId="0">
    <xmlCellPr id="1" xr6:uid="{59012BC8-4F8C-4B95-9DE6-A998433BAFE6}" uniqueName="plus1">
      <xmlPr mapId="7" xpath="/MAKE/PP/PPHeadform/WAD_on_Centreline/v1400_4/@plus1" xmlDataType="string"/>
    </xmlCellPr>
  </singleXmlCell>
  <singleXmlCell id="532" xr6:uid="{C0649F7D-1F09-4317-85FB-B6267AA9744E}" r="N142" connectionId="0">
    <xmlCellPr id="1" xr6:uid="{2777C4AC-A4A0-4375-A18A-539A56CB64D5}" uniqueName="zero">
      <xmlPr mapId="7" xpath="/MAKE/PP/PPHeadform/WAD_on_Centreline/v1400_4/@zero" xmlDataType="string"/>
    </xmlCellPr>
  </singleXmlCell>
  <singleXmlCell id="533" xr6:uid="{30DCE9F5-8772-49DC-8FAF-A98DB78CBBC4}" r="O142" connectionId="0">
    <xmlCellPr id="1" xr6:uid="{E571C671-7D5A-4A91-A12F-5B1F5D5A5088}" uniqueName="minus1">
      <xmlPr mapId="7" xpath="/MAKE/PP/PPHeadform/WAD_on_Centreline/v1400_4/@minus1" xmlDataType="string"/>
    </xmlCellPr>
  </singleXmlCell>
  <singleXmlCell id="534" xr6:uid="{2DEC16C6-BEC2-4ADB-A798-1F39AD4DB914}" r="P142" connectionId="0">
    <xmlCellPr id="1" xr6:uid="{4F7F817F-2617-4CC3-A02A-51D88B3F71C0}" uniqueName="minus2">
      <xmlPr mapId="7" xpath="/MAKE/PP/PPHeadform/WAD_on_Centreline/v1400_4/@minus2" xmlDataType="string"/>
    </xmlCellPr>
  </singleXmlCell>
  <singleXmlCell id="535" xr6:uid="{B550C1E6-989A-4D66-AE5C-CA74942A8BDE}" r="Q142" connectionId="0">
    <xmlCellPr id="1" xr6:uid="{F8C6D047-AD2A-4AAB-8A42-5012076BBF7E}" uniqueName="minus3">
      <xmlPr mapId="7" xpath="/MAKE/PP/PPHeadform/WAD_on_Centreline/v1400_4/@minus3" xmlDataType="string"/>
    </xmlCellPr>
  </singleXmlCell>
  <singleXmlCell id="536" xr6:uid="{0C0F9991-4676-4275-8294-D8CE76533154}" r="R142" connectionId="0">
    <xmlCellPr id="1" xr6:uid="{09784D84-2BAC-4CEA-B500-D207C6E55615}" uniqueName="minus4">
      <xmlPr mapId="7" xpath="/MAKE/PP/PPHeadform/WAD_on_Centreline/v1400_4/@minus4" xmlDataType="string"/>
    </xmlCellPr>
  </singleXmlCell>
  <singleXmlCell id="537" xr6:uid="{5F1989F4-CF24-4E69-B123-68BF4ED45E45}" r="S142" connectionId="0">
    <xmlCellPr id="1" xr6:uid="{04D52DC8-952B-4813-B7D5-AF1BA3A004D9}" uniqueName="minus5">
      <xmlPr mapId="7" xpath="/MAKE/PP/PPHeadform/WAD_on_Centreline/v1400_4/@minus5" xmlDataType="string"/>
    </xmlCellPr>
  </singleXmlCell>
  <singleXmlCell id="538" xr6:uid="{3E4864B9-336B-42F2-B16A-21B7D8834F35}" r="T142" connectionId="0">
    <xmlCellPr id="1" xr6:uid="{9ED22F76-5CD8-4100-B1F7-476145892E8F}" uniqueName="minus6">
      <xmlPr mapId="7" xpath="/MAKE/PP/PPHeadform/WAD_on_Centreline/v1400_4/@minus6" xmlDataType="string"/>
    </xmlCellPr>
  </singleXmlCell>
  <singleXmlCell id="539" xr6:uid="{CA2BB51B-2554-4E1F-B73C-75D77F0102E0}" r="U142" connectionId="0">
    <xmlCellPr id="1" xr6:uid="{D6EDEE56-EC07-4337-8F58-471228C154F9}" uniqueName="minus7">
      <xmlPr mapId="7" xpath="/MAKE/PP/PPHeadform/WAD_on_Centreline/v1400_4/@minus7" xmlDataType="string"/>
    </xmlCellPr>
  </singleXmlCell>
  <singleXmlCell id="540" xr6:uid="{4EBDCB34-38F4-46E5-891A-88E349396A80}" r="V142" connectionId="0">
    <xmlCellPr id="1" xr6:uid="{F6AF1A77-BD4B-428B-B8ED-2CE1C5B7C47E}" uniqueName="minus8">
      <xmlPr mapId="7" xpath="/MAKE/PP/PPHeadform/WAD_on_Centreline/v1400_4/@minus8" xmlDataType="string"/>
    </xmlCellPr>
  </singleXmlCell>
  <singleXmlCell id="541" xr6:uid="{D219C5B8-4E82-4C25-9B21-3295DFC4C210}" r="W142" connectionId="0">
    <xmlCellPr id="1" xr6:uid="{8357A717-B893-4258-A254-010159D693B7}" uniqueName="minus9">
      <xmlPr mapId="7" xpath="/MAKE/PP/PPHeadform/WAD_on_Centreline/v1400_4/@minus9" xmlDataType="string"/>
    </xmlCellPr>
  </singleXmlCell>
  <singleXmlCell id="542" xr6:uid="{9745A3D0-7AC1-4DEF-8E14-EE640739CF9F}" r="X142" connectionId="0">
    <xmlCellPr id="1" xr6:uid="{11585E06-0D14-41EC-A462-47BEF71EF183}" uniqueName="minus10">
      <xmlPr mapId="7" xpath="/MAKE/PP/PPHeadform/WAD_on_Centreline/v1400_4/@minus10" xmlDataType="string"/>
    </xmlCellPr>
  </singleXmlCell>
  <singleXmlCell id="543" xr6:uid="{98038413-B1F7-4346-8712-1DFAE1E85739}" r="Y142" connectionId="0">
    <xmlCellPr id="1" xr6:uid="{8F50487D-CC14-456C-9D6C-8FF0BC1BD0FB}" uniqueName="WindshieldStartsHere">
      <xmlPr mapId="7" xpath="/MAKE/PP/PPHeadform/WAD_on_Centreline/v1400_4/@WindshieldStartsHere" xmlDataType="string"/>
    </xmlCellPr>
  </singleXmlCell>
  <singleXmlCell id="544" xr6:uid="{0F4F7E61-5078-44C9-B02A-6E539673C52D}" r="D143" connectionId="0">
    <xmlCellPr id="1" xr6:uid="{9C1FA4DA-F931-4D34-A2B0-5111605A8E34}" uniqueName="plus10">
      <xmlPr mapId="7" xpath="/MAKE/PP/PPHeadform/WAD_on_Centreline/v1300_3/@plus10" xmlDataType="string"/>
    </xmlCellPr>
  </singleXmlCell>
  <singleXmlCell id="545" xr6:uid="{6F6361A7-D934-49C8-BFC0-55D644F39583}" r="E143" connectionId="0">
    <xmlCellPr id="1" xr6:uid="{52DB69AE-6130-4597-8536-4DDCAD2F8FBB}" uniqueName="plus9">
      <xmlPr mapId="7" xpath="/MAKE/PP/PPHeadform/WAD_on_Centreline/v1300_3/@plus9" xmlDataType="string"/>
    </xmlCellPr>
  </singleXmlCell>
  <singleXmlCell id="546" xr6:uid="{B2E364CB-CB67-40AA-9FED-FA0E60D9F4D3}" r="F143" connectionId="0">
    <xmlCellPr id="1" xr6:uid="{DA41902D-6512-43C5-AA84-C54A799EF765}" uniqueName="plus8">
      <xmlPr mapId="7" xpath="/MAKE/PP/PPHeadform/WAD_on_Centreline/v1300_3/@plus8" xmlDataType="string"/>
    </xmlCellPr>
  </singleXmlCell>
  <singleXmlCell id="547" xr6:uid="{8E6BFA2E-EF81-4E24-AFB6-A0610DC40418}" r="G143" connectionId="0">
    <xmlCellPr id="1" xr6:uid="{4816B12E-D23E-4DEB-B938-0B619E282FD8}" uniqueName="plus7">
      <xmlPr mapId="7" xpath="/MAKE/PP/PPHeadform/WAD_on_Centreline/v1300_3/@plus7" xmlDataType="string"/>
    </xmlCellPr>
  </singleXmlCell>
  <singleXmlCell id="548" xr6:uid="{A5EEFD4B-EBB6-4C35-BFB3-C93E4D822D48}" r="H143" connectionId="0">
    <xmlCellPr id="1" xr6:uid="{C8DD0F94-3DF4-45E1-A3DE-72A35880E47C}" uniqueName="plus6">
      <xmlPr mapId="7" xpath="/MAKE/PP/PPHeadform/WAD_on_Centreline/v1300_3/@plus6" xmlDataType="string"/>
    </xmlCellPr>
  </singleXmlCell>
  <singleXmlCell id="549" xr6:uid="{A7809EE1-F0E7-46E0-BB37-E9FBCAD4215B}" r="I143" connectionId="0">
    <xmlCellPr id="1" xr6:uid="{33026BCC-CADA-412F-A645-36A3702060A9}" uniqueName="plus5">
      <xmlPr mapId="7" xpath="/MAKE/PP/PPHeadform/WAD_on_Centreline/v1300_3/@plus5" xmlDataType="string"/>
    </xmlCellPr>
  </singleXmlCell>
  <singleXmlCell id="550" xr6:uid="{D93E4DBB-8829-415B-A4AC-C3FFB3E82AB4}" r="J143" connectionId="0">
    <xmlCellPr id="1" xr6:uid="{6DD6807E-BA6C-4E05-9086-CB28C7278B09}" uniqueName="plus4">
      <xmlPr mapId="7" xpath="/MAKE/PP/PPHeadform/WAD_on_Centreline/v1300_3/@plus4" xmlDataType="string"/>
    </xmlCellPr>
  </singleXmlCell>
  <singleXmlCell id="551" xr6:uid="{740F8CDB-45A2-47FB-99FE-62B8E43F57C3}" r="K143" connectionId="0">
    <xmlCellPr id="1" xr6:uid="{5C7E3977-527C-45CE-900E-755DC14E1190}" uniqueName="plus3">
      <xmlPr mapId="7" xpath="/MAKE/PP/PPHeadform/WAD_on_Centreline/v1300_3/@plus3" xmlDataType="string"/>
    </xmlCellPr>
  </singleXmlCell>
  <singleXmlCell id="552" xr6:uid="{A7A4F8BA-2A8D-4E6A-98CB-26019A3C24AE}" r="L143" connectionId="0">
    <xmlCellPr id="1" xr6:uid="{C20CA379-B7D6-43B7-8934-48B2B9877725}" uniqueName="plus2">
      <xmlPr mapId="7" xpath="/MAKE/PP/PPHeadform/WAD_on_Centreline/v1300_3/@plus2" xmlDataType="string"/>
    </xmlCellPr>
  </singleXmlCell>
  <singleXmlCell id="553" xr6:uid="{68E70AD9-C51D-479E-824C-B5AA7A7B7CB4}" r="M143" connectionId="0">
    <xmlCellPr id="1" xr6:uid="{187D6945-62E1-4C4C-AA54-0C05706A5C39}" uniqueName="plus1">
      <xmlPr mapId="7" xpath="/MAKE/PP/PPHeadform/WAD_on_Centreline/v1300_3/@plus1" xmlDataType="string"/>
    </xmlCellPr>
  </singleXmlCell>
  <singleXmlCell id="554" xr6:uid="{2A5E4D37-6456-4579-B514-AEA91A6944BA}" r="N143" connectionId="0">
    <xmlCellPr id="1" xr6:uid="{0FB8A53A-797C-4407-8C81-3AD74FEB7EA4}" uniqueName="zero">
      <xmlPr mapId="7" xpath="/MAKE/PP/PPHeadform/WAD_on_Centreline/v1300_3/@zero" xmlDataType="string"/>
    </xmlCellPr>
  </singleXmlCell>
  <singleXmlCell id="555" xr6:uid="{CB732CFF-3D25-4530-89C5-86061F4E5C65}" r="O143" connectionId="0">
    <xmlCellPr id="1" xr6:uid="{0C9E47AC-5C98-44BB-BE5B-D30605801A80}" uniqueName="minus1">
      <xmlPr mapId="7" xpath="/MAKE/PP/PPHeadform/WAD_on_Centreline/v1300_3/@minus1" xmlDataType="string"/>
    </xmlCellPr>
  </singleXmlCell>
  <singleXmlCell id="556" xr6:uid="{B1BAFB2B-D830-4C05-A1EE-BA51EE176250}" r="P143" connectionId="0">
    <xmlCellPr id="1" xr6:uid="{59B33BFB-5963-46A6-BD51-0C89770ABA21}" uniqueName="minus2">
      <xmlPr mapId="7" xpath="/MAKE/PP/PPHeadform/WAD_on_Centreline/v1300_3/@minus2" xmlDataType="string"/>
    </xmlCellPr>
  </singleXmlCell>
  <singleXmlCell id="557" xr6:uid="{D54673CF-4D0B-4A46-9455-3C198622D060}" r="Q143" connectionId="0">
    <xmlCellPr id="1" xr6:uid="{40D70669-74A0-4102-B12F-936CD8D4C4A1}" uniqueName="minus3">
      <xmlPr mapId="7" xpath="/MAKE/PP/PPHeadform/WAD_on_Centreline/v1300_3/@minus3" xmlDataType="string"/>
    </xmlCellPr>
  </singleXmlCell>
  <singleXmlCell id="558" xr6:uid="{AE332251-3EBA-4D03-BFB1-9EEAF56C6553}" r="R143" connectionId="0">
    <xmlCellPr id="1" xr6:uid="{6AA93D09-7CEC-4492-B2A0-E1282C3294FE}" uniqueName="minus4">
      <xmlPr mapId="7" xpath="/MAKE/PP/PPHeadform/WAD_on_Centreline/v1300_3/@minus4" xmlDataType="string"/>
    </xmlCellPr>
  </singleXmlCell>
  <singleXmlCell id="559" xr6:uid="{A3978CB2-B49D-470F-A5E6-3161DD9B0D68}" r="S143" connectionId="0">
    <xmlCellPr id="1" xr6:uid="{1A293635-D96F-4610-B26F-23087DCB3626}" uniqueName="minus5">
      <xmlPr mapId="7" xpath="/MAKE/PP/PPHeadform/WAD_on_Centreline/v1300_3/@minus5" xmlDataType="string"/>
    </xmlCellPr>
  </singleXmlCell>
  <singleXmlCell id="560" xr6:uid="{A8FE3F01-2FDD-402C-9A4E-A6C6222E55B7}" r="T143" connectionId="0">
    <xmlCellPr id="1" xr6:uid="{1BC8FAF6-6035-4D96-98EE-C1170A9BF3EC}" uniqueName="minus6">
      <xmlPr mapId="7" xpath="/MAKE/PP/PPHeadform/WAD_on_Centreline/v1300_3/@minus6" xmlDataType="string"/>
    </xmlCellPr>
  </singleXmlCell>
  <singleXmlCell id="561" xr6:uid="{D888AB84-C0D1-4A4C-8FCB-AF9442E0D58F}" r="U143" connectionId="0">
    <xmlCellPr id="1" xr6:uid="{5029373D-F0E8-45B4-90EF-4F4D4D0C61F0}" uniqueName="minus7">
      <xmlPr mapId="7" xpath="/MAKE/PP/PPHeadform/WAD_on_Centreline/v1300_3/@minus7" xmlDataType="string"/>
    </xmlCellPr>
  </singleXmlCell>
  <singleXmlCell id="562" xr6:uid="{5B2B42AD-A7A6-4502-8AE6-F53C32E9FE8B}" r="V143" connectionId="0">
    <xmlCellPr id="1" xr6:uid="{E33C4D25-A196-4EB4-9E0B-56150CABE97F}" uniqueName="minus8">
      <xmlPr mapId="7" xpath="/MAKE/PP/PPHeadform/WAD_on_Centreline/v1300_3/@minus8" xmlDataType="string"/>
    </xmlCellPr>
  </singleXmlCell>
  <singleXmlCell id="563" xr6:uid="{CB460B98-2CB9-459A-B8CC-F8544ECA31F0}" r="W143" connectionId="0">
    <xmlCellPr id="1" xr6:uid="{5B78DB58-2BC5-4F09-8155-2D04F923A06A}" uniqueName="minus9">
      <xmlPr mapId="7" xpath="/MAKE/PP/PPHeadform/WAD_on_Centreline/v1300_3/@minus9" xmlDataType="string"/>
    </xmlCellPr>
  </singleXmlCell>
  <singleXmlCell id="564" xr6:uid="{9B108655-9DA0-4865-B2CA-DEB036C7DCC1}" r="X143" connectionId="0">
    <xmlCellPr id="1" xr6:uid="{940FA630-B534-4680-89A9-FBAFA4EAE6FE}" uniqueName="minus10">
      <xmlPr mapId="7" xpath="/MAKE/PP/PPHeadform/WAD_on_Centreline/v1300_3/@minus10" xmlDataType="string"/>
    </xmlCellPr>
  </singleXmlCell>
  <singleXmlCell id="565" xr6:uid="{9B8ABFA0-C4EB-4093-A5A3-E98AF6E3EA0F}" r="Y143" connectionId="0">
    <xmlCellPr id="1" xr6:uid="{455D36E4-3D3A-42D6-890F-87523C9AD198}" uniqueName="WindshieldStartsHere">
      <xmlPr mapId="7" xpath="/MAKE/PP/PPHeadform/WAD_on_Centreline/v1300_3/@WindshieldStartsHere" xmlDataType="string"/>
    </xmlCellPr>
  </singleXmlCell>
  <singleXmlCell id="566" xr6:uid="{231B7FFA-1FAC-4E71-88FA-F74BD5E6F462}" r="D144" connectionId="0">
    <xmlCellPr id="1" xr6:uid="{E100FBE7-027E-427E-AD9A-1AC8BF8FC849}" uniqueName="plus10">
      <xmlPr mapId="7" xpath="/MAKE/PP/PPHeadform/WAD_on_Centreline/v1200_2/@plus10" xmlDataType="string"/>
    </xmlCellPr>
  </singleXmlCell>
  <singleXmlCell id="567" xr6:uid="{A0D4E876-5D97-41AC-9CE7-425DFCC62F6F}" r="E144" connectionId="0">
    <xmlCellPr id="1" xr6:uid="{F70B39D6-7A4F-44FF-8A15-5F265838D410}" uniqueName="plus9">
      <xmlPr mapId="7" xpath="/MAKE/PP/PPHeadform/WAD_on_Centreline/v1200_2/@plus9" xmlDataType="string"/>
    </xmlCellPr>
  </singleXmlCell>
  <singleXmlCell id="568" xr6:uid="{A2CF07A5-EC44-40B8-8839-7BD6A17029E4}" r="F144" connectionId="0">
    <xmlCellPr id="1" xr6:uid="{5684F6DF-7C72-4A05-9CC4-D375452EE1A9}" uniqueName="plus8">
      <xmlPr mapId="7" xpath="/MAKE/PP/PPHeadform/WAD_on_Centreline/v1200_2/@plus8" xmlDataType="string"/>
    </xmlCellPr>
  </singleXmlCell>
  <singleXmlCell id="569" xr6:uid="{ECFAC899-3BBC-4CCE-8082-1F032D5F4E50}" r="G144" connectionId="0">
    <xmlCellPr id="1" xr6:uid="{F561948C-7A48-4165-950F-676CACFDB324}" uniqueName="plus7">
      <xmlPr mapId="7" xpath="/MAKE/PP/PPHeadform/WAD_on_Centreline/v1200_2/@plus7" xmlDataType="string"/>
    </xmlCellPr>
  </singleXmlCell>
  <singleXmlCell id="570" xr6:uid="{A3728CB0-5E23-4CB3-A124-41B1814E3A80}" r="H144" connectionId="0">
    <xmlCellPr id="1" xr6:uid="{EFC62E48-AACE-4280-96EA-65771F5085FF}" uniqueName="plus6">
      <xmlPr mapId="7" xpath="/MAKE/PP/PPHeadform/WAD_on_Centreline/v1200_2/@plus6" xmlDataType="string"/>
    </xmlCellPr>
  </singleXmlCell>
  <singleXmlCell id="571" xr6:uid="{7CD09106-F7EE-4148-8E42-929CCBBC9F3C}" r="I144" connectionId="0">
    <xmlCellPr id="1" xr6:uid="{2EAD6500-82F2-4EF1-92DE-50B135870D31}" uniqueName="plus5">
      <xmlPr mapId="7" xpath="/MAKE/PP/PPHeadform/WAD_on_Centreline/v1200_2/@plus5" xmlDataType="string"/>
    </xmlCellPr>
  </singleXmlCell>
  <singleXmlCell id="572" xr6:uid="{E2222AFF-E3AA-4935-8A86-89565CC5F7A6}" r="J144" connectionId="0">
    <xmlCellPr id="1" xr6:uid="{F06656EF-5A0D-4AE8-953B-1DCD9F7FD81A}" uniqueName="plus4">
      <xmlPr mapId="7" xpath="/MAKE/PP/PPHeadform/WAD_on_Centreline/v1200_2/@plus4" xmlDataType="string"/>
    </xmlCellPr>
  </singleXmlCell>
  <singleXmlCell id="573" xr6:uid="{CB0E23B7-9B74-473E-B5B9-9EA7B86B478B}" r="K144" connectionId="0">
    <xmlCellPr id="1" xr6:uid="{D8322536-7D9A-415F-996D-33EB148ECB37}" uniqueName="plus3">
      <xmlPr mapId="7" xpath="/MAKE/PP/PPHeadform/WAD_on_Centreline/v1200_2/@plus3" xmlDataType="string"/>
    </xmlCellPr>
  </singleXmlCell>
  <singleXmlCell id="574" xr6:uid="{17DDF8B2-99CD-474B-9159-655B8E3BBE1D}" r="L144" connectionId="0">
    <xmlCellPr id="1" xr6:uid="{9874970C-F39C-4595-8BBE-8C8B1CE063F0}" uniqueName="plus2">
      <xmlPr mapId="7" xpath="/MAKE/PP/PPHeadform/WAD_on_Centreline/v1200_2/@plus2" xmlDataType="string"/>
    </xmlCellPr>
  </singleXmlCell>
  <singleXmlCell id="575" xr6:uid="{AEC004F1-3E21-4116-9205-81EA1125A078}" r="M144" connectionId="0">
    <xmlCellPr id="1" xr6:uid="{3244988B-7F0A-4817-B13A-897D07EFD915}" uniqueName="plus1">
      <xmlPr mapId="7" xpath="/MAKE/PP/PPHeadform/WAD_on_Centreline/v1200_2/@plus1" xmlDataType="string"/>
    </xmlCellPr>
  </singleXmlCell>
  <singleXmlCell id="576" xr6:uid="{ABA24DAB-7D29-4933-A445-402EA646E29D}" r="N144" connectionId="0">
    <xmlCellPr id="1" xr6:uid="{E43445DE-781F-4F12-8214-DA17C00750E7}" uniqueName="zero">
      <xmlPr mapId="7" xpath="/MAKE/PP/PPHeadform/WAD_on_Centreline/v1200_2/@zero" xmlDataType="string"/>
    </xmlCellPr>
  </singleXmlCell>
  <singleXmlCell id="577" xr6:uid="{5E4BBAB4-79F1-4DE3-8B50-2B4A4050A845}" r="O144" connectionId="0">
    <xmlCellPr id="1" xr6:uid="{D55B8585-4708-4A59-A863-AF5CEF2A2399}" uniqueName="minus1">
      <xmlPr mapId="7" xpath="/MAKE/PP/PPHeadform/WAD_on_Centreline/v1200_2/@minus1" xmlDataType="string"/>
    </xmlCellPr>
  </singleXmlCell>
  <singleXmlCell id="578" xr6:uid="{1D693392-189D-40A8-8F3C-A4B0367A57D9}" r="P144" connectionId="0">
    <xmlCellPr id="1" xr6:uid="{1A7994E4-0102-4B46-8C7C-ECF645E4243A}" uniqueName="minus2">
      <xmlPr mapId="7" xpath="/MAKE/PP/PPHeadform/WAD_on_Centreline/v1200_2/@minus2" xmlDataType="string"/>
    </xmlCellPr>
  </singleXmlCell>
  <singleXmlCell id="579" xr6:uid="{746DCA74-6663-4275-84F0-63DC51A6C162}" r="Q144" connectionId="0">
    <xmlCellPr id="1" xr6:uid="{E22C1FA9-635F-48CF-903A-6C1E6D3508AA}" uniqueName="minus3">
      <xmlPr mapId="7" xpath="/MAKE/PP/PPHeadform/WAD_on_Centreline/v1200_2/@minus3" xmlDataType="string"/>
    </xmlCellPr>
  </singleXmlCell>
  <singleXmlCell id="580" xr6:uid="{AF8E828B-EE5C-479E-AFA1-15DBEE9877AD}" r="R144" connectionId="0">
    <xmlCellPr id="1" xr6:uid="{17D83279-F1FD-46B1-A8FE-FA28DCEA6341}" uniqueName="minus4">
      <xmlPr mapId="7" xpath="/MAKE/PP/PPHeadform/WAD_on_Centreline/v1200_2/@minus4" xmlDataType="string"/>
    </xmlCellPr>
  </singleXmlCell>
  <singleXmlCell id="581" xr6:uid="{0DAA5EF2-F930-4888-92FB-F965FAA59365}" r="S144" connectionId="0">
    <xmlCellPr id="1" xr6:uid="{FCF0E1BF-69CA-4BD6-9999-863D64D1C1CD}" uniqueName="minus5">
      <xmlPr mapId="7" xpath="/MAKE/PP/PPHeadform/WAD_on_Centreline/v1200_2/@minus5" xmlDataType="string"/>
    </xmlCellPr>
  </singleXmlCell>
  <singleXmlCell id="582" xr6:uid="{19EDEFF4-954E-497A-8C4F-8F399EAECCCF}" r="T144" connectionId="0">
    <xmlCellPr id="1" xr6:uid="{90B0576E-E530-4093-AE3F-70E9B5FEE2DA}" uniqueName="minus6">
      <xmlPr mapId="7" xpath="/MAKE/PP/PPHeadform/WAD_on_Centreline/v1200_2/@minus6" xmlDataType="string"/>
    </xmlCellPr>
  </singleXmlCell>
  <singleXmlCell id="583" xr6:uid="{FB327120-7DDA-46E4-960F-E7120102FE6F}" r="U144" connectionId="0">
    <xmlCellPr id="1" xr6:uid="{5BE73EDA-B7CE-4055-A1BE-F2B5C2147633}" uniqueName="minus7">
      <xmlPr mapId="7" xpath="/MAKE/PP/PPHeadform/WAD_on_Centreline/v1200_2/@minus7" xmlDataType="string"/>
    </xmlCellPr>
  </singleXmlCell>
  <singleXmlCell id="584" xr6:uid="{997D1D01-1670-4D07-846E-0E49CB09D046}" r="V144" connectionId="0">
    <xmlCellPr id="1" xr6:uid="{3CE5C834-1321-4E0C-A778-91262749C957}" uniqueName="minus8">
      <xmlPr mapId="7" xpath="/MAKE/PP/PPHeadform/WAD_on_Centreline/v1200_2/@minus8" xmlDataType="string"/>
    </xmlCellPr>
  </singleXmlCell>
  <singleXmlCell id="585" xr6:uid="{6EAF6475-C808-4183-92DF-D45418CDCEF6}" r="W144" connectionId="0">
    <xmlCellPr id="1" xr6:uid="{A204DD21-C67E-487A-AF06-9BD72808F947}" uniqueName="minus9">
      <xmlPr mapId="7" xpath="/MAKE/PP/PPHeadform/WAD_on_Centreline/v1200_2/@minus9" xmlDataType="string"/>
    </xmlCellPr>
  </singleXmlCell>
  <singleXmlCell id="586" xr6:uid="{55F421A0-82F5-49D2-B591-D6E3C4FF5C7D}" r="X144" connectionId="0">
    <xmlCellPr id="1" xr6:uid="{5D810A43-86AC-492F-9249-F02C95FD58E6}" uniqueName="minus10">
      <xmlPr mapId="7" xpath="/MAKE/PP/PPHeadform/WAD_on_Centreline/v1200_2/@minus10" xmlDataType="string"/>
    </xmlCellPr>
  </singleXmlCell>
  <singleXmlCell id="587" xr6:uid="{96E92DA0-BF8D-4BA9-AEB5-00B333ADEF2E}" r="Y144" connectionId="0">
    <xmlCellPr id="1" xr6:uid="{E72AC27A-7951-461D-B47F-534DFF82F22D}" uniqueName="WindshieldStartsHere">
      <xmlPr mapId="7" xpath="/MAKE/PP/PPHeadform/WAD_on_Centreline/v1200_2/@WindshieldStartsHere" xmlDataType="string"/>
    </xmlCellPr>
  </singleXmlCell>
  <singleXmlCell id="588" xr6:uid="{D2974EE0-7BFF-4D05-9462-AD87ECA68D74}" r="D145" connectionId="0">
    <xmlCellPr id="1" xr6:uid="{E8E7D339-FC19-4972-A898-E413BF4A1202}" uniqueName="plus10">
      <xmlPr mapId="7" xpath="/MAKE/PP/PPHeadform/WAD_on_Centreline/v1100_1/@plus10" xmlDataType="string"/>
    </xmlCellPr>
  </singleXmlCell>
  <singleXmlCell id="589" xr6:uid="{DACC7A70-AE9B-410A-8104-EE9F39E3E326}" r="E145" connectionId="0">
    <xmlCellPr id="1" xr6:uid="{BC50327F-8AF5-46B9-992A-BC085E097726}" uniqueName="plus9">
      <xmlPr mapId="7" xpath="/MAKE/PP/PPHeadform/WAD_on_Centreline/v1100_1/@plus9" xmlDataType="string"/>
    </xmlCellPr>
  </singleXmlCell>
  <singleXmlCell id="590" xr6:uid="{84D74061-4B04-48C4-857F-FC2295D734EA}" r="F145" connectionId="0">
    <xmlCellPr id="1" xr6:uid="{BBDCB50B-8BC2-412D-8557-DFB85BA9CD83}" uniqueName="plus8">
      <xmlPr mapId="7" xpath="/MAKE/PP/PPHeadform/WAD_on_Centreline/v1100_1/@plus8" xmlDataType="string"/>
    </xmlCellPr>
  </singleXmlCell>
  <singleXmlCell id="591" xr6:uid="{D8F50D5E-869C-4252-A9D3-3E56936ACD07}" r="G145" connectionId="0">
    <xmlCellPr id="1" xr6:uid="{C9C4A9FC-99C8-4AAE-83C7-5068881332B7}" uniqueName="plus7">
      <xmlPr mapId="7" xpath="/MAKE/PP/PPHeadform/WAD_on_Centreline/v1100_1/@plus7" xmlDataType="string"/>
    </xmlCellPr>
  </singleXmlCell>
  <singleXmlCell id="592" xr6:uid="{AA0EBBAC-D351-4D06-952E-1E4B1AD3F94E}" r="H145" connectionId="0">
    <xmlCellPr id="1" xr6:uid="{CEA7D518-569E-4745-8D4C-268D3F758666}" uniqueName="plus6">
      <xmlPr mapId="7" xpath="/MAKE/PP/PPHeadform/WAD_on_Centreline/v1100_1/@plus6" xmlDataType="string"/>
    </xmlCellPr>
  </singleXmlCell>
  <singleXmlCell id="593" xr6:uid="{F412FB18-FE05-404C-AEA2-0B84190CC6F3}" r="I145" connectionId="0">
    <xmlCellPr id="1" xr6:uid="{60168E1F-4FE5-438C-A23C-9F446B71F55F}" uniqueName="plus5">
      <xmlPr mapId="7" xpath="/MAKE/PP/PPHeadform/WAD_on_Centreline/v1100_1/@plus5" xmlDataType="string"/>
    </xmlCellPr>
  </singleXmlCell>
  <singleXmlCell id="594" xr6:uid="{04590181-F6B3-49E0-BE08-52F1FFAC1273}" r="J145" connectionId="0">
    <xmlCellPr id="1" xr6:uid="{5850839D-40EE-4ED0-986B-ABEA37B62DCE}" uniqueName="plus4">
      <xmlPr mapId="7" xpath="/MAKE/PP/PPHeadform/WAD_on_Centreline/v1100_1/@plus4" xmlDataType="string"/>
    </xmlCellPr>
  </singleXmlCell>
  <singleXmlCell id="595" xr6:uid="{4CBBB775-0CBF-4405-9F3F-8349C1D133C5}" r="K145" connectionId="0">
    <xmlCellPr id="1" xr6:uid="{36E0882F-8496-43CE-B41F-3652C885915F}" uniqueName="plus3">
      <xmlPr mapId="7" xpath="/MAKE/PP/PPHeadform/WAD_on_Centreline/v1100_1/@plus3" xmlDataType="string"/>
    </xmlCellPr>
  </singleXmlCell>
  <singleXmlCell id="596" xr6:uid="{5E8B5004-BF7C-48E6-B4E8-F8978386B8D1}" r="L145" connectionId="0">
    <xmlCellPr id="1" xr6:uid="{B47D2449-F4AB-4A82-A991-B6E04BD17B1F}" uniqueName="plus2">
      <xmlPr mapId="7" xpath="/MAKE/PP/PPHeadform/WAD_on_Centreline/v1100_1/@plus2" xmlDataType="string"/>
    </xmlCellPr>
  </singleXmlCell>
  <singleXmlCell id="597" xr6:uid="{84942A25-AB88-42C4-83B6-120D12E2F228}" r="M145" connectionId="0">
    <xmlCellPr id="1" xr6:uid="{A6CD8F06-9E7E-4C2A-9E11-6ED97C20C8DF}" uniqueName="plus1">
      <xmlPr mapId="7" xpath="/MAKE/PP/PPHeadform/WAD_on_Centreline/v1100_1/@plus1" xmlDataType="string"/>
    </xmlCellPr>
  </singleXmlCell>
  <singleXmlCell id="598" xr6:uid="{BECD9CAD-E40B-4942-891C-93F88388E26F}" r="N145" connectionId="0">
    <xmlCellPr id="1" xr6:uid="{068AA90B-702C-4BBC-B9C0-DE084E119C52}" uniqueName="zero">
      <xmlPr mapId="7" xpath="/MAKE/PP/PPHeadform/WAD_on_Centreline/v1100_1/@zero" xmlDataType="string"/>
    </xmlCellPr>
  </singleXmlCell>
  <singleXmlCell id="599" xr6:uid="{9915C7DA-7C75-4F26-9C47-585A4038D610}" r="O145" connectionId="0">
    <xmlCellPr id="1" xr6:uid="{E2140B3B-C090-49FF-8DCF-F04C5DE1A1C9}" uniqueName="minus1">
      <xmlPr mapId="7" xpath="/MAKE/PP/PPHeadform/WAD_on_Centreline/v1100_1/@minus1" xmlDataType="string"/>
    </xmlCellPr>
  </singleXmlCell>
  <singleXmlCell id="600" xr6:uid="{18367134-94CD-48FF-8CDA-16A15170C297}" r="P145" connectionId="0">
    <xmlCellPr id="1" xr6:uid="{842A8CCB-0D1D-47BE-8EBB-25E6082D167E}" uniqueName="minus2">
      <xmlPr mapId="7" xpath="/MAKE/PP/PPHeadform/WAD_on_Centreline/v1100_1/@minus2" xmlDataType="string"/>
    </xmlCellPr>
  </singleXmlCell>
  <singleXmlCell id="601" xr6:uid="{8CFD063A-EEF0-4F1A-8A7D-0A7388D5205A}" r="Q145" connectionId="0">
    <xmlCellPr id="1" xr6:uid="{4E270C38-24EA-4BEF-8967-BE4AC2F8A727}" uniqueName="minus3">
      <xmlPr mapId="7" xpath="/MAKE/PP/PPHeadform/WAD_on_Centreline/v1100_1/@minus3" xmlDataType="string"/>
    </xmlCellPr>
  </singleXmlCell>
  <singleXmlCell id="602" xr6:uid="{3CF82A0D-DB23-4BB2-99C1-8519DDF3ED17}" r="R145" connectionId="0">
    <xmlCellPr id="1" xr6:uid="{DBCC5C72-3E32-43FC-9ABF-149897949003}" uniqueName="minus4">
      <xmlPr mapId="7" xpath="/MAKE/PP/PPHeadform/WAD_on_Centreline/v1100_1/@minus4" xmlDataType="string"/>
    </xmlCellPr>
  </singleXmlCell>
  <singleXmlCell id="603" xr6:uid="{8AC25E9A-BAFE-49B2-AFD2-9FC9D4B83E1B}" r="S145" connectionId="0">
    <xmlCellPr id="1" xr6:uid="{992EA9A5-7432-44A1-8742-B449213FE3C3}" uniqueName="minus5">
      <xmlPr mapId="7" xpath="/MAKE/PP/PPHeadform/WAD_on_Centreline/v1100_1/@minus5" xmlDataType="string"/>
    </xmlCellPr>
  </singleXmlCell>
  <singleXmlCell id="604" xr6:uid="{779E041E-00A9-490F-A2CA-8D61B0E4B37C}" r="T145" connectionId="0">
    <xmlCellPr id="1" xr6:uid="{6E611679-FA56-4B88-AEFB-70C9DA0D206D}" uniqueName="minus6">
      <xmlPr mapId="7" xpath="/MAKE/PP/PPHeadform/WAD_on_Centreline/v1100_1/@minus6" xmlDataType="string"/>
    </xmlCellPr>
  </singleXmlCell>
  <singleXmlCell id="605" xr6:uid="{C953ADC7-3EA2-4690-BB33-30486BE1E411}" r="U145" connectionId="0">
    <xmlCellPr id="1" xr6:uid="{BAFC2838-C2C9-45C9-8F6F-2E6F52DF8B97}" uniqueName="minus7">
      <xmlPr mapId="7" xpath="/MAKE/PP/PPHeadform/WAD_on_Centreline/v1100_1/@minus7" xmlDataType="string"/>
    </xmlCellPr>
  </singleXmlCell>
  <singleXmlCell id="606" xr6:uid="{C529B9DB-0641-4016-924A-D9EA5BE7018C}" r="V145" connectionId="0">
    <xmlCellPr id="1" xr6:uid="{D9B354D4-5BE2-4412-87E4-C8A835737786}" uniqueName="minus8">
      <xmlPr mapId="7" xpath="/MAKE/PP/PPHeadform/WAD_on_Centreline/v1100_1/@minus8" xmlDataType="string"/>
    </xmlCellPr>
  </singleXmlCell>
  <singleXmlCell id="607" xr6:uid="{8E650450-78CF-4209-9415-224990AA3A87}" r="W145" connectionId="0">
    <xmlCellPr id="1" xr6:uid="{B7B0A022-D6F3-430A-8C91-4F5E4AD99B7C}" uniqueName="minus9">
      <xmlPr mapId="7" xpath="/MAKE/PP/PPHeadform/WAD_on_Centreline/v1100_1/@minus9" xmlDataType="string"/>
    </xmlCellPr>
  </singleXmlCell>
  <singleXmlCell id="608" xr6:uid="{B2117CE4-70AA-4CF3-A806-865823F4DAF6}" r="X145" connectionId="0">
    <xmlCellPr id="1" xr6:uid="{38A1F68F-9C64-4947-A988-1EC480D1094E}" uniqueName="minus10">
      <xmlPr mapId="7" xpath="/MAKE/PP/PPHeadform/WAD_on_Centreline/v1100_1/@minus10" xmlDataType="string"/>
    </xmlCellPr>
  </singleXmlCell>
  <singleXmlCell id="609" xr6:uid="{8EFC0741-89E9-45FE-86A2-73433F35A4CD}" r="Y145" connectionId="0">
    <xmlCellPr id="1" xr6:uid="{04A39866-3952-423C-977E-8115F3B61DCF}" uniqueName="WindshieldStartsHere">
      <xmlPr mapId="7" xpath="/MAKE/PP/PPHeadform/WAD_on_Centreline/v1100_1/@WindshieldStartsHere" xmlDataType="string"/>
    </xmlCellPr>
  </singleXmlCell>
  <singleXmlCell id="610" xr6:uid="{B4521F69-43DE-47F1-9950-43CC2EF92FD3}" r="D146" connectionId="0">
    <xmlCellPr id="1" xr6:uid="{7687C15E-F733-4DEC-89C1-8C68BB5E44E7}" uniqueName="plus10">
      <xmlPr mapId="7" xpath="/MAKE/PP/PPHeadform/WAD_on_Centreline/v1000_0/@plus10" xmlDataType="string"/>
    </xmlCellPr>
  </singleXmlCell>
  <singleXmlCell id="611" xr6:uid="{C090E5C5-FA52-4532-BA2D-4293938CEFE6}" r="E146" connectionId="0">
    <xmlCellPr id="1" xr6:uid="{50408E07-AE73-4C34-B808-B37E74F0309A}" uniqueName="plus9">
      <xmlPr mapId="7" xpath="/MAKE/PP/PPHeadform/WAD_on_Centreline/v1000_0/@plus9" xmlDataType="string"/>
    </xmlCellPr>
  </singleXmlCell>
  <singleXmlCell id="612" xr6:uid="{282A0C64-DC09-4B3C-B4A3-C70682F36828}" r="F146" connectionId="0">
    <xmlCellPr id="1" xr6:uid="{806CEF02-8EAE-4C70-A6AE-396844D67BEE}" uniqueName="plus8">
      <xmlPr mapId="7" xpath="/MAKE/PP/PPHeadform/WAD_on_Centreline/v1000_0/@plus8" xmlDataType="string"/>
    </xmlCellPr>
  </singleXmlCell>
  <singleXmlCell id="613" xr6:uid="{3401AC94-17D6-4E90-A075-1BF458CD36C3}" r="G146" connectionId="0">
    <xmlCellPr id="1" xr6:uid="{858370B7-C7F7-4694-8F53-C5DBD3CEC19E}" uniqueName="plus7">
      <xmlPr mapId="7" xpath="/MAKE/PP/PPHeadform/WAD_on_Centreline/v1000_0/@plus7" xmlDataType="string"/>
    </xmlCellPr>
  </singleXmlCell>
  <singleXmlCell id="614" xr6:uid="{1E64B166-DB29-4472-A34B-2927CAB9B683}" r="H146" connectionId="0">
    <xmlCellPr id="1" xr6:uid="{DEB6B42D-7F3F-44B3-BCC3-0D8DA35FD769}" uniqueName="plus6">
      <xmlPr mapId="7" xpath="/MAKE/PP/PPHeadform/WAD_on_Centreline/v1000_0/@plus6" xmlDataType="string"/>
    </xmlCellPr>
  </singleXmlCell>
  <singleXmlCell id="615" xr6:uid="{FA1E8728-32B4-4BD7-A16D-8E2E08D011E9}" r="I146" connectionId="0">
    <xmlCellPr id="1" xr6:uid="{BE730B96-B2B8-462A-B615-8112898A8344}" uniqueName="plus5">
      <xmlPr mapId="7" xpath="/MAKE/PP/PPHeadform/WAD_on_Centreline/v1000_0/@plus5" xmlDataType="string"/>
    </xmlCellPr>
  </singleXmlCell>
  <singleXmlCell id="616" xr6:uid="{17507B7A-B031-4FCA-9F09-81386221679F}" r="J146" connectionId="0">
    <xmlCellPr id="1" xr6:uid="{C2D42BE0-D380-437B-A3B8-5E4B3D819269}" uniqueName="plus4">
      <xmlPr mapId="7" xpath="/MAKE/PP/PPHeadform/WAD_on_Centreline/v1000_0/@plus4" xmlDataType="string"/>
    </xmlCellPr>
  </singleXmlCell>
  <singleXmlCell id="617" xr6:uid="{DF1181BB-3AB4-4AD3-B033-EAE665092AEE}" r="K146" connectionId="0">
    <xmlCellPr id="1" xr6:uid="{EFD109C8-1AF8-463F-BB32-824F60C0165A}" uniqueName="plus3">
      <xmlPr mapId="7" xpath="/MAKE/PP/PPHeadform/WAD_on_Centreline/v1000_0/@plus3" xmlDataType="string"/>
    </xmlCellPr>
  </singleXmlCell>
  <singleXmlCell id="618" xr6:uid="{F84FABB7-8AB2-434B-8F1E-3221D5F22CF4}" r="L146" connectionId="0">
    <xmlCellPr id="1" xr6:uid="{B919AB41-5642-4661-B1F0-9BAA9B6FFE2A}" uniqueName="plus2">
      <xmlPr mapId="7" xpath="/MAKE/PP/PPHeadform/WAD_on_Centreline/v1000_0/@plus2" xmlDataType="string"/>
    </xmlCellPr>
  </singleXmlCell>
  <singleXmlCell id="619" xr6:uid="{285AED5F-26F9-44EF-96F2-EA38AF6F3A9E}" r="M146" connectionId="0">
    <xmlCellPr id="1" xr6:uid="{76B0F031-75AA-466C-B05B-4C7E57D36ABB}" uniqueName="plus1">
      <xmlPr mapId="7" xpath="/MAKE/PP/PPHeadform/WAD_on_Centreline/v1000_0/@plus1" xmlDataType="string"/>
    </xmlCellPr>
  </singleXmlCell>
  <singleXmlCell id="620" xr6:uid="{C1C6C369-EA02-4186-AD59-AECE9E02116A}" r="N146" connectionId="0">
    <xmlCellPr id="1" xr6:uid="{DA160A6A-469D-4755-8EE4-3CD98749D455}" uniqueName="zero">
      <xmlPr mapId="7" xpath="/MAKE/PP/PPHeadform/WAD_on_Centreline/v1000_0/@zero" xmlDataType="string"/>
    </xmlCellPr>
  </singleXmlCell>
  <singleXmlCell id="621" xr6:uid="{20EF34AD-4AE8-4C30-BD6B-91F75D1024A7}" r="O146" connectionId="0">
    <xmlCellPr id="1" xr6:uid="{590A7D67-E65F-44B9-A699-7A884546D12B}" uniqueName="minus1">
      <xmlPr mapId="7" xpath="/MAKE/PP/PPHeadform/WAD_on_Centreline/v1000_0/@minus1" xmlDataType="string"/>
    </xmlCellPr>
  </singleXmlCell>
  <singleXmlCell id="622" xr6:uid="{E7F0E632-F093-43F0-A4F8-E828FBE1B16D}" r="P146" connectionId="0">
    <xmlCellPr id="1" xr6:uid="{8787B94A-E250-4EEA-B3E5-E9D113474702}" uniqueName="minus2">
      <xmlPr mapId="7" xpath="/MAKE/PP/PPHeadform/WAD_on_Centreline/v1000_0/@minus2" xmlDataType="string"/>
    </xmlCellPr>
  </singleXmlCell>
  <singleXmlCell id="623" xr6:uid="{EA4F963A-6610-43BF-ACC0-BB3851014C0A}" r="Q146" connectionId="0">
    <xmlCellPr id="1" xr6:uid="{1A634516-5336-4B7D-9DFE-B7D439E841D6}" uniqueName="minus3">
      <xmlPr mapId="7" xpath="/MAKE/PP/PPHeadform/WAD_on_Centreline/v1000_0/@minus3" xmlDataType="string"/>
    </xmlCellPr>
  </singleXmlCell>
  <singleXmlCell id="624" xr6:uid="{AA35DE7A-1430-490C-A420-2C52FC39269B}" r="R146" connectionId="0">
    <xmlCellPr id="1" xr6:uid="{2F56F253-F237-44A4-9379-09FD32C69AEB}" uniqueName="minus4">
      <xmlPr mapId="7" xpath="/MAKE/PP/PPHeadform/WAD_on_Centreline/v1000_0/@minus4" xmlDataType="string"/>
    </xmlCellPr>
  </singleXmlCell>
  <singleXmlCell id="625" xr6:uid="{CF5ED307-3AF6-4AF0-9614-ED7ED5E8D8CE}" r="S146" connectionId="0">
    <xmlCellPr id="1" xr6:uid="{C0D1E879-05C3-4483-8409-A25DBED932C1}" uniqueName="minus5">
      <xmlPr mapId="7" xpath="/MAKE/PP/PPHeadform/WAD_on_Centreline/v1000_0/@minus5" xmlDataType="string"/>
    </xmlCellPr>
  </singleXmlCell>
  <singleXmlCell id="626" xr6:uid="{0817ECC0-D8A9-4229-8B60-39D51ED4EE9E}" r="T146" connectionId="0">
    <xmlCellPr id="1" xr6:uid="{F8EFCED4-F6ED-46BF-8985-68220D54029E}" uniqueName="minus6">
      <xmlPr mapId="7" xpath="/MAKE/PP/PPHeadform/WAD_on_Centreline/v1000_0/@minus6" xmlDataType="string"/>
    </xmlCellPr>
  </singleXmlCell>
  <singleXmlCell id="627" xr6:uid="{D5274ECF-C603-46E2-A90B-113DA85EF2FE}" r="U146" connectionId="0">
    <xmlCellPr id="1" xr6:uid="{A623F223-B29C-436D-9A29-3B9F8A5C1BD4}" uniqueName="minus7">
      <xmlPr mapId="7" xpath="/MAKE/PP/PPHeadform/WAD_on_Centreline/v1000_0/@minus7" xmlDataType="string"/>
    </xmlCellPr>
  </singleXmlCell>
  <singleXmlCell id="628" xr6:uid="{BEFC613D-D289-427D-BC17-2785E279CAF7}" r="V146" connectionId="0">
    <xmlCellPr id="1" xr6:uid="{DE4A33AE-ACEB-4B13-9B47-E1119F9E616B}" uniqueName="minus8">
      <xmlPr mapId="7" xpath="/MAKE/PP/PPHeadform/WAD_on_Centreline/v1000_0/@minus8" xmlDataType="string"/>
    </xmlCellPr>
  </singleXmlCell>
  <singleXmlCell id="629" xr6:uid="{50C0572E-FE2A-4E33-A3CC-1717B5A20290}" r="W146" connectionId="0">
    <xmlCellPr id="1" xr6:uid="{5035C5FC-9BE0-4EE5-8712-7E0D3203A6DC}" uniqueName="minus9">
      <xmlPr mapId="7" xpath="/MAKE/PP/PPHeadform/WAD_on_Centreline/v1000_0/@minus9" xmlDataType="string"/>
    </xmlCellPr>
  </singleXmlCell>
  <singleXmlCell id="630" xr6:uid="{63BE6100-DF30-4137-8595-448A2DD37FD2}" r="X146" connectionId="0">
    <xmlCellPr id="1" xr6:uid="{877B856F-3C77-4965-B9EE-06BF445484F6}" uniqueName="minus10">
      <xmlPr mapId="7" xpath="/MAKE/PP/PPHeadform/WAD_on_Centreline/v1000_0/@minus10" xmlDataType="string"/>
    </xmlCellPr>
  </singleXmlCell>
  <singleXmlCell id="631" xr6:uid="{753BB61E-A70A-4E55-BE9F-E5298B28BB63}" r="Y146" connectionId="0">
    <xmlCellPr id="1" xr6:uid="{2DE55E1C-C3A4-40E2-92F5-DDB6F2C17FA4}" uniqueName="WindshieldStartsHere">
      <xmlPr mapId="7" xpath="/MAKE/PP/PPHeadform/WAD_on_Centreline/v1000_0/@WindshieldStartsHere" xmlDataType="string"/>
    </xmlCellPr>
  </singleXmlCell>
  <singleXmlCell id="632" xr6:uid="{E9BDF15C-5FC5-4CBF-BA38-A87E2E26B52D}" r="C147" connectionId="0">
    <xmlCellPr id="1" xr6:uid="{9F55C0CE-9045-4BF7-9F84-DE670870D662}" uniqueName="ROUNDED_TOTAL_PED_HEADFORM">
      <xmlPr mapId="7" xpath="/MAKE/PP/PPHeadform/@ROUNDED_TOTAL_PED_HEADFORM" xmlDataType="decimal"/>
    </xmlCellPr>
  </singleXmlCell>
  <singleXmlCell id="633" xr6:uid="{9D5DA16C-91ED-4A6E-A00C-FC977B6F1197}" r="C148" connectionId="0">
    <xmlCellPr id="1" xr6:uid="{903419C4-9D3D-4BE7-8993-F54F1066E5DA}" uniqueName="MAX_POINTS">
      <xmlPr mapId="7" xpath="/MAKE/PP/PPHeadform/@MAX_POINTS" xmlDataType="integer"/>
    </xmlCellPr>
  </singleXmlCell>
  <singleXmlCell id="807" xr6:uid="{D48D0F75-2DA3-4CFE-A2E4-3A792B059688}" r="D127" connectionId="0">
    <xmlCellPr id="1" xr6:uid="{02C983CE-408E-4F29-A2E8-C1DD106158D4}" uniqueName="Type_of_Image">
      <xmlPr mapId="7" xpath="/MAKE/PP/PPHeadform/Website_Image/@Type_of_Image" xmlDataType="string"/>
    </xmlCellPr>
  </singleXmlCell>
  <singleXmlCell id="808" xr6:uid="{94E7E20A-0BA9-443D-8F62-5F80205FB25B}" r="D126" connectionId="0">
    <xmlCellPr id="1" xr6:uid="{1AF82EDF-1D61-4A14-BF54-EC30D8B7656E}" uniqueName="First_row_on_screen">
      <xmlPr mapId="7" xpath="/MAKE/PP/PPHeadform/Website_Image/@First_row_on_screen" xmlDataType="integer"/>
    </xmlCellPr>
  </singleXmlCell>
  <singleXmlCell id="812" xr6:uid="{6620BE47-883D-4999-9E37-5DF1DD31DFDE}" r="C282" connectionId="0">
    <xmlCellPr id="1" xr6:uid="{8025CBFE-B95A-4B0B-BE91-CB2DD0E40AE7}" uniqueName="Tech_Used">
      <xmlPr mapId="7" xpath="/MAKE/SA/SA_AEB_Car_to_Car/System_Details/Tech_Used" xmlDataType="string"/>
    </xmlCellPr>
  </singleXmlCell>
  <singleXmlCell id="813" xr6:uid="{557F0462-2B3C-41A3-9CF9-595DCA5C870A}" r="D281" connectionId="0">
    <xmlCellPr id="1" xr6:uid="{9558D59D-024B-45F0-9299-206E5EFCCB42}" uniqueName="Type">
      <xmlPr mapId="7" xpath="/MAKE/SA/SA_AEB_Car_to_Car/System_Details/Type" xmlDataType="string"/>
    </xmlCellPr>
  </singleXmlCell>
  <singleXmlCell id="1316" xr6:uid="{41873935-512D-40B3-8276-C909AE3AF077}" r="C252" connectionId="0">
    <xmlCellPr id="1" xr6:uid="{61A94BBA-8169-4CAB-8878-E541C1F13370}" uniqueName="ROUNDED_TOTAL_SAS">
      <xmlPr mapId="7" xpath="/MAKE/SA/SA_SAS/@ROUNDED_TOTAL_SAS" xmlDataType="decimal"/>
    </xmlCellPr>
  </singleXmlCell>
  <singleXmlCell id="1317" xr6:uid="{49B95DA6-686E-4316-8138-908CB5201E37}" r="C253" connectionId="0">
    <xmlCellPr id="1" xr6:uid="{39A22B09-7036-433C-AB2D-CD57355C7479}" uniqueName="MAX_POINTS">
      <xmlPr mapId="7" xpath="/MAKE/SA/SA_SAS/@MAX_POINTS" xmlDataType="integer"/>
    </xmlCellPr>
  </singleXmlCell>
  <singleXmlCell id="1318" xr6:uid="{AF12851D-A4D0-4975-93CF-971B05259E77}" r="C254" connectionId="0">
    <xmlCellPr id="1" xr6:uid="{19EDC12B-80A2-4DC7-BFB8-1007B892CD1D}" uniqueName="Colour">
      <xmlPr mapId="7" xpath="/MAKE/SA/SA_SAS/@Colour" xmlDataType="string"/>
    </xmlCellPr>
  </singleXmlCell>
  <singleXmlCell id="1319" xr6:uid="{77EADEDE-546F-41E6-9887-2D3F91340013}" r="C255" connectionId="0">
    <xmlCellPr id="1" xr6:uid="{5A937269-6DA0-410E-B5CC-C1DA15A08B41}" uniqueName="SLIF_Description">
      <xmlPr mapId="7" xpath="/MAKE/SA/SA_SAS/Speed_Limit_Information_Function/@SLIF_Description" xmlDataType="string"/>
    </xmlCellPr>
  </singleXmlCell>
  <singleXmlCell id="1321" xr6:uid="{CB287A61-77BC-4EB7-9E2B-6B3D671704E6}" r="C256" connectionId="0">
    <xmlCellPr id="1" xr6:uid="{BFD41D0A-F795-41FD-94E6-73A1E3DC53CA}" uniqueName="Speed_Limit_Description">
      <xmlPr mapId="7" xpath="/MAKE/SA/SA_SAS/Speed_Limitation_Function/@Speed_Limit_Description" xmlDataType="string"/>
    </xmlCellPr>
  </singleXmlCell>
  <singleXmlCell id="1599" xr6:uid="{6C7D9F41-B7F3-4716-96C9-2CA38C5D6B7F}" r="C151" connectionId="0">
    <xmlCellPr id="1" xr6:uid="{262470BF-4E3E-4DBC-AC16-392378FF4C3E}" uniqueName="Colour">
      <xmlPr mapId="7" xpath="/MAKE/PP/PPUpperLegform/Upper_Legform/Plus_10/@Colour" xmlDataType="string"/>
    </xmlCellPr>
  </singleXmlCell>
  <singleXmlCell id="1600" xr6:uid="{0272008B-327A-4B9B-983A-F3BCD7DCDC05}" r="C152" connectionId="0">
    <xmlCellPr id="1" xr6:uid="{13E9A0F2-3B40-48F6-B0FD-60175236CE65}" uniqueName="Colour">
      <xmlPr mapId="7" xpath="/MAKE/PP/PPUpperLegform/Upper_Legform/Plus_9/@Colour" xmlDataType="string"/>
    </xmlCellPr>
  </singleXmlCell>
  <singleXmlCell id="1601" xr6:uid="{4985171B-36F3-42EB-ADE4-0E1F042D8B35}" r="C153" connectionId="0">
    <xmlCellPr id="1" xr6:uid="{C7D0AE31-E524-4A86-8530-71A194B0B9FA}" uniqueName="Colour">
      <xmlPr mapId="7" xpath="/MAKE/PP/PPUpperLegform/Upper_Legform/Plus_8/@Colour" xmlDataType="string"/>
    </xmlCellPr>
  </singleXmlCell>
  <singleXmlCell id="1602" xr6:uid="{763EC338-2EB5-455E-8158-9C125A0CF60E}" r="C154" connectionId="0">
    <xmlCellPr id="1" xr6:uid="{F077A5BF-3548-4ED3-A9AE-2CE9A4F6622D}" uniqueName="Colour">
      <xmlPr mapId="7" xpath="/MAKE/PP/PPUpperLegform/Upper_Legform/Plus_7/@Colour" xmlDataType="string"/>
    </xmlCellPr>
  </singleXmlCell>
  <singleXmlCell id="1603" xr6:uid="{239891C1-4F91-4ECD-90BE-00D295EF777A}" r="C155" connectionId="0">
    <xmlCellPr id="1" xr6:uid="{A1B5948B-934E-4705-9E1B-78626D92B964}" uniqueName="Colour">
      <xmlPr mapId="7" xpath="/MAKE/PP/PPUpperLegform/Upper_Legform/Plus_6/@Colour" xmlDataType="string"/>
    </xmlCellPr>
  </singleXmlCell>
  <singleXmlCell id="1604" xr6:uid="{ECDF7D3C-6297-4D0B-8E4A-52DB6C2525F6}" r="C156" connectionId="0">
    <xmlCellPr id="1" xr6:uid="{6F9610E0-4080-45EA-8234-203EC04D6240}" uniqueName="Colour">
      <xmlPr mapId="7" xpath="/MAKE/PP/PPUpperLegform/Upper_Legform/Plus_5/@Colour" xmlDataType="string"/>
    </xmlCellPr>
  </singleXmlCell>
  <singleXmlCell id="1608" xr6:uid="{C22391BD-B526-4867-8444-60C6150A37B8}" r="C157" connectionId="0">
    <xmlCellPr id="1" xr6:uid="{702DD26F-1B04-44AC-983A-B519AF4CA3D1}" uniqueName="Colour">
      <xmlPr mapId="7" xpath="/MAKE/PP/PPUpperLegform/Upper_Legform/Plus_4/@Colour" xmlDataType="string"/>
    </xmlCellPr>
  </singleXmlCell>
  <singleXmlCell id="1609" xr6:uid="{BCD6DB36-CA8D-4CAE-BFC1-17217620AF05}" r="C158" connectionId="0">
    <xmlCellPr id="1" xr6:uid="{D6AB34CA-755F-4FA5-B5A5-DAAE027C5732}" uniqueName="Colour">
      <xmlPr mapId="7" xpath="/MAKE/PP/PPUpperLegform/Upper_Legform/Plus_3/@Colour" xmlDataType="string"/>
    </xmlCellPr>
  </singleXmlCell>
  <singleXmlCell id="1611" xr6:uid="{134BFB90-AD94-4100-BCF4-CFB6A3A5AAD5}" r="C161" connectionId="0">
    <xmlCellPr id="1" xr6:uid="{970B7F92-2BFE-4CBD-8A96-47A9114BA111}" uniqueName="Colour">
      <xmlPr mapId="7" xpath="/MAKE/PP/PPUpperLegform/Upper_Legform/Zero/@Colour" xmlDataType="string"/>
    </xmlCellPr>
  </singleXmlCell>
  <singleXmlCell id="1612" xr6:uid="{B6F3D1ED-8179-47B2-9CF7-8821E46D3B96}" r="C159" connectionId="0">
    <xmlCellPr id="1" xr6:uid="{F4952350-38DF-46A6-B327-E6C179C7C8BF}" uniqueName="Colour">
      <xmlPr mapId="7" xpath="/MAKE/PP/PPUpperLegform/Upper_Legform/Plus_2/@Colour" xmlDataType="string"/>
    </xmlCellPr>
  </singleXmlCell>
  <singleXmlCell id="1613" xr6:uid="{56B23F25-700C-4D98-9211-37AD401B4968}" r="C160" connectionId="0">
    <xmlCellPr id="1" xr6:uid="{A92ADBAE-0803-48E1-875A-5E9BB8087B89}" uniqueName="Colour">
      <xmlPr mapId="7" xpath="/MAKE/PP/PPUpperLegform/Upper_Legform/Plus_1/@Colour" xmlDataType="string"/>
    </xmlCellPr>
  </singleXmlCell>
  <singleXmlCell id="1614" xr6:uid="{4E4E3C7E-CD84-4110-87AF-996F086626F3}" r="C162" connectionId="0">
    <xmlCellPr id="1" xr6:uid="{2D44BF53-0C1D-4E42-B1B1-F9208C48488E}" uniqueName="Colour">
      <xmlPr mapId="7" xpath="/MAKE/PP/PPUpperLegform/Upper_Legform/Minus_1/@Colour" xmlDataType="string"/>
    </xmlCellPr>
  </singleXmlCell>
  <singleXmlCell id="1615" xr6:uid="{45F682DB-FBEE-4E32-8630-28C493A37668}" r="C163" connectionId="0">
    <xmlCellPr id="1" xr6:uid="{9AFAD8F4-EC92-40CD-A127-EC678C8B1910}" uniqueName="Colour">
      <xmlPr mapId="7" xpath="/MAKE/PP/PPUpperLegform/Upper_Legform/Minus_2/@Colour" xmlDataType="string"/>
    </xmlCellPr>
  </singleXmlCell>
  <singleXmlCell id="1616" xr6:uid="{4E1B6E06-4AF6-45BE-B16D-974BDE89A93C}" r="C164" connectionId="0">
    <xmlCellPr id="1" xr6:uid="{4D895634-184B-4AE3-A816-E31F4DF61435}" uniqueName="Colour">
      <xmlPr mapId="7" xpath="/MAKE/PP/PPUpperLegform/Upper_Legform/Minus_3/@Colour" xmlDataType="string"/>
    </xmlCellPr>
  </singleXmlCell>
  <singleXmlCell id="1617" xr6:uid="{515581BB-3FA2-4AFF-8F45-0ACA88A2DFDB}" r="C165" connectionId="0">
    <xmlCellPr id="1" xr6:uid="{DE66BCCB-1B4F-4F1B-AF6A-0DD167362FE1}" uniqueName="Colour">
      <xmlPr mapId="7" xpath="/MAKE/PP/PPUpperLegform/Upper_Legform/Minus_4/@Colour" xmlDataType="string"/>
    </xmlCellPr>
  </singleXmlCell>
  <singleXmlCell id="1618" xr6:uid="{0CCFBB70-3C05-4227-B6B6-D6732D43AE64}" r="C166" connectionId="0">
    <xmlCellPr id="1" xr6:uid="{540C2599-7151-44B8-A1AF-19E4C8EE57C3}" uniqueName="Colour">
      <xmlPr mapId="7" xpath="/MAKE/PP/PPUpperLegform/Upper_Legform/Minus_5/@Colour" xmlDataType="string"/>
    </xmlCellPr>
  </singleXmlCell>
  <singleXmlCell id="1619" xr6:uid="{B3D66831-6E1A-4C7B-BA16-3C7F07A1EA74}" r="C167" connectionId="0">
    <xmlCellPr id="1" xr6:uid="{C59F4F56-4CE3-41F6-A5EE-EDE041F81261}" uniqueName="Colour">
      <xmlPr mapId="7" xpath="/MAKE/PP/PPUpperLegform/Upper_Legform/Minus_6/@Colour" xmlDataType="string"/>
    </xmlCellPr>
  </singleXmlCell>
  <singleXmlCell id="1620" xr6:uid="{5C651DC8-4C67-42DA-A691-AF20B88FD9D3}" r="C168" connectionId="0">
    <xmlCellPr id="1" xr6:uid="{8E0B37F0-2DB2-4B55-95B7-D64166EB91C7}" uniqueName="Colour">
      <xmlPr mapId="7" xpath="/MAKE/PP/PPUpperLegform/Upper_Legform/Minus_7/@Colour" xmlDataType="string"/>
    </xmlCellPr>
  </singleXmlCell>
  <singleXmlCell id="1621" xr6:uid="{C13765F2-D1CB-41BD-A4B6-F2B34E2A6CFE}" r="C169" connectionId="0">
    <xmlCellPr id="1" xr6:uid="{1C02EBFF-844F-4841-ACA4-2A822CC9EBAF}" uniqueName="Colour">
      <xmlPr mapId="7" xpath="/MAKE/PP/PPUpperLegform/Upper_Legform/Minus_8/@Colour" xmlDataType="string"/>
    </xmlCellPr>
  </singleXmlCell>
  <singleXmlCell id="1622" xr6:uid="{40C0470F-654B-439F-8D89-528DD301CBB0}" r="C170" connectionId="0">
    <xmlCellPr id="1" xr6:uid="{5B055705-EC75-4540-B5ED-DAAFA1930E60}" uniqueName="Colour">
      <xmlPr mapId="7" xpath="/MAKE/PP/PPUpperLegform/Upper_Legform/Minus_9/@Colour" xmlDataType="string"/>
    </xmlCellPr>
  </singleXmlCell>
  <singleXmlCell id="1623" xr6:uid="{AE1302E1-D143-49EF-9E9B-162A511B5ECC}" r="C171" connectionId="0">
    <xmlCellPr id="1" xr6:uid="{98F463AA-BEF1-410E-9BEB-39AE18BC2A05}" uniqueName="Colour">
      <xmlPr mapId="7" xpath="/MAKE/PP/PPUpperLegform/Upper_Legform/Minus_10/@Colour" xmlDataType="string"/>
    </xmlCellPr>
  </singleXmlCell>
  <singleXmlCell id="1624" xr6:uid="{093F5153-2C76-4DE2-9C8D-0ABF770F6E96}" r="C172" connectionId="0">
    <xmlCellPr id="1" xr6:uid="{F308BD04-AF93-4890-AF8F-12B1BF46C94F}" uniqueName="ROUNDED_UPPER_LEG">
      <xmlPr mapId="7" xpath="/MAKE/PP/PPUpperLegform/@ROUNDED_UPPER_LEG" xmlDataType="anyType"/>
    </xmlCellPr>
  </singleXmlCell>
  <singleXmlCell id="1625" xr6:uid="{FC537340-06F8-43D1-9444-A55083EE22D6}" r="C173" connectionId="0">
    <xmlCellPr id="1" xr6:uid="{D170F2CF-F585-4BEF-960F-116406A444F7}" uniqueName="MAX_POINTS">
      <xmlPr mapId="7" xpath="/MAKE/PP/PPUpperLegform/@MAX_POINTS" xmlDataType="integer"/>
    </xmlCellPr>
  </singleXmlCell>
  <singleXmlCell id="2008" xr6:uid="{D39AC04D-81D5-4D9A-AFE2-84A0B1F125FB}" r="C197" connectionId="0">
    <xmlCellPr id="1" xr6:uid="{5BC37A3B-87F2-4BFE-BADD-A8662F5AD901}" uniqueName="ROUNDED_PED_FEMUR">
      <xmlPr mapId="7" xpath="/MAKE/PP/PPLowerLegform/@ROUNDED_PED_FEMUR" xmlDataType="anyType"/>
    </xmlCellPr>
  </singleXmlCell>
  <singleXmlCell id="2010" xr6:uid="{CDFC8BE3-3668-421E-94D8-CB7E4422B517}" r="C222" connectionId="0">
    <xmlCellPr id="1" xr6:uid="{75C61FAE-CBA0-4103-90BB-4685CD115E0A}" uniqueName="ROUNDED_PED_KNEE_TIBIA">
      <xmlPr mapId="7" xpath="/MAKE/PP/PPLowerLegform/@ROUNDED_PED_KNEE_TIBIA" xmlDataType="anyType"/>
    </xmlCellPr>
  </singleXmlCell>
  <singleXmlCell id="2011" xr6:uid="{9E3BAA65-A189-4D33-A9F3-976E63A05967}" r="C223" connectionId="0">
    <xmlCellPr id="1" xr6:uid="{7C187C84-3342-4FD1-B5B1-89C852CA0584}" uniqueName="MAX_POINTS_PED_KNEE_TIBIA">
      <xmlPr mapId="7" xpath="/MAKE/PP/PPLowerLegform/@MAX_POINTS_PED_KNEE_TIBIA" xmlDataType="integer"/>
    </xmlCellPr>
  </singleXmlCell>
  <singleXmlCell id="2014" xr6:uid="{E0802D68-A083-4F49-A510-5BF56B1295FB}" r="C176" connectionId="0">
    <xmlCellPr id="1" xr6:uid="{502EFD50-82FB-4208-8B3C-52391874E63F}" uniqueName="Colour_Femur">
      <xmlPr mapId="7" xpath="/MAKE/PP/PPLowerLegform/Lower_Legform/Plus_10/@Colour_Femur" xmlDataType="string"/>
    </xmlCellPr>
  </singleXmlCell>
  <singleXmlCell id="2015" xr6:uid="{0B32E4AE-A963-461B-B0ED-B794A5D10830}" r="C201" connectionId="0">
    <xmlCellPr id="1" xr6:uid="{D416C033-587B-44AE-9B25-1625D5D243C5}" uniqueName="Colour_Tibia_MCL">
      <xmlPr mapId="7" xpath="/MAKE/PP/PPLowerLegform/Lower_Legform/Plus_10/@Colour_Tibia_MCL" xmlDataType="string"/>
    </xmlCellPr>
  </singleXmlCell>
  <singleXmlCell id="2016" xr6:uid="{53C90858-EBFD-471D-B225-ACF42BF3FF45}" r="C177" connectionId="0">
    <xmlCellPr id="1" xr6:uid="{26D7C3BB-1E87-453A-A2FB-9380F8330067}" uniqueName="Colour_Femur">
      <xmlPr mapId="7" xpath="/MAKE/PP/PPLowerLegform/Lower_Legform/Plus_9/@Colour_Femur" xmlDataType="string"/>
    </xmlCellPr>
  </singleXmlCell>
  <singleXmlCell id="2017" xr6:uid="{13471533-7624-4623-9E20-2EC5CA82E88E}" r="C202" connectionId="0">
    <xmlCellPr id="1" xr6:uid="{C42118BD-6884-4AAA-86B4-A832E120A412}" uniqueName="Colour_Tibia_MCL">
      <xmlPr mapId="7" xpath="/MAKE/PP/PPLowerLegform/Lower_Legform/Plus_9/@Colour_Tibia_MCL" xmlDataType="string"/>
    </xmlCellPr>
  </singleXmlCell>
  <singleXmlCell id="2018" xr6:uid="{9469EC5E-F5D7-4669-A67C-FE95B9E0DE1B}" r="C178" connectionId="0">
    <xmlCellPr id="1" xr6:uid="{F6A49B88-1EFF-40F7-8358-9D95D9A27993}" uniqueName="Colour_Femur">
      <xmlPr mapId="7" xpath="/MAKE/PP/PPLowerLegform/Lower_Legform/Plus_8/@Colour_Femur" xmlDataType="string"/>
    </xmlCellPr>
  </singleXmlCell>
  <singleXmlCell id="2019" xr6:uid="{2E6AA696-D4E3-4B5A-920C-0F66C7590BAC}" r="C203" connectionId="0">
    <xmlCellPr id="1" xr6:uid="{ECB5325B-14EB-435A-8EEE-21DA126838E0}" uniqueName="Colour_Tibia_MCL">
      <xmlPr mapId="7" xpath="/MAKE/PP/PPLowerLegform/Lower_Legform/Plus_8/@Colour_Tibia_MCL" xmlDataType="string"/>
    </xmlCellPr>
  </singleXmlCell>
  <singleXmlCell id="2020" xr6:uid="{A07A11B4-501E-426D-9B88-21DA24BC3E18}" r="C179" connectionId="0">
    <xmlCellPr id="1" xr6:uid="{D2FC7D85-13D9-407F-A7EE-A14146A86161}" uniqueName="Colour_Femur">
      <xmlPr mapId="7" xpath="/MAKE/PP/PPLowerLegform/Lower_Legform/Plus_7/@Colour_Femur" xmlDataType="string"/>
    </xmlCellPr>
  </singleXmlCell>
  <singleXmlCell id="2021" xr6:uid="{95163B1D-1C3B-41D3-BA04-C6CF8ABFF384}" r="C204" connectionId="0">
    <xmlCellPr id="1" xr6:uid="{E030A22F-FBE4-4C1F-8249-37225D33C49E}" uniqueName="Colour_Tibia_MCL">
      <xmlPr mapId="7" xpath="/MAKE/PP/PPLowerLegform/Lower_Legform/Plus_7/@Colour_Tibia_MCL" xmlDataType="string"/>
    </xmlCellPr>
  </singleXmlCell>
  <singleXmlCell id="2022" xr6:uid="{B161CF43-77B0-41DF-981E-EA29AD9C0397}" r="C180" connectionId="0">
    <xmlCellPr id="1" xr6:uid="{9A489D88-906C-47C7-A819-392DDC7E84D0}" uniqueName="Colour_Femur">
      <xmlPr mapId="7" xpath="/MAKE/PP/PPLowerLegform/Lower_Legform/Plus_6/@Colour_Femur" xmlDataType="string"/>
    </xmlCellPr>
  </singleXmlCell>
  <singleXmlCell id="2023" xr6:uid="{42A3E26E-1737-4CA2-BF5F-42114D7F91E1}" r="C205" connectionId="0">
    <xmlCellPr id="1" xr6:uid="{FC138A4D-D57F-43E8-BBC6-B0EBD1FEC021}" uniqueName="Colour_Tibia_MCL">
      <xmlPr mapId="7" xpath="/MAKE/PP/PPLowerLegform/Lower_Legform/Plus_6/@Colour_Tibia_MCL" xmlDataType="string"/>
    </xmlCellPr>
  </singleXmlCell>
  <singleXmlCell id="2024" xr6:uid="{A5422B69-2177-468E-BB57-7B3DB103F44D}" r="C181" connectionId="0">
    <xmlCellPr id="1" xr6:uid="{CD544009-E73C-4BD6-8DB9-7826F00E4576}" uniqueName="Colour_Femur">
      <xmlPr mapId="7" xpath="/MAKE/PP/PPLowerLegform/Lower_Legform/Plus_5/@Colour_Femur" xmlDataType="string"/>
    </xmlCellPr>
  </singleXmlCell>
  <singleXmlCell id="2025" xr6:uid="{EBF84B61-D8E1-4A25-9CCE-9737D06D4C3F}" r="C206" connectionId="0">
    <xmlCellPr id="1" xr6:uid="{A4C823C5-A308-4968-AF53-FD715FF73A6C}" uniqueName="Colour_Tibia_MCL">
      <xmlPr mapId="7" xpath="/MAKE/PP/PPLowerLegform/Lower_Legform/Plus_5/@Colour_Tibia_MCL" xmlDataType="string"/>
    </xmlCellPr>
  </singleXmlCell>
  <singleXmlCell id="2026" xr6:uid="{5A09D5DE-3337-4161-88CE-C7AD7A2926FE}" r="C182" connectionId="0">
    <xmlCellPr id="1" xr6:uid="{25F0CDEB-C084-467B-8AC2-8E3DB381C9C7}" uniqueName="Colour_Femur">
      <xmlPr mapId="7" xpath="/MAKE/PP/PPLowerLegform/Lower_Legform/Plus_4/@Colour_Femur" xmlDataType="string"/>
    </xmlCellPr>
  </singleXmlCell>
  <singleXmlCell id="2027" xr6:uid="{E37BFCB6-A3CC-4828-8199-2322995CE273}" r="C207" connectionId="0">
    <xmlCellPr id="1" xr6:uid="{9EF0EECE-2A6D-42A9-B8EA-60549CBC784B}" uniqueName="Colour_Tibia_MCL">
      <xmlPr mapId="7" xpath="/MAKE/PP/PPLowerLegform/Lower_Legform/Plus_4/@Colour_Tibia_MCL" xmlDataType="string"/>
    </xmlCellPr>
  </singleXmlCell>
  <singleXmlCell id="2028" xr6:uid="{84115D60-CE76-42EF-88CD-CD0A68D3B6AC}" r="C183" connectionId="0">
    <xmlCellPr id="1" xr6:uid="{A9179B21-74AE-4DA2-84DA-C93B79365EFF}" uniqueName="Colour_Femur">
      <xmlPr mapId="7" xpath="/MAKE/PP/PPLowerLegform/Lower_Legform/Plus_3/@Colour_Femur" xmlDataType="string"/>
    </xmlCellPr>
  </singleXmlCell>
  <singleXmlCell id="2029" xr6:uid="{6979F354-F02D-40CE-98E1-655D0AEB07CF}" r="C208" connectionId="0">
    <xmlCellPr id="1" xr6:uid="{5C79A915-203A-42E9-8630-77702A3A63B4}" uniqueName="Colour_Tibia_MCL">
      <xmlPr mapId="7" xpath="/MAKE/PP/PPLowerLegform/Lower_Legform/Plus_3/@Colour_Tibia_MCL" xmlDataType="string"/>
    </xmlCellPr>
  </singleXmlCell>
  <singleXmlCell id="2030" xr6:uid="{D5B14723-CE3F-4B12-A98C-7064D62D6185}" r="C184" connectionId="0">
    <xmlCellPr id="1" xr6:uid="{D40E8549-86AF-4398-BE4A-A75FBEB2178D}" uniqueName="Colour_Femur">
      <xmlPr mapId="7" xpath="/MAKE/PP/PPLowerLegform/Lower_Legform/Plus_2/@Colour_Femur" xmlDataType="string"/>
    </xmlCellPr>
  </singleXmlCell>
  <singleXmlCell id="2031" xr6:uid="{A94541C2-BFD9-4A8B-A580-478CC9D62290}" r="C209" connectionId="0">
    <xmlCellPr id="1" xr6:uid="{B1910583-9458-48DB-BD7D-1F86D0B0018E}" uniqueName="Colour_Tibia_MCL">
      <xmlPr mapId="7" xpath="/MAKE/PP/PPLowerLegform/Lower_Legform/Plus_2/@Colour_Tibia_MCL" xmlDataType="string"/>
    </xmlCellPr>
  </singleXmlCell>
  <singleXmlCell id="2032" xr6:uid="{54511709-353E-4468-8ED1-E113C873ADB2}" r="C185" connectionId="0">
    <xmlCellPr id="1" xr6:uid="{AE8D7350-E93F-4DEE-BC92-6C9CBBE0E223}" uniqueName="Colour_Femur">
      <xmlPr mapId="7" xpath="/MAKE/PP/PPLowerLegform/Lower_Legform/Plus_1/@Colour_Femur" xmlDataType="string"/>
    </xmlCellPr>
  </singleXmlCell>
  <singleXmlCell id="2033" xr6:uid="{614A17F4-FE49-4B46-8994-C8108CD9B88F}" r="C210" connectionId="0">
    <xmlCellPr id="1" xr6:uid="{D11048B7-7EC2-4C18-9BEA-74151522B6E4}" uniqueName="Colour_Tibia_MCL">
      <xmlPr mapId="7" xpath="/MAKE/PP/PPLowerLegform/Lower_Legform/Plus_1/@Colour_Tibia_MCL" xmlDataType="string"/>
    </xmlCellPr>
  </singleXmlCell>
  <singleXmlCell id="2034" xr6:uid="{1AFC5FFF-6F7F-4BF4-9024-DD21C6638809}" r="C186" connectionId="0">
    <xmlCellPr id="1" xr6:uid="{892D8F8D-252F-429E-B4AC-1A3B85132001}" uniqueName="Colour_Femur">
      <xmlPr mapId="7" xpath="/MAKE/PP/PPLowerLegform/Lower_Legform/Zero/@Colour_Femur" xmlDataType="string"/>
    </xmlCellPr>
  </singleXmlCell>
  <singleXmlCell id="2035" xr6:uid="{A5FA021E-8CD9-42E6-9C4F-B6209F9AAF95}" r="C211" connectionId="0">
    <xmlCellPr id="1" xr6:uid="{5A91A6EA-6D7C-4BAB-82F5-C50F1D2E419A}" uniqueName="Colour_Tibia_MCL">
      <xmlPr mapId="7" xpath="/MAKE/PP/PPLowerLegform/Lower_Legform/Zero/@Colour_Tibia_MCL" xmlDataType="string"/>
    </xmlCellPr>
  </singleXmlCell>
  <singleXmlCell id="2036" xr6:uid="{AA680209-0691-4012-907A-2E6B86EA2757}" r="C187" connectionId="0">
    <xmlCellPr id="1" xr6:uid="{26A61E66-5D00-4073-9BA3-DABD0B0CC42E}" uniqueName="Colour_Femur">
      <xmlPr mapId="7" xpath="/MAKE/PP/PPLowerLegform/Lower_Legform/Minus_1/@Colour_Femur" xmlDataType="string"/>
    </xmlCellPr>
  </singleXmlCell>
  <singleXmlCell id="2037" xr6:uid="{8C0F4065-0520-44AD-A98D-69363E885AC9}" r="C212" connectionId="0">
    <xmlCellPr id="1" xr6:uid="{AD9FBB8E-2FA3-4A6F-9C98-53206E0B4D10}" uniqueName="Colour_Tibia_MCL">
      <xmlPr mapId="7" xpath="/MAKE/PP/PPLowerLegform/Lower_Legform/Minus_1/@Colour_Tibia_MCL" xmlDataType="string"/>
    </xmlCellPr>
  </singleXmlCell>
  <singleXmlCell id="2038" xr6:uid="{8B4164DD-131A-4239-80E2-5C56B6DD3AA7}" r="C188" connectionId="0">
    <xmlCellPr id="1" xr6:uid="{14B6245F-A62E-4B2C-810C-07317866593A}" uniqueName="Colour_Femur">
      <xmlPr mapId="7" xpath="/MAKE/PP/PPLowerLegform/Lower_Legform/Minus_2/@Colour_Femur" xmlDataType="string"/>
    </xmlCellPr>
  </singleXmlCell>
  <singleXmlCell id="2039" xr6:uid="{B18C813F-C907-4E10-9389-09B58613BCFA}" r="C213" connectionId="0">
    <xmlCellPr id="1" xr6:uid="{E74A3C0A-CD37-4D77-86B7-85A3212065A1}" uniqueName="Colour_Tibia_MCL">
      <xmlPr mapId="7" xpath="/MAKE/PP/PPLowerLegform/Lower_Legform/Minus_2/@Colour_Tibia_MCL" xmlDataType="string"/>
    </xmlCellPr>
  </singleXmlCell>
  <singleXmlCell id="2040" xr6:uid="{AFCE6E03-F266-4605-8474-8D40E8580AE6}" r="C189" connectionId="0">
    <xmlCellPr id="1" xr6:uid="{7C5B1011-D794-4F13-A330-4792E9E50A96}" uniqueName="Colour_Femur">
      <xmlPr mapId="7" xpath="/MAKE/PP/PPLowerLegform/Lower_Legform/Minus_3/@Colour_Femur" xmlDataType="string"/>
    </xmlCellPr>
  </singleXmlCell>
  <singleXmlCell id="2041" xr6:uid="{60302A12-B907-4DE0-92A8-2064DA1D80E8}" r="C214" connectionId="0">
    <xmlCellPr id="1" xr6:uid="{8C231DCC-1F0A-4A84-974E-13B2DF42D658}" uniqueName="Colour_Tibia_MCL">
      <xmlPr mapId="7" xpath="/MAKE/PP/PPLowerLegform/Lower_Legform/Minus_3/@Colour_Tibia_MCL" xmlDataType="string"/>
    </xmlCellPr>
  </singleXmlCell>
  <singleXmlCell id="2042" xr6:uid="{ACAB1931-FE76-4DB1-A057-7F365C190F4D}" r="C190" connectionId="0">
    <xmlCellPr id="1" xr6:uid="{D373E287-2032-4198-B113-A18E1C6ACDE8}" uniqueName="Colour_Femur">
      <xmlPr mapId="7" xpath="/MAKE/PP/PPLowerLegform/Lower_Legform/Minus_4/@Colour_Femur" xmlDataType="string"/>
    </xmlCellPr>
  </singleXmlCell>
  <singleXmlCell id="2043" xr6:uid="{4973138D-9ABB-4429-BBEC-9A7C611D0A77}" r="C215" connectionId="0">
    <xmlCellPr id="1" xr6:uid="{93A2E1B9-18A1-424F-90F8-5142019117F0}" uniqueName="Colour_Tibia_MCL">
      <xmlPr mapId="7" xpath="/MAKE/PP/PPLowerLegform/Lower_Legform/Minus_4/@Colour_Tibia_MCL" xmlDataType="string"/>
    </xmlCellPr>
  </singleXmlCell>
  <singleXmlCell id="2044" xr6:uid="{B378592E-8BD4-417F-9AF1-91DBBE966434}" r="C191" connectionId="0">
    <xmlCellPr id="1" xr6:uid="{493B8049-5A27-4CE6-AF57-81D026B97902}" uniqueName="Colour_Femur">
      <xmlPr mapId="7" xpath="/MAKE/PP/PPLowerLegform/Lower_Legform/Minus_5/@Colour_Femur" xmlDataType="string"/>
    </xmlCellPr>
  </singleXmlCell>
  <singleXmlCell id="2045" xr6:uid="{D51B2664-88D5-48B2-BDC9-D6DD88459A0D}" r="C216" connectionId="0">
    <xmlCellPr id="1" xr6:uid="{6BB89CB4-FDE0-4DC1-82C8-3DBF241B1F5E}" uniqueName="Colour_Tibia_MCL">
      <xmlPr mapId="7" xpath="/MAKE/PP/PPLowerLegform/Lower_Legform/Minus_5/@Colour_Tibia_MCL" xmlDataType="string"/>
    </xmlCellPr>
  </singleXmlCell>
  <singleXmlCell id="2046" xr6:uid="{D5471546-A046-4D8D-ADF2-168B6ED1833D}" r="C192" connectionId="0">
    <xmlCellPr id="1" xr6:uid="{4CAA250B-CA7A-488F-8870-AB0E3393D121}" uniqueName="Colour_Femur">
      <xmlPr mapId="7" xpath="/MAKE/PP/PPLowerLegform/Lower_Legform/Minus_6/@Colour_Femur" xmlDataType="string"/>
    </xmlCellPr>
  </singleXmlCell>
  <singleXmlCell id="2047" xr6:uid="{011D3785-480D-41A9-9D50-EBF20051AD67}" r="C217" connectionId="0">
    <xmlCellPr id="1" xr6:uid="{E6FBF196-2650-42CD-99FB-805FED3F6DFC}" uniqueName="Colour_Tibia_MCL">
      <xmlPr mapId="7" xpath="/MAKE/PP/PPLowerLegform/Lower_Legform/Minus_6/@Colour_Tibia_MCL" xmlDataType="string"/>
    </xmlCellPr>
  </singleXmlCell>
  <singleXmlCell id="2048" xr6:uid="{127BE76F-0CAD-45C7-99A2-E0007A45C22C}" r="C193" connectionId="0">
    <xmlCellPr id="1" xr6:uid="{B59077CF-4519-4E6F-871D-CE562E4F042A}" uniqueName="Colour_Femur">
      <xmlPr mapId="7" xpath="/MAKE/PP/PPLowerLegform/Lower_Legform/Minus_7/@Colour_Femur" xmlDataType="string"/>
    </xmlCellPr>
  </singleXmlCell>
  <singleXmlCell id="2049" xr6:uid="{1A4B65A1-46B1-4508-B7BB-DB444BF3A96B}" r="C218" connectionId="0">
    <xmlCellPr id="1" xr6:uid="{82967452-733B-4D7C-89A1-5EA864E2503E}" uniqueName="Colour_Tibia_MCL">
      <xmlPr mapId="7" xpath="/MAKE/PP/PPLowerLegform/Lower_Legform/Minus_7/@Colour_Tibia_MCL" xmlDataType="string"/>
    </xmlCellPr>
  </singleXmlCell>
  <singleXmlCell id="2050" xr6:uid="{AEF24A00-C4A8-4F8D-8D21-16035207F4EC}" r="C194" connectionId="0">
    <xmlCellPr id="1" xr6:uid="{222D6F2F-47EA-453E-AB1B-7722DC114654}" uniqueName="Colour_Femur">
      <xmlPr mapId="7" xpath="/MAKE/PP/PPLowerLegform/Lower_Legform/Minus_8/@Colour_Femur" xmlDataType="string"/>
    </xmlCellPr>
  </singleXmlCell>
  <singleXmlCell id="2051" xr6:uid="{0A921F9A-9533-446A-B72B-3D3E557693B3}" r="C219" connectionId="0">
    <xmlCellPr id="1" xr6:uid="{E0A02A07-7865-4E02-8A1B-0DF17D0EFAEE}" uniqueName="Colour_Tibia_MCL">
      <xmlPr mapId="7" xpath="/MAKE/PP/PPLowerLegform/Lower_Legform/Minus_8/@Colour_Tibia_MCL" xmlDataType="string"/>
    </xmlCellPr>
  </singleXmlCell>
  <singleXmlCell id="2052" xr6:uid="{55AB5929-E4A0-4073-8D0F-6EFA6031C591}" r="C195" connectionId="0">
    <xmlCellPr id="1" xr6:uid="{22A38A64-1F7E-4B47-8D7A-37963A59BE85}" uniqueName="Colour_Femur">
      <xmlPr mapId="7" xpath="/MAKE/PP/PPLowerLegform/Lower_Legform/Minus_9/@Colour_Femur" xmlDataType="string"/>
    </xmlCellPr>
  </singleXmlCell>
  <singleXmlCell id="2053" xr6:uid="{71F08E77-73BE-45C9-9663-A2D1BB9C3611}" r="C220" connectionId="0">
    <xmlCellPr id="1" xr6:uid="{12FAF991-81AF-4175-AC17-B524E93602D8}" uniqueName="Colour_Tibia_MCL">
      <xmlPr mapId="7" xpath="/MAKE/PP/PPLowerLegform/Lower_Legform/Minus_9/@Colour_Tibia_MCL" xmlDataType="string"/>
    </xmlCellPr>
  </singleXmlCell>
  <singleXmlCell id="2054" xr6:uid="{2EA0BFCF-E47F-4A55-9571-E6E273FAF013}" r="C196" connectionId="0">
    <xmlCellPr id="1" xr6:uid="{F871E78E-8F5F-4E9E-A0D0-97A492230FB8}" uniqueName="Colour_Femur">
      <xmlPr mapId="7" xpath="/MAKE/PP/PPLowerLegform/Lower_Legform/Minus_10/@Colour_Femur" xmlDataType="string"/>
    </xmlCellPr>
  </singleXmlCell>
  <singleXmlCell id="2055" xr6:uid="{06EF017B-8141-46C1-A8E4-8D9C930BDC35}" r="C221" connectionId="0">
    <xmlCellPr id="1" xr6:uid="{042E54F2-BBAE-406C-981E-76DFD1F6B6CC}" uniqueName="Colour_Tibia_MCL">
      <xmlPr mapId="7" xpath="/MAKE/PP/PPLowerLegform/Lower_Legform/Minus_10/@Colour_Tibia_MCL" xmlDataType="string"/>
    </xmlCellPr>
  </singleXmlCell>
  <singleXmlCell id="1912" xr6:uid="{6B1CE0D4-359A-460D-968E-B8CC84223D42}" r="C7" connectionId="0">
    <xmlCellPr id="1" xr6:uid="{6F02CD16-AD20-48F5-A892-427CE85AD744}" uniqueName="Frontal_Points">
      <xmlPr mapId="7" xpath="/MAKE/AOP/@Frontal_Points" xmlDataType="decimal"/>
    </xmlCellPr>
  </singleXmlCell>
  <singleXmlCell id="1930" xr6:uid="{D30FA550-3D4D-448F-9FDB-D4482133B863}" r="C8" connectionId="0">
    <xmlCellPr id="1" xr6:uid="{54F03AA5-0463-491A-B494-7CAD1885A904}" uniqueName="Frontal_Max_Points">
      <xmlPr mapId="7" xpath="/MAKE/AOP/@Frontal_Max_Points" xmlDataType="decimal"/>
    </xmlCellPr>
  </singleXmlCell>
  <singleXmlCell id="1931" xr6:uid="{BD50A59A-658F-4CCC-B222-C8FD2A996DB2}" r="C9" connectionId="0">
    <xmlCellPr id="1" xr6:uid="{9C81E344-7E87-45CE-882A-AEBFE2C4C068}" uniqueName="Frontal_Colour">
      <xmlPr mapId="7" xpath="/MAKE/AOP/@Frontal_Colour" xmlDataType="string"/>
    </xmlCellPr>
  </singleXmlCell>
  <singleXmlCell id="1949" xr6:uid="{0113BB1C-1FF9-460E-BC3D-B2015BA61865}" r="C10" connectionId="0">
    <xmlCellPr id="1" xr6:uid="{49C338D9-AC4C-42C4-8F82-8D76972D8A88}" uniqueName="Lateral_Points">
      <xmlPr mapId="7" xpath="/MAKE/AOP/@Lateral_Points" xmlDataType="decimal"/>
    </xmlCellPr>
  </singleXmlCell>
  <singleXmlCell id="1950" xr6:uid="{09C71037-68C3-4710-8627-830DC30BCBE9}" r="C11" connectionId="0">
    <xmlCellPr id="1" xr6:uid="{379EF6D3-13FF-4A33-8981-11AFFD105B5B}" uniqueName="Lateral_Max_Points">
      <xmlPr mapId="7" xpath="/MAKE/AOP/@Lateral_Max_Points" xmlDataType="decimal"/>
    </xmlCellPr>
  </singleXmlCell>
  <singleXmlCell id="1968" xr6:uid="{EBD98FE1-F4CA-4EEF-B9ED-BCB42DD420B8}" r="C12" connectionId="0">
    <xmlCellPr id="1" xr6:uid="{2C1943A0-05FF-41C4-BBCD-A6293D0FEA96}" uniqueName="Lateral_Colour">
      <xmlPr mapId="7" xpath="/MAKE/AOP/@Lateral_Colour" xmlDataType="string"/>
    </xmlCellPr>
  </singleXmlCell>
  <singleXmlCell id="1969" xr6:uid="{8E71440A-FA85-4AFA-BBC3-2B4D5932FE6F}" r="C13" connectionId="0">
    <xmlCellPr id="1" xr6:uid="{B06B24A3-9D86-4A08-908B-498BD6092D4D}" uniqueName="Rear_Points">
      <xmlPr mapId="7" xpath="/MAKE/AOP/@Rear_Points" xmlDataType="decimal"/>
    </xmlCellPr>
  </singleXmlCell>
  <singleXmlCell id="1987" xr6:uid="{7ACAF3BC-CD6F-4B08-BDA7-2080B3BE72E1}" r="C14" connectionId="0">
    <xmlCellPr id="1" xr6:uid="{509EDA68-6EAC-4957-BA46-53C5AAAA56A2}" uniqueName="Rear_Max_Points">
      <xmlPr mapId="7" xpath="/MAKE/AOP/@Rear_Max_Points" xmlDataType="decimal"/>
    </xmlCellPr>
  </singleXmlCell>
  <singleXmlCell id="1988" xr6:uid="{1D7F7C9A-21B5-456F-8353-89A18B68059F}" r="C15" connectionId="0">
    <xmlCellPr id="1" xr6:uid="{D67299A8-E573-481E-BA0E-48286A3EEFDF}" uniqueName="Rear_Colour">
      <xmlPr mapId="7" xpath="/MAKE/AOP/@Rear_Colour" xmlDataType="string"/>
    </xmlCellPr>
  </singleXmlCell>
  <singleXmlCell id="2007" xr6:uid="{58D80EC0-D101-418C-A52D-2493B95647D8}" r="C32" connectionId="0">
    <xmlCellPr id="1" xr6:uid="{354ED6BE-52F7-4E9D-A305-8A73B5EDD8CE}" uniqueName="ROUNDED_FRONTAL_MPDB">
      <xmlPr mapId="7" xpath="/MAKE/AOP/AOP_Frontal_MPDB/@ROUNDED_FRONTAL_MPDB" xmlDataType="decimal"/>
    </xmlCellPr>
  </singleXmlCell>
  <singleXmlCell id="2013" xr6:uid="{48632437-5953-4212-B69F-EC3A2D4FBAA0}" r="C33" connectionId="0">
    <xmlCellPr id="1" xr6:uid="{4CDDFE7E-3C66-4AFB-BB17-927A9C67E9DA}" uniqueName="MAX_POINTS">
      <xmlPr mapId="7" xpath="/MAKE/AOP/AOP_Frontal_MPDB/@MAX_POINTS" xmlDataType="integer"/>
    </xmlCellPr>
  </singleXmlCell>
  <singleXmlCell id="2061" xr6:uid="{C82465FF-3B3A-487F-8274-5FE9FA2ECDD9}" r="C4" connectionId="0">
    <xmlCellPr id="1" xr6:uid="{082D97F8-B34E-4540-915B-932AFD459289}" uniqueName="MPDB_Car_Image_Type">
      <xmlPr mapId="7" xpath="/MAKE/AOP/AOP_Frontal_MPDB/@MPDB_Car_Image_Type" xmlDataType="string"/>
    </xmlCellPr>
  </singleXmlCell>
  <singleXmlCell id="2062" xr6:uid="{6F710C8E-339B-4E64-84BD-2CCA59CF3CBB}" r="C3" connectionId="0">
    <xmlCellPr id="1" xr6:uid="{8C4E4344-CA6F-4DAA-9FC9-C7853BED4BA2}" uniqueName="Fitment">
      <xmlPr mapId="7" xpath="/MAKE/GENERAL/SAFETY_EQUIPMENT/PEDESTRIAN/AEB_VRU/@Fitment" xmlDataType="string"/>
    </xmlCellPr>
  </singleXmlCell>
  <singleXmlCell id="2063" xr6:uid="{B57F59A6-AD40-49B5-844A-EFA26DA4C4A9}" r="C2" connectionId="0">
    <xmlCellPr id="1" xr6:uid="{D92221A7-FCD1-441C-B919-2BB3A1CBD87C}" uniqueName="Fitment">
      <xmlPr mapId="7" xpath="/MAKE/GENERAL/SAFETY_EQUIPMENT/PEDESTRIAN/ACTIVE_PEDESTRIAN_SYSTEM/@Fitment" xmlDataType="anyType"/>
    </xmlCellPr>
  </singleXmlCell>
  <singleXmlCell id="2064" xr6:uid="{93273E1A-A84C-42E1-A87B-161E80C51C44}" r="D22" connectionId="0">
    <xmlCellPr id="1" xr6:uid="{7C4CA384-BEB6-48CE-B655-8F94B2078744}" uniqueName="Driver_Colour">
      <xmlPr mapId="7" xpath="/MAKE/AOP/AOP_Frontal_MPDB/Head_and_Neck_assessment/Head_assessment/@Driver_Colour" xmlDataType="string"/>
    </xmlCellPr>
  </singleXmlCell>
  <singleXmlCell id="2065" xr6:uid="{5DDC1364-7723-4DEA-94F1-3C90F65B4FB8}" r="F22" connectionId="0">
    <xmlCellPr id="1" xr6:uid="{A5653282-A435-4406-B129-A2FF794F91FF}" uniqueName="Passenger_Colour">
      <xmlPr mapId="7" xpath="/MAKE/AOP/AOP_Frontal_MPDB/Head_and_Neck_assessment/Head_assessment/@Passenger_Colour" xmlDataType="string"/>
    </xmlCellPr>
  </singleXmlCell>
  <singleXmlCell id="2066" xr6:uid="{0A045C35-54FA-4D2E-9214-F96E9B17F45E}" r="D23" connectionId="0">
    <xmlCellPr id="1" xr6:uid="{8412C9DC-01EE-42BC-9C1A-30D8CAD91A9F}" uniqueName="Driver_Colour">
      <xmlPr mapId="7" xpath="/MAKE/AOP/AOP_Frontal_MPDB/Head_and_Neck_assessment/Neck_assessment/@Driver_Colour" xmlDataType="string"/>
    </xmlCellPr>
  </singleXmlCell>
  <singleXmlCell id="2067" xr6:uid="{1B5012E2-0F8F-46A3-8A31-22AE3E5702F3}" r="F23" connectionId="0">
    <xmlCellPr id="1" xr6:uid="{74BA9D14-C923-4139-8F1A-A680AB6C5066}" uniqueName="Passenger_Colour">
      <xmlPr mapId="7" xpath="/MAKE/AOP/AOP_Frontal_MPDB/Head_and_Neck_assessment/Neck_assessment/@Passenger_Colour" xmlDataType="string"/>
    </xmlCellPr>
  </singleXmlCell>
  <singleXmlCell id="2070" xr6:uid="{5CF4B140-2744-4F2A-9CF9-CD2ED9402169}" r="D25" connectionId="0">
    <xmlCellPr id="1" xr6:uid="{13022826-2ED8-46A7-BCB6-B88064B9FC0E}" uniqueName="Driver_Colour">
      <xmlPr mapId="7" xpath="/MAKE/AOP/AOP_Frontal_MPDB/Chest_and_Abdomen_assessment/Abdomen/@Driver_Colour" xmlDataType="string"/>
    </xmlCellPr>
  </singleXmlCell>
  <singleXmlCell id="2071" xr6:uid="{8FF108EB-2FE0-49D1-814D-05465F2FAE9E}" r="D26" connectionId="0">
    <xmlCellPr id="1" xr6:uid="{0F98DE14-326E-49F9-A34C-78C3F003A21B}" uniqueName="Driver_Colour">
      <xmlPr mapId="7" xpath="/MAKE/AOP/AOP_Frontal_MPDB/Knee_Femur_and_Pelvis_assessment/Pelvis/@Driver_Colour" xmlDataType="string"/>
    </xmlCellPr>
  </singleXmlCell>
  <singleXmlCell id="2072" xr6:uid="{48E3072E-6024-4B64-9614-1E1A0A913F46}" r="D27" connectionId="0">
    <xmlCellPr id="1" xr6:uid="{83CD9E6C-1ED4-41D5-A216-9744EC31DEE3}" uniqueName="Driver_Colour">
      <xmlPr mapId="7" xpath="/MAKE/AOP/AOP_Frontal_MPDB/Knee_Femur_and_Pelvis_assessment/Left_Knee_Femur_and_Pelvis_assessment/@Driver_Colour" xmlDataType="string"/>
    </xmlCellPr>
  </singleXmlCell>
  <singleXmlCell id="2073" xr6:uid="{6D91B9D8-9290-4C4D-B08D-221D32A863BB}" r="F27" connectionId="0">
    <xmlCellPr id="1" xr6:uid="{BB85D390-2477-41FB-A72D-A42301D979D0}" uniqueName="Passenger_Colour">
      <xmlPr mapId="7" xpath="/MAKE/AOP/AOP_Frontal_MPDB/Knee_Femur_and_Pelvis_assessment/Left_Knee_Femur_and_Pelvis_assessment/@Passenger_Colour" xmlDataType="string"/>
    </xmlCellPr>
  </singleXmlCell>
  <singleXmlCell id="2074" xr6:uid="{C8CBD506-E184-400E-8D54-9343BFD3E074}" r="D28" connectionId="0">
    <xmlCellPr id="1" xr6:uid="{7D7F66DF-6162-4C78-959E-37E84B8B5138}" uniqueName="Driver_Colour">
      <xmlPr mapId="7" xpath="/MAKE/AOP/AOP_Frontal_MPDB/Knee_Femur_and_Pelvis_assessment/Right_Knee_Femur_and_Pelvis_assessment/@Driver_Colour" xmlDataType="string"/>
    </xmlCellPr>
  </singleXmlCell>
  <singleXmlCell id="2075" xr6:uid="{278C8A72-296C-4026-B3DF-E6BB27C1382C}" r="F28" connectionId="0">
    <xmlCellPr id="1" xr6:uid="{B4F08B91-9019-4C33-866C-7869D03E6AF3}" uniqueName="Passenger_Colour">
      <xmlPr mapId="7" xpath="/MAKE/AOP/AOP_Frontal_MPDB/Knee_Femur_and_Pelvis_assessment/Right_Knee_Femur_and_Pelvis_assessment/@Passenger_Colour" xmlDataType="string"/>
    </xmlCellPr>
  </singleXmlCell>
  <singleXmlCell id="2076" xr6:uid="{5684B666-1ED5-4D10-8951-FD1877213A03}" r="D29" connectionId="0">
    <xmlCellPr id="1" xr6:uid="{74B963D5-4410-4C82-BDFD-583FA33B7BBF}" uniqueName="Driver_Colour">
      <xmlPr mapId="7" xpath="/MAKE/AOP/AOP_Frontal_MPDB/Lower_Leg_Foot_and_Ankle_assessment/Left_Lower_Leg_assessment/@Driver_Colour" xmlDataType="string"/>
    </xmlCellPr>
  </singleXmlCell>
  <singleXmlCell id="2077" xr6:uid="{36B0203D-3BAC-47ED-95A4-ED39C2637BA2}" r="F29" connectionId="0">
    <xmlCellPr id="1" xr6:uid="{3541FF94-41A8-4429-9082-94D6CDCA27EE}" uniqueName="Passenger_Colour">
      <xmlPr mapId="7" xpath="/MAKE/AOP/AOP_Frontal_MPDB/Lower_Leg_Foot_and_Ankle_assessment/Left_Lower_Leg_assessment/@Passenger_Colour" xmlDataType="string"/>
    </xmlCellPr>
  </singleXmlCell>
  <singleXmlCell id="2080" xr6:uid="{F05F001E-08CA-4A26-B877-EF887EFDC983}" r="D31" connectionId="0">
    <xmlCellPr id="1" xr6:uid="{3126946A-8E80-4E36-8CDE-5DE1F517D8B0}" uniqueName="Driver_Colour">
      <xmlPr mapId="7" xpath="/MAKE/AOP/AOP_Frontal_MPDB/Lower_Leg_Foot_and_Ankle_assessment/Foot_and_Ankle_assessment/@Driver_Colour" xmlDataType="string"/>
    </xmlCellPr>
  </singleXmlCell>
  <singleXmlCell id="2136" xr6:uid="{CED46B56-682F-4A9E-A5E4-75A0934EC84F}" r="D24" connectionId="0">
    <xmlCellPr id="1" xr6:uid="{0B78AA51-C395-4A13-AF5D-A78F2921DFBC}" uniqueName="Driver_Colour">
      <xmlPr mapId="7" xpath="/MAKE/AOP/AOP_Frontal_MPDB/Chest_and_Abdomen_assessment/Chest_assessment/@Driver_Colour" xmlDataType="string"/>
    </xmlCellPr>
  </singleXmlCell>
  <singleXmlCell id="2137" xr6:uid="{384AB0E0-02FD-4694-98F3-CDBB7E99816C}" r="F24" connectionId="0">
    <xmlCellPr id="1" xr6:uid="{4D96BC26-421D-4E4B-A1A1-3205982A1C8F}" uniqueName="Passenger_Colour">
      <xmlPr mapId="7" xpath="/MAKE/AOP/AOP_Frontal_MPDB/Chest_and_Abdomen_assessment/Chest_assessment/@Passenger_Colour" xmlDataType="string"/>
    </xmlCellPr>
  </singleXmlCell>
  <singleXmlCell id="2273" xr6:uid="{93FFDE6E-1ADC-4FE9-88E8-A560E822ECAE}" r="D30" connectionId="0">
    <xmlCellPr id="1" xr6:uid="{93869B9A-F63A-4809-840D-A0C6623D9967}" uniqueName="Driver_Colour">
      <xmlPr mapId="7" xpath="/MAKE/AOP/AOP_Frontal_MPDB/Lower_Leg_Foot_and_Ankle_assessment/Right_Lower_Leg_assessment/@Driver_Colour" xmlDataType="string"/>
    </xmlCellPr>
  </singleXmlCell>
  <singleXmlCell id="2274" xr6:uid="{852EF038-99E6-454C-B3B6-EFDE2C6DEE58}" r="F30" connectionId="0">
    <xmlCellPr id="1" xr6:uid="{F04D8385-6F92-4A65-8A1D-C0477192EC44}" uniqueName="Passenger_Colour">
      <xmlPr mapId="7" xpath="/MAKE/AOP/AOP_Frontal_MPDB/Lower_Leg_Foot_and_Ankle_assessment/Right_Lower_Leg_assessment/@Passenger_Colour" xmlDataType="string"/>
    </xmlCellPr>
  </singleXmlCell>
  <singleXmlCell id="2986" xr6:uid="{646AF1A6-CB3F-4F45-8243-97AB04616A7F}" r="S28" connectionId="0">
    <xmlCellPr id="1" xr6:uid="{C068B2BC-E6B1-4B8A-9E01-AD6157F4A906}" uniqueName="Col_1">
      <xmlPr mapId="7" xpath="/MAKE/AOP/AOP_Frontal_MPDB/Barrier_Deformation/Colours/Row_1/@Col_1" xmlDataType="string"/>
    </xmlCellPr>
  </singleXmlCell>
  <singleXmlCell id="2987" xr6:uid="{8DF1148D-8527-4AD9-A7A3-E8E9CABD18E0}" r="T28" connectionId="0">
    <xmlCellPr id="1" xr6:uid="{E326B1A3-51CC-47F3-B7A7-A432C81517F0}" uniqueName="Col_2">
      <xmlPr mapId="7" xpath="/MAKE/AOP/AOP_Frontal_MPDB/Barrier_Deformation/Colours/Row_1/@Col_2" xmlDataType="string"/>
    </xmlCellPr>
  </singleXmlCell>
  <singleXmlCell id="2988" xr6:uid="{1C76FD4D-46ED-434B-B29E-75F8814F7E48}" r="U28" connectionId="0">
    <xmlCellPr id="1" xr6:uid="{D6E5AFE6-9889-4B02-AEE7-57BF4439674A}" uniqueName="Col_3">
      <xmlPr mapId="7" xpath="/MAKE/AOP/AOP_Frontal_MPDB/Barrier_Deformation/Colours/Row_1/@Col_3" xmlDataType="string"/>
    </xmlCellPr>
  </singleXmlCell>
  <singleXmlCell id="2989" xr6:uid="{81DA587B-CEF0-4C2C-AE4F-D682EB2992AC}" r="V28" connectionId="0">
    <xmlCellPr id="1" xr6:uid="{F2E56350-895D-4F53-A363-A1EC5CBA3B71}" uniqueName="Col_4">
      <xmlPr mapId="7" xpath="/MAKE/AOP/AOP_Frontal_MPDB/Barrier_Deformation/Colours/Row_1/@Col_4" xmlDataType="string"/>
    </xmlCellPr>
  </singleXmlCell>
  <singleXmlCell id="2990" xr6:uid="{FA3E5D2A-C04F-4A83-B64D-165A18F71CC6}" r="W28" connectionId="0">
    <xmlCellPr id="1" xr6:uid="{912B9878-9184-424E-A4A1-05D7AD606085}" uniqueName="Col_5">
      <xmlPr mapId="7" xpath="/MAKE/AOP/AOP_Frontal_MPDB/Barrier_Deformation/Colours/Row_1/@Col_5" xmlDataType="string"/>
    </xmlCellPr>
  </singleXmlCell>
  <singleXmlCell id="2991" xr6:uid="{7B9ECCCE-6238-4980-AFD2-B9979499D1A6}" r="X28" connectionId="0">
    <xmlCellPr id="1" xr6:uid="{966A29B0-7646-4784-BC73-18EA1D24C584}" uniqueName="Col_6">
      <xmlPr mapId="7" xpath="/MAKE/AOP/AOP_Frontal_MPDB/Barrier_Deformation/Colours/Row_1/@Col_6" xmlDataType="string"/>
    </xmlCellPr>
  </singleXmlCell>
  <singleXmlCell id="2992" xr6:uid="{83161462-0915-4D4A-80A1-23AC8E7D32D0}" r="S27" connectionId="0">
    <xmlCellPr id="1" xr6:uid="{6B4D408F-5CC5-4D6A-B679-82201F71529E}" uniqueName="Col_1">
      <xmlPr mapId="7" xpath="/MAKE/AOP/AOP_Frontal_MPDB/Barrier_Deformation/Colours/Row_2/@Col_1" xmlDataType="string"/>
    </xmlCellPr>
  </singleXmlCell>
  <singleXmlCell id="2993" xr6:uid="{A98A2F9E-1772-4691-A042-ABE38E714347}" r="T27" connectionId="0">
    <xmlCellPr id="1" xr6:uid="{874DE335-D281-41DD-8355-C3F42D1BF0CB}" uniqueName="Col_2">
      <xmlPr mapId="7" xpath="/MAKE/AOP/AOP_Frontal_MPDB/Barrier_Deformation/Colours/Row_2/@Col_2" xmlDataType="string"/>
    </xmlCellPr>
  </singleXmlCell>
  <singleXmlCell id="2994" xr6:uid="{BF3DFFA9-3B37-4A9A-8FC3-07899E77298B}" r="U27" connectionId="0">
    <xmlCellPr id="1" xr6:uid="{1BC5F25D-1FA9-4957-AB54-AA5F28BDB9CA}" uniqueName="Col_3">
      <xmlPr mapId="7" xpath="/MAKE/AOP/AOP_Frontal_MPDB/Barrier_Deformation/Colours/Row_2/@Col_3" xmlDataType="string"/>
    </xmlCellPr>
  </singleXmlCell>
  <singleXmlCell id="2995" xr6:uid="{F769451C-974F-44A6-82B6-10B086E11128}" r="V27" connectionId="0">
    <xmlCellPr id="1" xr6:uid="{A057BC78-8B7E-4B43-B7A7-8CFDA68B1C44}" uniqueName="Col_4">
      <xmlPr mapId="7" xpath="/MAKE/AOP/AOP_Frontal_MPDB/Barrier_Deformation/Colours/Row_2/@Col_4" xmlDataType="string"/>
    </xmlCellPr>
  </singleXmlCell>
  <singleXmlCell id="2996" xr6:uid="{7BC6A383-9243-457F-BC07-C454BA86E425}" r="W27" connectionId="0">
    <xmlCellPr id="1" xr6:uid="{93886D57-7746-4AD9-90C4-9EB24F9456BA}" uniqueName="Col_5">
      <xmlPr mapId="7" xpath="/MAKE/AOP/AOP_Frontal_MPDB/Barrier_Deformation/Colours/Row_2/@Col_5" xmlDataType="string"/>
    </xmlCellPr>
  </singleXmlCell>
  <singleXmlCell id="2997" xr6:uid="{0DA62799-582B-4412-9680-F47A68F31D54}" r="X27" connectionId="0">
    <xmlCellPr id="1" xr6:uid="{5BE51D48-848C-4F2C-A37E-7698FF7E3F61}" uniqueName="Col_6">
      <xmlPr mapId="7" xpath="/MAKE/AOP/AOP_Frontal_MPDB/Barrier_Deformation/Colours/Row_2/@Col_6" xmlDataType="string"/>
    </xmlCellPr>
  </singleXmlCell>
  <singleXmlCell id="2998" xr6:uid="{28CBD757-011D-4860-B18E-1E532846529B}" r="S26" connectionId="0">
    <xmlCellPr id="1" xr6:uid="{F892AB4C-8E1C-417E-AECB-FE76A1F354A4}" uniqueName="Col_1">
      <xmlPr mapId="7" xpath="/MAKE/AOP/AOP_Frontal_MPDB/Barrier_Deformation/Colours/Row_3/@Col_1" xmlDataType="string"/>
    </xmlCellPr>
  </singleXmlCell>
  <singleXmlCell id="2999" xr6:uid="{DAEDEB44-51C9-4121-9778-1EA1C62A31EB}" r="T26" connectionId="0">
    <xmlCellPr id="1" xr6:uid="{B473C3FB-D668-456F-BF36-8CEAE0F3250C}" uniqueName="Col_2">
      <xmlPr mapId="7" xpath="/MAKE/AOP/AOP_Frontal_MPDB/Barrier_Deformation/Colours/Row_3/@Col_2" xmlDataType="string"/>
    </xmlCellPr>
  </singleXmlCell>
  <singleXmlCell id="3000" xr6:uid="{579C8AA5-7262-4A71-9922-8D9B9F0E8D26}" r="U26" connectionId="0">
    <xmlCellPr id="1" xr6:uid="{3BF688E9-20A5-492E-96ED-FC240B415E6B}" uniqueName="Col_3">
      <xmlPr mapId="7" xpath="/MAKE/AOP/AOP_Frontal_MPDB/Barrier_Deformation/Colours/Row_3/@Col_3" xmlDataType="string"/>
    </xmlCellPr>
  </singleXmlCell>
  <singleXmlCell id="3001" xr6:uid="{F70CC31E-6686-4F95-B319-200E9F861F1A}" r="V26" connectionId="0">
    <xmlCellPr id="1" xr6:uid="{75291011-109C-49E9-B460-96D5A04210A7}" uniqueName="Col_4">
      <xmlPr mapId="7" xpath="/MAKE/AOP/AOP_Frontal_MPDB/Barrier_Deformation/Colours/Row_3/@Col_4" xmlDataType="string"/>
    </xmlCellPr>
  </singleXmlCell>
  <singleXmlCell id="3002" xr6:uid="{7EC47E54-A770-470E-96C3-DBE32A0C26F5}" r="W26" connectionId="0">
    <xmlCellPr id="1" xr6:uid="{1F10555C-8B01-4474-B957-15912130352C}" uniqueName="Col_5">
      <xmlPr mapId="7" xpath="/MAKE/AOP/AOP_Frontal_MPDB/Barrier_Deformation/Colours/Row_3/@Col_5" xmlDataType="string"/>
    </xmlCellPr>
  </singleXmlCell>
  <singleXmlCell id="3003" xr6:uid="{D3754D8A-0822-42CF-8689-D1B94E7C2B18}" r="X26" connectionId="0">
    <xmlCellPr id="1" xr6:uid="{0C479074-5117-4C43-942E-BEF731EF9717}" uniqueName="Col_6">
      <xmlPr mapId="7" xpath="/MAKE/AOP/AOP_Frontal_MPDB/Barrier_Deformation/Colours/Row_3/@Col_6" xmlDataType="string"/>
    </xmlCellPr>
  </singleXmlCell>
  <singleXmlCell id="3004" xr6:uid="{BEB7B9B0-3906-4DBB-9456-A0E7FD07F9E6}" r="S25" connectionId="0">
    <xmlCellPr id="1" xr6:uid="{9C85D3EE-CD0C-4836-AA74-265D9C988AA5}" uniqueName="Col_1">
      <xmlPr mapId="7" xpath="/MAKE/AOP/AOP_Frontal_MPDB/Barrier_Deformation/Colours/Row_4/@Col_1" xmlDataType="string"/>
    </xmlCellPr>
  </singleXmlCell>
  <singleXmlCell id="3005" xr6:uid="{83A3C2E5-4E06-493D-A361-4DF19A49C1D7}" r="T25" connectionId="0">
    <xmlCellPr id="1" xr6:uid="{9D726728-3A66-4199-B492-34B498FA35F8}" uniqueName="Col_2">
      <xmlPr mapId="7" xpath="/MAKE/AOP/AOP_Frontal_MPDB/Barrier_Deformation/Colours/Row_4/@Col_2" xmlDataType="string"/>
    </xmlCellPr>
  </singleXmlCell>
  <singleXmlCell id="3006" xr6:uid="{3D9ECBA8-0421-4FB4-A5BD-7296BCB454B9}" r="U25" connectionId="0">
    <xmlCellPr id="1" xr6:uid="{886A0AC0-DADF-4922-94E3-BDAA90F3A077}" uniqueName="Col_3">
      <xmlPr mapId="7" xpath="/MAKE/AOP/AOP_Frontal_MPDB/Barrier_Deformation/Colours/Row_4/@Col_3" xmlDataType="string"/>
    </xmlCellPr>
  </singleXmlCell>
  <singleXmlCell id="3007" xr6:uid="{38A72C26-46D2-4D7A-A27E-01E4F8198E96}" r="V25" connectionId="0">
    <xmlCellPr id="1" xr6:uid="{D752879E-51B3-4B35-8BF3-43F8725FCBE7}" uniqueName="Col_4">
      <xmlPr mapId="7" xpath="/MAKE/AOP/AOP_Frontal_MPDB/Barrier_Deformation/Colours/Row_4/@Col_4" xmlDataType="string"/>
    </xmlCellPr>
  </singleXmlCell>
  <singleXmlCell id="3008" xr6:uid="{D20A50E6-0A5E-4DBA-A3BB-C56772B096A0}" r="W25" connectionId="0">
    <xmlCellPr id="1" xr6:uid="{4213856A-CE2A-41DD-A705-D6D48CDEE54F}" uniqueName="Col_5">
      <xmlPr mapId="7" xpath="/MAKE/AOP/AOP_Frontal_MPDB/Barrier_Deformation/Colours/Row_4/@Col_5" xmlDataType="string"/>
    </xmlCellPr>
  </singleXmlCell>
  <singleXmlCell id="3009" xr6:uid="{C23A2582-7011-41FD-9809-E1D7C484431B}" r="X25" connectionId="0">
    <xmlCellPr id="1" xr6:uid="{222BEDD3-332D-44FB-8027-9E4BEA601640}" uniqueName="Col_6">
      <xmlPr mapId="7" xpath="/MAKE/AOP/AOP_Frontal_MPDB/Barrier_Deformation/Colours/Row_4/@Col_6" xmlDataType="string"/>
    </xmlCellPr>
  </singleXmlCell>
  <singleXmlCell id="3010" xr6:uid="{59D8B93C-4F03-4F9F-8463-C3C3BEEA1547}" r="S24" connectionId="0">
    <xmlCellPr id="1" xr6:uid="{BAD10B26-7154-4526-BC8F-ECCEB691F81D}" uniqueName="Col_1">
      <xmlPr mapId="7" xpath="/MAKE/AOP/AOP_Frontal_MPDB/Barrier_Deformation/Colours/Row_5/@Col_1" xmlDataType="string"/>
    </xmlCellPr>
  </singleXmlCell>
  <singleXmlCell id="3011" xr6:uid="{6C91182E-E407-4F12-A908-DEACE1747890}" r="T24" connectionId="0">
    <xmlCellPr id="1" xr6:uid="{B3420948-01CF-4E65-9551-B657BA5619A2}" uniqueName="Col_2">
      <xmlPr mapId="7" xpath="/MAKE/AOP/AOP_Frontal_MPDB/Barrier_Deformation/Colours/Row_5/@Col_2" xmlDataType="string"/>
    </xmlCellPr>
  </singleXmlCell>
  <singleXmlCell id="3012" xr6:uid="{485EC21B-ED16-48E0-8008-8BBE423ED26A}" r="U24" connectionId="0">
    <xmlCellPr id="1" xr6:uid="{AB42D91A-E165-4682-8C16-2B06D9419569}" uniqueName="Col_3">
      <xmlPr mapId="7" xpath="/MAKE/AOP/AOP_Frontal_MPDB/Barrier_Deformation/Colours/Row_5/@Col_3" xmlDataType="string"/>
    </xmlCellPr>
  </singleXmlCell>
  <singleXmlCell id="3013" xr6:uid="{0457DA44-B05F-42AE-B1A4-AB5E1B340F62}" r="V24" connectionId="0">
    <xmlCellPr id="1" xr6:uid="{BE99BB7D-5CB3-43DC-BAF8-16D3090A4D69}" uniqueName="Col_4">
      <xmlPr mapId="7" xpath="/MAKE/AOP/AOP_Frontal_MPDB/Barrier_Deformation/Colours/Row_5/@Col_4" xmlDataType="string"/>
    </xmlCellPr>
  </singleXmlCell>
  <singleXmlCell id="3014" xr6:uid="{B688B10A-4D70-477A-BDEF-B01829D9823D}" r="W24" connectionId="0">
    <xmlCellPr id="1" xr6:uid="{E7033A70-6089-413D-8A93-25BF693C8B9D}" uniqueName="Col_5">
      <xmlPr mapId="7" xpath="/MAKE/AOP/AOP_Frontal_MPDB/Barrier_Deformation/Colours/Row_5/@Col_5" xmlDataType="string"/>
    </xmlCellPr>
  </singleXmlCell>
  <singleXmlCell id="3015" xr6:uid="{6EDC494A-C42B-44D9-9CE7-1449517D7432}" r="X24" connectionId="0">
    <xmlCellPr id="1" xr6:uid="{153C8964-BC4E-43B2-A1DD-FF7258975EBC}" uniqueName="Col_6">
      <xmlPr mapId="7" xpath="/MAKE/AOP/AOP_Frontal_MPDB/Barrier_Deformation/Colours/Row_5/@Col_6" xmlDataType="string"/>
    </xmlCellPr>
  </singleXmlCell>
  <singleXmlCell id="3016" xr6:uid="{7318C244-E47A-480C-8336-5659DECE447B}" r="S23" connectionId="0">
    <xmlCellPr id="1" xr6:uid="{50CA99AD-284A-41FD-A757-67E2914397DE}" uniqueName="Col_1">
      <xmlPr mapId="7" xpath="/MAKE/AOP/AOP_Frontal_MPDB/Barrier_Deformation/Colours/Row_6/@Col_1" xmlDataType="string"/>
    </xmlCellPr>
  </singleXmlCell>
  <singleXmlCell id="3017" xr6:uid="{202886D4-131C-4C74-8505-4404072B46F9}" r="T23" connectionId="0">
    <xmlCellPr id="1" xr6:uid="{DC7B0F1C-B817-4F69-8DC8-A481AEA1C8AB}" uniqueName="Col_2">
      <xmlPr mapId="7" xpath="/MAKE/AOP/AOP_Frontal_MPDB/Barrier_Deformation/Colours/Row_6/@Col_2" xmlDataType="string"/>
    </xmlCellPr>
  </singleXmlCell>
  <singleXmlCell id="3018" xr6:uid="{8D57DF08-2F55-4728-9017-D2FCFE75A5F3}" r="U23" connectionId="0">
    <xmlCellPr id="1" xr6:uid="{71482FCC-F367-4F44-8638-F489719750F4}" uniqueName="Col_3">
      <xmlPr mapId="7" xpath="/MAKE/AOP/AOP_Frontal_MPDB/Barrier_Deformation/Colours/Row_6/@Col_3" xmlDataType="string"/>
    </xmlCellPr>
  </singleXmlCell>
  <singleXmlCell id="3019" xr6:uid="{A98F5717-E917-4B3B-8E7B-B45D82FAB480}" r="V23" connectionId="0">
    <xmlCellPr id="1" xr6:uid="{452F33BC-EEA4-41AB-B488-F766E3CFB851}" uniqueName="Col_4">
      <xmlPr mapId="7" xpath="/MAKE/AOP/AOP_Frontal_MPDB/Barrier_Deformation/Colours/Row_6/@Col_4" xmlDataType="string"/>
    </xmlCellPr>
  </singleXmlCell>
  <singleXmlCell id="3020" xr6:uid="{D2F7F15F-5590-4EA8-BAA1-3BAA234DCCA2}" r="W23" connectionId="0">
    <xmlCellPr id="1" xr6:uid="{FBE6F5A3-03DD-4DD0-842F-AC95BDB58D8C}" uniqueName="Col_5">
      <xmlPr mapId="7" xpath="/MAKE/AOP/AOP_Frontal_MPDB/Barrier_Deformation/Colours/Row_6/@Col_5" xmlDataType="string"/>
    </xmlCellPr>
  </singleXmlCell>
  <singleXmlCell id="3021" xr6:uid="{E5A414ED-B01E-4679-9B0A-3DB22B2C7DC7}" r="X23" connectionId="0">
    <xmlCellPr id="1" xr6:uid="{3289D700-D9B9-4F25-A8E7-F62CBC22F1C0}" uniqueName="Col_6">
      <xmlPr mapId="7" xpath="/MAKE/AOP/AOP_Frontal_MPDB/Barrier_Deformation/Colours/Row_6/@Col_6" xmlDataType="string"/>
    </xmlCellPr>
  </singleXmlCell>
  <singleXmlCell id="3022" xr6:uid="{025E4B14-E339-4AC0-86E2-562F3B1A2E26}" r="S22" connectionId="0">
    <xmlCellPr id="1" xr6:uid="{88160DE5-833F-4193-8459-4ADF9D61FA56}" uniqueName="Col_1">
      <xmlPr mapId="7" xpath="/MAKE/AOP/AOP_Frontal_MPDB/Barrier_Deformation/Colours/Row_7/@Col_1" xmlDataType="string"/>
    </xmlCellPr>
  </singleXmlCell>
  <singleXmlCell id="3023" xr6:uid="{F8DE7873-9715-4D62-8D2F-2C8EBD7A3CB3}" r="T22" connectionId="0">
    <xmlCellPr id="1" xr6:uid="{42826C6E-077B-4B92-952C-3001408DEB7E}" uniqueName="Col_2">
      <xmlPr mapId="7" xpath="/MAKE/AOP/AOP_Frontal_MPDB/Barrier_Deformation/Colours/Row_7/@Col_2" xmlDataType="string"/>
    </xmlCellPr>
  </singleXmlCell>
  <singleXmlCell id="3024" xr6:uid="{DCD0FCAC-8934-4708-9BCE-6BAD04C076A2}" r="U22" connectionId="0">
    <xmlCellPr id="1" xr6:uid="{9B72B8F3-B23E-43D4-AF38-D34C2487C6F6}" uniqueName="Col_3">
      <xmlPr mapId="7" xpath="/MAKE/AOP/AOP_Frontal_MPDB/Barrier_Deformation/Colours/Row_7/@Col_3" xmlDataType="string"/>
    </xmlCellPr>
  </singleXmlCell>
  <singleXmlCell id="3025" xr6:uid="{7723BAE1-DCB7-4862-8BED-455859E68479}" r="V22" connectionId="0">
    <xmlCellPr id="1" xr6:uid="{2B7B5463-F29E-4768-BCD0-35498FDD7547}" uniqueName="Col_4">
      <xmlPr mapId="7" xpath="/MAKE/AOP/AOP_Frontal_MPDB/Barrier_Deformation/Colours/Row_7/@Col_4" xmlDataType="string"/>
    </xmlCellPr>
  </singleXmlCell>
  <singleXmlCell id="3026" xr6:uid="{A1E034AC-0425-46AD-97AF-7670C0D83DC7}" r="W22" connectionId="0">
    <xmlCellPr id="1" xr6:uid="{B06DCBBE-E569-475A-920B-323AEADD41C2}" uniqueName="Col_5">
      <xmlPr mapId="7" xpath="/MAKE/AOP/AOP_Frontal_MPDB/Barrier_Deformation/Colours/Row_7/@Col_5" xmlDataType="string"/>
    </xmlCellPr>
  </singleXmlCell>
  <singleXmlCell id="3027" xr6:uid="{DA56448C-6D72-457F-ABF0-4FB9C1AB3909}" r="X22" connectionId="0">
    <xmlCellPr id="1" xr6:uid="{5006208E-39EF-4446-B8EA-258180E0F69C}" uniqueName="Col_6">
      <xmlPr mapId="7" xpath="/MAKE/AOP/AOP_Frontal_MPDB/Barrier_Deformation/Colours/Row_7/@Col_6" xmlDataType="string"/>
    </xmlCellPr>
  </singleXmlCell>
  <singleXmlCell id="3029" xr6:uid="{70389531-D36E-48F0-967A-045ACF1E55CE}" r="C42" connectionId="0">
    <xmlCellPr id="1" xr6:uid="{FEC9176E-7A49-4694-B191-F376C391B940}" uniqueName="ROUNDED_FRONTAL_FW">
      <xmlPr mapId="7" xpath="/MAKE/AOP/AOP_Frontal_FW/@ROUNDED_FRONTAL_FW" xmlDataType="decimal"/>
    </xmlCellPr>
  </singleXmlCell>
  <singleXmlCell id="3030" xr6:uid="{5E12E228-BF3C-4C9D-ACB3-7F09FBDB0F0E}" r="C43" connectionId="0">
    <xmlCellPr id="1" xr6:uid="{A11DF81F-C340-462D-B1F9-ADB4ECA285FC}" uniqueName="MAX_POINTS">
      <xmlPr mapId="7" xpath="/MAKE/AOP/AOP_Frontal_FW/@MAX_POINTS" xmlDataType="integer"/>
    </xmlCellPr>
  </singleXmlCell>
  <singleXmlCell id="3031" xr6:uid="{4C053504-BF2C-4172-9700-151C70C38122}" r="D36" connectionId="0">
    <xmlCellPr id="1" xr6:uid="{A8023714-0846-4E1E-A2B5-57A69C996A7F}" uniqueName="Driver_Colour">
      <xmlPr mapId="7" xpath="/MAKE/AOP/AOP_Frontal_FW/Head_Assessment/@Driver_Colour" xmlDataType="string"/>
    </xmlCellPr>
  </singleXmlCell>
  <singleXmlCell id="3032" xr6:uid="{E1E3C66F-7119-4905-B1BC-E0D3EEE9A05D}" r="F36" connectionId="0">
    <xmlCellPr id="1" xr6:uid="{3FCD1445-AA7A-4AA5-A6DC-1D119EB6C674}" uniqueName="Passenger_Colour">
      <xmlPr mapId="7" xpath="/MAKE/AOP/AOP_Frontal_FW/Head_Assessment/@Passenger_Colour" xmlDataType="string"/>
    </xmlCellPr>
  </singleXmlCell>
  <singleXmlCell id="3033" xr6:uid="{52FFAD58-0E5B-40E4-BC30-E862FB5DF228}" r="D37" connectionId="0">
    <xmlCellPr id="1" xr6:uid="{3E316372-4F83-47C2-8DFD-DB0C33F89188}" uniqueName="Driver_Colour">
      <xmlPr mapId="7" xpath="/MAKE/AOP/AOP_Frontal_FW/Neck_assessment/@Driver_Colour" xmlDataType="string"/>
    </xmlCellPr>
  </singleXmlCell>
  <singleXmlCell id="3034" xr6:uid="{A529A21F-1CAD-4CF6-ADC8-D934D60637C4}" r="F37" connectionId="0">
    <xmlCellPr id="1" xr6:uid="{30FEA990-877E-4F98-B1FB-4C55B884C4D4}" uniqueName="Passenger_Colour">
      <xmlPr mapId="7" xpath="/MAKE/AOP/AOP_Frontal_FW/Neck_assessment/@Passenger_Colour" xmlDataType="string"/>
    </xmlCellPr>
  </singleXmlCell>
  <singleXmlCell id="3035" xr6:uid="{7B22B7E4-B55E-456E-B9C8-F004E8481735}" r="D38" connectionId="0">
    <xmlCellPr id="1" xr6:uid="{AFE8A348-D7B3-4CF2-A8D6-87A16160F3EE}" uniqueName="Driver_Colour">
      <xmlPr mapId="7" xpath="/MAKE/AOP/AOP_Frontal_FW/Chest_assessment/@Driver_Colour" xmlDataType="string"/>
    </xmlCellPr>
  </singleXmlCell>
  <singleXmlCell id="3036" xr6:uid="{FD28CD9E-56F6-455F-ABE3-551FF4AD6D6A}" r="F38" connectionId="0">
    <xmlCellPr id="1" xr6:uid="{C9CF0A9C-1DD5-424C-B777-06FAE84FD647}" uniqueName="Passenger_Colour">
      <xmlPr mapId="7" xpath="/MAKE/AOP/AOP_Frontal_FW/Chest_assessment/@Passenger_Colour" xmlDataType="string"/>
    </xmlCellPr>
  </singleXmlCell>
  <singleXmlCell id="3037" xr6:uid="{C1EA0E3F-B75C-4C8F-9F09-081EB095213F}" r="D39" connectionId="0">
    <xmlCellPr id="1" xr6:uid="{4CA76DBA-6947-4EB6-B7E7-ED048AA38161}" uniqueName="Driver_Colour">
      <xmlPr mapId="7" xpath="/MAKE/AOP/AOP_Frontal_FW/Knee_Femur_and_Pelvis_assessment/Left_Knee_Femur_and_Pelvis_assessment/@Driver_Colour" xmlDataType="string"/>
    </xmlCellPr>
  </singleXmlCell>
  <singleXmlCell id="3038" xr6:uid="{37A4BE60-EB24-4114-8484-D65307CB82D9}" r="F39" connectionId="0">
    <xmlCellPr id="1" xr6:uid="{F6043941-0219-4CDE-916D-AD067F4371B9}" uniqueName="Passenger_Colour">
      <xmlPr mapId="7" xpath="/MAKE/AOP/AOP_Frontal_FW/Knee_Femur_and_Pelvis_assessment/Left_Knee_Femur_and_Pelvis_assessment/@Passenger_Colour" xmlDataType="string"/>
    </xmlCellPr>
  </singleXmlCell>
  <singleXmlCell id="3039" xr6:uid="{EE7E02EA-C49D-4DD9-A402-09BFEA297DC5}" r="D40" connectionId="0">
    <xmlCellPr id="1" xr6:uid="{61008C19-6C1D-4876-AD13-7CF70D39A607}" uniqueName="Driver_Colour">
      <xmlPr mapId="7" xpath="/MAKE/AOP/AOP_Frontal_FW/Knee_Femur_and_Pelvis_assessment/Right_Knee_Femur_and_Pelvis_assessment/@Driver_Colour" xmlDataType="string"/>
    </xmlCellPr>
  </singleXmlCell>
  <singleXmlCell id="3040" xr6:uid="{6D037783-99DB-4D9D-B86D-7281EF7AAB3C}" r="F40" connectionId="0">
    <xmlCellPr id="1" xr6:uid="{B0559983-7CED-471B-9C48-9402BF276789}" uniqueName="Passenger_Colour">
      <xmlPr mapId="7" xpath="/MAKE/AOP/AOP_Frontal_FW/Knee_Femur_and_Pelvis_assessment/Right_Knee_Femur_and_Pelvis_assessment/@Passenger_Colour" xmlDataType="string"/>
    </xmlCellPr>
  </singleXmlCell>
  <singleXmlCell id="3041" xr6:uid="{312CF199-6C4F-4CDC-9F44-675613E4DC3A}" r="D41" connectionId="0">
    <xmlCellPr id="1" xr6:uid="{0428A88F-A293-47F4-8D4B-E3A730B5D1D9}" uniqueName="Driver_Colour">
      <xmlPr mapId="7" xpath="/MAKE/AOP/AOP_Frontal_FW/Knee_Femur_and_Pelvis_assessment/Pelvis_assessment/@Driver_Colour" xmlDataType="string"/>
    </xmlCellPr>
  </singleXmlCell>
  <singleXmlCell id="3042" xr6:uid="{FF9EB6AB-0FCD-46BC-81EE-21179502A78C}" r="F41" connectionId="0">
    <xmlCellPr id="1" xr6:uid="{196414D0-A64F-43ED-99C9-993A6FAD75A4}" uniqueName="Passenger_Colour">
      <xmlPr mapId="7" xpath="/MAKE/AOP/AOP_Frontal_FW/Knee_Femur_and_Pelvis_assessment/Pelvis_assessment/@Passenger_Colour" xmlDataType="string"/>
    </xmlCellPr>
  </singleXmlCell>
  <singleXmlCell id="2202" xr6:uid="{F28962C9-7752-44E8-A823-C626FC3079A3}" r="C50" connectionId="0">
    <xmlCellPr id="1" xr6:uid="{F59856B0-9C4E-46E3-8243-8EBCF5A6C3BA}" uniqueName="ROUNDED_SIDE_MDB">
      <xmlPr mapId="7" xpath="/MAKE/AOP/AOP_Side_MDB/@ROUNDED_SIDE_MDB" xmlDataType="decimal"/>
    </xmlCellPr>
  </singleXmlCell>
  <singleXmlCell id="2523" xr6:uid="{BEE6BAA0-5187-433C-8232-5A1519CC2FDA}" r="C51" connectionId="0">
    <xmlCellPr id="1" xr6:uid="{6639E50B-9C78-45BB-B736-D071331C534F}" uniqueName="MAX_POINTS">
      <xmlPr mapId="7" xpath="/MAKE/AOP/AOP_Side_MDB/@MAX_POINTS" xmlDataType="integer"/>
    </xmlCellPr>
  </singleXmlCell>
  <singleXmlCell id="2526" xr6:uid="{FEE909BA-AB3F-4EC5-8935-9A1DF199C282}" r="D46" connectionId="0">
    <xmlCellPr id="1" xr6:uid="{97151D24-5A5A-4325-B38F-9A266EE27D70}" uniqueName="Driver_Colour">
      <xmlPr mapId="7" xpath="/MAKE/AOP/AOP_Side_MDB/Head_assessment/@Driver_Colour" xmlDataType="string"/>
    </xmlCellPr>
  </singleXmlCell>
  <singleXmlCell id="2529" xr6:uid="{6FDB3055-2173-412D-A37A-9B4D54F2D6D2}" r="D47" connectionId="0">
    <xmlCellPr id="1" xr6:uid="{97000CF2-5957-4877-BF43-AACDFADBF7A1}" uniqueName="Driver_Colour">
      <xmlPr mapId="7" xpath="/MAKE/AOP/AOP_Side_MDB/Chest_assessment/@Driver_Colour" xmlDataType="string"/>
    </xmlCellPr>
  </singleXmlCell>
  <singleXmlCell id="3112" xr6:uid="{3AF98C2A-4EFC-4633-97E2-E6BF02A0BC4C}" r="D48" connectionId="0">
    <xmlCellPr id="1" xr6:uid="{646CA234-A1C3-4050-B180-3F1D7C1105E6}" uniqueName="Driver_Colour">
      <xmlPr mapId="7" xpath="/MAKE/AOP/AOP_Side_MDB/Abdomen_assessment/@Driver_Colour" xmlDataType="string"/>
    </xmlCellPr>
  </singleXmlCell>
  <singleXmlCell id="3113" xr6:uid="{E9172E46-533E-43E7-90EA-54754A8042FB}" r="D49" connectionId="0">
    <xmlCellPr id="1" xr6:uid="{8B6741A7-E570-4327-BEC1-0C6CBBEAA0C7}" uniqueName="Driver_Colour">
      <xmlPr mapId="7" xpath="/MAKE/AOP/AOP_Side_MDB/Pelvis_assessment/@Driver_Colour" xmlDataType="string"/>
    </xmlCellPr>
  </singleXmlCell>
  <singleXmlCell id="3363" xr6:uid="{00E7B389-9FC8-4D9E-A6CC-0CCCE83D0761}" r="C58" connectionId="0">
    <xmlCellPr id="1" xr6:uid="{9A6C7E8C-8FF5-4CC4-970F-2ABD1ED915AC}" uniqueName="ROUNDED_SIDE_POLE">
      <xmlPr mapId="7" xpath="/MAKE/AOP/AOP_Side_Pole/@ROUNDED_SIDE_POLE" xmlDataType="decimal"/>
    </xmlCellPr>
  </singleXmlCell>
  <singleXmlCell id="3364" xr6:uid="{7648CCBA-E8AB-4B9B-A65B-BA24C96C7409}" r="C59" connectionId="0">
    <xmlCellPr id="1" xr6:uid="{3BED782D-DE64-4D00-A6E6-97B2ADDE20A5}" uniqueName="MAX_POINTS">
      <xmlPr mapId="7" xpath="/MAKE/AOP/AOP_Side_Pole/@MAX_POINTS" xmlDataType="integer"/>
    </xmlCellPr>
  </singleXmlCell>
  <singleXmlCell id="3365" xr6:uid="{6A0897D8-D1BC-4337-8620-620B47A29517}" r="D54" connectionId="0">
    <xmlCellPr id="1" xr6:uid="{34E5EF95-B49A-41C8-8936-7831FCE84D07}" uniqueName="Driver_Colour">
      <xmlPr mapId="7" xpath="/MAKE/AOP/AOP_Side_Pole/Head_assessment/@Driver_Colour" xmlDataType="string"/>
    </xmlCellPr>
  </singleXmlCell>
  <singleXmlCell id="3366" xr6:uid="{0A37866C-6F45-4329-89AB-60A66F39043C}" r="D55" connectionId="0">
    <xmlCellPr id="1" xr6:uid="{01031153-D22A-40C7-AFBB-537D71739628}" uniqueName="Driver_Colour">
      <xmlPr mapId="7" xpath="/MAKE/AOP/AOP_Side_Pole/Chest_assessment/@Driver_Colour" xmlDataType="string"/>
    </xmlCellPr>
  </singleXmlCell>
  <singleXmlCell id="3367" xr6:uid="{149D301B-9900-40D9-860F-EB3461BE1D1F}" r="D56" connectionId="0">
    <xmlCellPr id="1" xr6:uid="{D93AA565-3211-4617-AD6C-55A729EA0049}" uniqueName="Driver_Colour">
      <xmlPr mapId="7" xpath="/MAKE/AOP/AOP_Side_Pole/Abdomen_assessment/@Driver_Colour" xmlDataType="string"/>
    </xmlCellPr>
  </singleXmlCell>
  <singleXmlCell id="3368" xr6:uid="{4CA695CC-E495-4265-A1C1-4F1A5CCB3EFD}" r="D57" connectionId="0">
    <xmlCellPr id="1" xr6:uid="{DE6A10A0-DEC1-4A78-88CC-5F479D21C317}" uniqueName="Driver_Colour">
      <xmlPr mapId="7" xpath="/MAKE/AOP/AOP_Side_Pole/Pelvis_assessment/@Driver_Colour" xmlDataType="string"/>
    </xmlCellPr>
  </singleXmlCell>
  <singleXmlCell id="3509" xr6:uid="{D67E6917-4999-45CD-9F02-E25DE4C0CFFA}" r="C68" connectionId="0">
    <xmlCellPr id="1" xr6:uid="{8BA6C2BC-5767-4882-A0DE-EC1877BC3EA1}" uniqueName="Rounded_Far_Side_Score">
      <xmlPr mapId="7" xpath="/MAKE/AOP/AOP_Far_Side/@Rounded_Far_Side_Score" xmlDataType="decimal"/>
    </xmlCellPr>
  </singleXmlCell>
  <singleXmlCell id="3510" xr6:uid="{A7329E46-D256-46C3-B1B1-E2A9254C80DB}" r="C69" connectionId="0">
    <xmlCellPr id="1" xr6:uid="{B40EE212-12E7-4B81-942E-EC6050C431E0}" uniqueName="MAX_POINTS">
      <xmlPr mapId="7" xpath="/MAKE/AOP/AOP_Far_Side/@MAX_POINTS" xmlDataType="integer"/>
    </xmlCellPr>
  </singleXmlCell>
  <singleXmlCell id="3511" xr6:uid="{1FA2369F-D255-4DBF-A6D1-5ABA1E76636D}" r="C62" connectionId="0">
    <xmlCellPr id="1" xr6:uid="{23AB9F63-D929-42FC-86AE-F95C891F566F}" uniqueName="Excursion_Zone">
      <xmlPr mapId="7" xpath="/MAKE/AOP/AOP_Far_Side/@Excursion_Zone" xmlDataType="string"/>
    </xmlCellPr>
  </singleXmlCell>
  <singleXmlCell id="3512" xr6:uid="{1AB949B7-054D-497A-BE76-8553D0FA971E}" r="C63" connectionId="0">
    <xmlCellPr id="1" xr6:uid="{5AA8DA22-B45A-4380-BE3A-FD8F46F6A023}" uniqueName="Head_Colour">
      <xmlPr mapId="7" xpath="/MAKE/AOP/AOP_Far_Side/@Head_Colour" xmlDataType="string"/>
    </xmlCellPr>
  </singleXmlCell>
  <singleXmlCell id="3513" xr6:uid="{1EA2314E-E7EB-4274-95F2-978B2DA41024}" r="C64" connectionId="0">
    <xmlCellPr id="1" xr6:uid="{D12FFD80-D87D-4BED-972F-2AA1E56C9847}" uniqueName="Neck_Colour">
      <xmlPr mapId="7" xpath="/MAKE/AOP/AOP_Far_Side/@Neck_Colour" xmlDataType="string"/>
    </xmlCellPr>
  </singleXmlCell>
  <singleXmlCell id="3514" xr6:uid="{778F9EE1-CE0B-4E31-A67F-6458AEB964CF}" r="C65" connectionId="0">
    <xmlCellPr id="1" xr6:uid="{3C1E2C30-4791-4D7D-BD34-51D7E3CDCB17}" uniqueName="Chest_Colour">
      <xmlPr mapId="7" xpath="/MAKE/AOP/AOP_Far_Side/@Chest_Colour" xmlDataType="string"/>
    </xmlCellPr>
  </singleXmlCell>
  <singleXmlCell id="3515" xr6:uid="{836FB195-EC8F-43CC-B41C-5799FDF129C3}" r="C66" connectionId="0">
    <xmlCellPr id="1" xr6:uid="{C026C113-C652-441D-BDFD-DEE59F118D5D}" uniqueName="Pelvis_Colour">
      <xmlPr mapId="7" xpath="/MAKE/AOP/AOP_Far_Side/@Pelvis_Colour" xmlDataType="string"/>
    </xmlCellPr>
  </singleXmlCell>
  <singleXmlCell id="3516" xr6:uid="{A3B1915C-4174-4037-A5D8-CDB59464824D}" r="D70" connectionId="0">
    <xmlCellPr id="1" xr6:uid="{7670AB60-5453-4AB7-8234-E445B13AED63}" uniqueName="O2O_Driver_Head_Colour">
      <xmlPr mapId="7" xpath="/MAKE/AOP/AOP_Far_Side/@O2O_Driver_Head_Colour" xmlDataType="string"/>
    </xmlCellPr>
  </singleXmlCell>
  <singleXmlCell id="3517" xr6:uid="{E7250F2F-1763-4B4B-839C-032D54B7D155}" r="D67" connectionId="0">
    <xmlCellPr id="1" xr6:uid="{0C2DCBF6-A0F5-4E7C-AC91-2E8B264B351C}" uniqueName="Rounded_Far_Side_AE_MDB">
      <xmlPr mapId="7" xpath="/MAKE/AOP/AOP_Far_Side/AE-MDB/@Rounded_Far_Side_AE_MDB" xmlDataType="decimal"/>
    </xmlCellPr>
  </singleXmlCell>
  <singleXmlCell id="3518" xr6:uid="{E5F2D8F7-1B5F-468D-9D5E-713299EEB3F5}" r="F67" connectionId="0">
    <xmlCellPr id="1" xr6:uid="{E3E5C9F3-8A81-42F3-A762-B1E829B9BE4C}" uniqueName="Rounded_Far_Side_POLE">
      <xmlPr mapId="7" xpath="/MAKE/AOP/AOP_Far_Side/POLE/@Rounded_Far_Side_POLE" xmlDataType="decimal"/>
    </xmlCellPr>
  </singleXmlCell>
  <singleXmlCell id="3525" xr6:uid="{495AB687-6B79-4D01-B638-3DFE7B927F8B}" r="D63" connectionId="0">
    <xmlCellPr id="1" xr6:uid="{7303D8C6-D722-466D-B8AF-57F46DD1DC58}" uniqueName="Driver_Colour">
      <xmlPr mapId="7" xpath="/MAKE/AOP/AOP_Far_Side/AE-MDB/Head/@Driver_Colour" xmlDataType="string"/>
    </xmlCellPr>
  </singleXmlCell>
  <singleXmlCell id="3526" xr6:uid="{0B1B5568-6BE7-445B-B656-C5E642FC21CF}" r="D64" connectionId="0">
    <xmlCellPr id="1" xr6:uid="{742D376C-7436-4A19-8B12-CABF23455CC6}" uniqueName="Driver_Colour">
      <xmlPr mapId="7" xpath="/MAKE/AOP/AOP_Far_Side/AE-MDB/Neck/@Driver_Colour" xmlDataType="string"/>
    </xmlCellPr>
  </singleXmlCell>
  <singleXmlCell id="3527" xr6:uid="{7EC676F6-A0EF-4FC3-AABA-407488AB9A8D}" r="D65" connectionId="0">
    <xmlCellPr id="1" xr6:uid="{F77499F0-5FFD-4885-87A1-E762432D8A45}" uniqueName="Driver_Colour">
      <xmlPr mapId="7" xpath="/MAKE/AOP/AOP_Far_Side/AE-MDB/Chest_and_Abdomen/@Driver_Colour" xmlDataType="string"/>
    </xmlCellPr>
  </singleXmlCell>
  <singleXmlCell id="3528" xr6:uid="{0A46F17F-21AB-4EC3-99BD-FD878B69FD9F}" r="D66" connectionId="0">
    <xmlCellPr id="1" xr6:uid="{7CFF58F1-8940-426A-B1B2-7B8E5FDF9841}" uniqueName="Driver_Colour">
      <xmlPr mapId="7" xpath="/MAKE/AOP/AOP_Far_Side/AE-MDB/Pelvis/@Driver_Colour" xmlDataType="string"/>
    </xmlCellPr>
  </singleXmlCell>
  <singleXmlCell id="3586" xr6:uid="{118A592A-2EBB-4FD0-998F-2F1A70B6B2CF}" r="F63" connectionId="0">
    <xmlCellPr id="1" xr6:uid="{BEB1BA20-4EE2-4967-B82C-202FE9560B80}" uniqueName="Driver_Colour">
      <xmlPr mapId="7" xpath="/MAKE/AOP/AOP_Far_Side/POLE/Head/@Driver_Colour" xmlDataType="string"/>
    </xmlCellPr>
  </singleXmlCell>
  <singleXmlCell id="3587" xr6:uid="{53E65B55-8382-4DEA-BC2D-1592AA011812}" r="F64" connectionId="0">
    <xmlCellPr id="1" xr6:uid="{AA5A489D-6A7F-47CD-B99B-9CBD9D1AA28A}" uniqueName="Driver_Colour">
      <xmlPr mapId="7" xpath="/MAKE/AOP/AOP_Far_Side/POLE/Neck/@Driver_Colour" xmlDataType="string"/>
    </xmlCellPr>
  </singleXmlCell>
  <singleXmlCell id="3588" xr6:uid="{16FE466C-04A5-49AC-BEFC-AB001A367804}" r="F65" connectionId="0">
    <xmlCellPr id="1" xr6:uid="{F37CECB5-5DBE-4A15-A42E-9A162FB67FF2}" uniqueName="Driver_Colour">
      <xmlPr mapId="7" xpath="/MAKE/AOP/AOP_Far_Side/POLE/Chest_and_Abdomen/@Driver_Colour" xmlDataType="string"/>
    </xmlCellPr>
  </singleXmlCell>
  <singleXmlCell id="3589" xr6:uid="{FC95E57A-B666-4DF0-9EA4-8D53D26BFA15}" r="F66" connectionId="0">
    <xmlCellPr id="1" xr6:uid="{D3584985-1ACD-41BB-841A-294C28526415}" uniqueName="Driver_Colour">
      <xmlPr mapId="7" xpath="/MAKE/AOP/AOP_Far_Side/POLE/Pelvis/@Driver_Colour" xmlDataType="string"/>
    </xmlCellPr>
  </singleXmlCell>
  <singleXmlCell id="3644" xr6:uid="{CEF18E4E-29E3-4C06-B4D2-1AC60096367C}" r="C72" connectionId="0">
    <xmlCellPr id="1" xr6:uid="{6F7523EE-471C-4B86-A310-0B349B2EA2FB}" uniqueName="Rounded_Total">
      <xmlPr mapId="7" xpath="/MAKE/AOP/AOP_Whiplash/@Rounded_Total" xmlDataType="decimal"/>
    </xmlCellPr>
  </singleXmlCell>
  <singleXmlCell id="3645" xr6:uid="{5D12C846-AB9C-4F3F-8E0B-67FED814D825}" r="C73" connectionId="0">
    <xmlCellPr id="1" xr6:uid="{9A0D7D0B-A786-4F2A-BACC-E87259BA641E}" uniqueName="MAX_POINTS">
      <xmlPr mapId="7" xpath="/MAKE/AOP/AOP_Whiplash/@MAX_POINTS" xmlDataType="integer"/>
    </xmlCellPr>
  </singleXmlCell>
  <singleXmlCell id="3646" xr6:uid="{BA2F2499-4FF4-40E6-BC73-CF7005F5223F}" r="C74" connectionId="0">
    <xmlCellPr id="1" xr6:uid="{2D98EEC4-8177-4A6A-BD0D-465C092E8373}" uniqueName="Rounded_Static_Total">
      <xmlPr mapId="7" xpath="/MAKE/AOP/AOP_Whiplash/Static_assessment/@Rounded_Static_Total" xmlDataType="decimal"/>
    </xmlCellPr>
  </singleXmlCell>
  <singleXmlCell id="3686" xr6:uid="{D58E313E-EFE7-497B-B593-AC86528B4878}" r="C75" connectionId="0">
    <xmlCellPr id="1" xr6:uid="{2217E6D8-F367-4681-A532-5B8D701E7BE1}" uniqueName="Rounded_Total2">
      <xmlPr mapId="7" xpath="/MAKE/AOP/AOP_Whiplash/Dynamic_assessment/@Rounded_Total2" xmlDataType="decimal"/>
    </xmlCellPr>
  </singleXmlCell>
  <singleXmlCell id="3687" xr6:uid="{A78C777B-E9A7-43B3-BA4A-B4463D2D3C09}" r="C76" connectionId="0">
    <xmlCellPr id="1" xr6:uid="{3B475041-F0F5-47C9-8F27-254D5129E668}" uniqueName="Rounded_Total3">
      <xmlPr mapId="7" xpath="/MAKE/AOP/AOP_Whiplash/Dynamic_assessment/@Rounded_Total3" xmlDataType="decimal"/>
    </xmlCellPr>
  </singleXmlCell>
  <singleXmlCell id="3714" xr6:uid="{163B3A79-4601-4107-80FD-CBA9424695EA}" r="C78" connectionId="0">
    <xmlCellPr id="1" xr6:uid="{9BD815B1-89A5-4F23-9626-5FAFEC1A7684}" uniqueName="Colour">
      <xmlPr mapId="7" xpath="/MAKE/AOP/AOP_Whiplash/TOTAL_FRONT_WHIPLASH/@Colour" xmlDataType="string"/>
    </xmlCellPr>
  </singleXmlCell>
  <singleXmlCell id="3715" xr6:uid="{978BB443-C0E0-4888-9A3B-669FFCF7D72C}" r="C79" connectionId="0">
    <xmlCellPr id="1" xr6:uid="{E7643B18-15D5-4CF4-9C92-711651675891}" uniqueName="Colour">
      <xmlPr mapId="7" xpath="/MAKE/AOP/AOP_Whiplash/TOTAL_REAR_WHIPLASH/@Colour" xmlDataType="string"/>
    </xmlCellPr>
  </singleXmlCell>
  <singleXmlCell id="3663" xr6:uid="{BFC1D52C-CE58-437E-9FD3-5D23790023F5}" r="C107" connectionId="0">
    <xmlCellPr id="1" xr6:uid="{53109E37-081C-4372-97A1-CFC333C1D149}" uniqueName="ROUNDED_TOTAL">
      <xmlPr mapId="7" xpath="/MAKE/COP/COPDynamic/@ROUNDED_TOTAL" xmlDataType="decimal"/>
    </xmlCellPr>
  </singleXmlCell>
  <singleXmlCell id="3688" xr6:uid="{77D3FFB6-65C1-4DEB-9A2A-8313BA4CC8D8}" r="C108" connectionId="0">
    <xmlCellPr id="1" xr6:uid="{1E6F5BB1-B1C1-467C-831A-E8786C7CAC1B}" uniqueName="MAX_POINTS">
      <xmlPr mapId="7" xpath="/MAKE/COP/COPDynamic/@MAX_POINTS" xmlDataType="integer"/>
    </xmlCellPr>
  </singleXmlCell>
  <singleXmlCell id="3689" xr6:uid="{75582099-A4C8-4B25-B86D-C7055D0EA877}" r="D100" connectionId="0">
    <xmlCellPr id="1" xr6:uid="{4A29A3D1-6788-40DE-90DD-A6B58B46183D}" uniqueName="Q6_Colour">
      <xmlPr mapId="7" xpath="/MAKE/COP/COPDynamic/FRONTAL/Head_Assessment/@Q6_Colour" xmlDataType="anyType"/>
    </xmlCellPr>
  </singleXmlCell>
  <singleXmlCell id="3690" xr6:uid="{91A4C613-C45D-4B00-BDFA-56EAE4241FD3}" r="F100" connectionId="0">
    <xmlCellPr id="1" xr6:uid="{64CCF5E6-4237-4CE5-AD4C-53214951544B}" uniqueName="Q10_Colour">
      <xmlPr mapId="7" xpath="/MAKE/COP/COPDynamic/FRONTAL/Head_Assessment/@Q10_Colour" xmlDataType="anyType"/>
    </xmlCellPr>
  </singleXmlCell>
  <singleXmlCell id="3691" xr6:uid="{8C4BDF7F-65F9-4C78-8B34-A46136FF5B16}" r="D101" connectionId="0">
    <xmlCellPr id="1" xr6:uid="{2208FA10-A62C-4006-8750-111B94FCE385}" uniqueName="Q6_Colour">
      <xmlPr mapId="7" xpath="/MAKE/COP/COPDynamic/FRONTAL/Neck_Assessment/@Q6_Colour" xmlDataType="anyType"/>
    </xmlCellPr>
  </singleXmlCell>
  <singleXmlCell id="3693" xr6:uid="{AFD04C26-40BD-4B5E-B8DF-1E0BBE31B127}" r="D102" connectionId="0">
    <xmlCellPr id="1" xr6:uid="{969D6832-BB26-4B1F-8F56-71E943674F4C}" uniqueName="Q6_Colour">
      <xmlPr mapId="7" xpath="/MAKE/COP/COPDynamic/FRONTAL/Chest_Assessment/@Q6_Colour" xmlDataType="anyType"/>
    </xmlCellPr>
  </singleXmlCell>
  <singleXmlCell id="3694" xr6:uid="{A382BA84-2858-4D32-82CC-197BC5104F21}" r="F102" connectionId="0">
    <xmlCellPr id="1" xr6:uid="{0292D950-2628-492D-A5BF-B4DB50A6D19A}" uniqueName="Q10_Colour">
      <xmlPr mapId="7" xpath="/MAKE/COP/COPDynamic/FRONTAL/Chest_Assessment/@Q10_Colour" xmlDataType="anyType"/>
    </xmlCellPr>
  </singleXmlCell>
  <singleXmlCell id="3695" xr6:uid="{0615A629-41F6-4DBB-9753-240136C9E726}" r="D104" connectionId="0">
    <xmlCellPr id="1" xr6:uid="{FF06D1C1-2166-4C77-A986-AC22D342DECC}" uniqueName="Q6_Colour">
      <xmlPr mapId="7" xpath="/MAKE/COP/COPDynamic/SIDE/Head_Assessment/@Q6_Colour" xmlDataType="anyType"/>
    </xmlCellPr>
  </singleXmlCell>
  <singleXmlCell id="3713" xr6:uid="{B32FA5EB-466F-4A73-B7D5-075784ED00B9}" r="F104" connectionId="0">
    <xmlCellPr id="1" xr6:uid="{F89BEAC9-ADBF-4357-BB31-79D8893519E7}" uniqueName="Q10_Colour">
      <xmlPr mapId="7" xpath="/MAKE/COP/COPDynamic/SIDE/Head_Assessment/@Q10_Colour" xmlDataType="anyType"/>
    </xmlCellPr>
  </singleXmlCell>
  <singleXmlCell id="3753" xr6:uid="{301970A9-91B4-4E11-B6EB-6F2171E9CD73}" r="C99" connectionId="0">
    <xmlCellPr id="1" xr6:uid="{00FE6180-F0C6-4591-902F-E0171AF123CB}" uniqueName="Total_Front">
      <xmlPr mapId="7" xpath="/MAKE/COP/COPDynamic/FRONTAL/@Total_Front" xmlDataType="decimal"/>
    </xmlCellPr>
  </singleXmlCell>
  <singleXmlCell id="3754" xr6:uid="{EF60D25A-FDEC-444F-BA9F-A6503C993E2C}" r="D99" connectionId="0">
    <xmlCellPr id="1" xr6:uid="{40468B77-9722-4266-A1F4-97615658B6DF}" uniqueName="Rounded_Total_Front">
      <xmlPr mapId="7" xpath="/MAKE/COP/COPDynamic/FRONTAL/@Rounded_Total_Front" xmlDataType="decimal"/>
    </xmlCellPr>
  </singleXmlCell>
  <singleXmlCell id="3755" xr6:uid="{C41BEA9A-422E-49FB-8229-5891BEDA9085}" r="C103" connectionId="0">
    <xmlCellPr id="1" xr6:uid="{07FF9555-2DD4-4097-9FE4-28544DF29073}" uniqueName="Total_Side">
      <xmlPr mapId="7" xpath="/MAKE/COP/COPDynamic/SIDE/@Total_Side" xmlDataType="decimal"/>
    </xmlCellPr>
  </singleXmlCell>
  <singleXmlCell id="3756" xr6:uid="{11309BD2-81B0-455F-8328-7A00DC39700D}" r="D103" connectionId="0">
    <xmlCellPr id="1" xr6:uid="{201D0E14-4B03-409C-93CF-6C1E0EF43566}" uniqueName="Rounded_Total_Side">
      <xmlPr mapId="7" xpath="/MAKE/COP/COPDynamic/SIDE/@Rounded_Total_Side" xmlDataType="decimal"/>
    </xmlCellPr>
  </singleXmlCell>
  <singleXmlCell id="3788" xr6:uid="{00D22A78-421A-4C56-A348-D7C2790B9BDD}" r="F101" connectionId="0">
    <xmlCellPr id="1" xr6:uid="{C6C5BF13-2453-4329-9696-47B86F826407}" uniqueName="Q10_Colour">
      <xmlPr mapId="7" xpath="/MAKE/COP/COPDynamic/FRONTAL/Neck_Assessment/@Q10_Colour" xmlDataType="anyType"/>
    </xmlCellPr>
  </singleXmlCell>
  <singleXmlCell id="3813" xr6:uid="{061311E6-4698-4F98-9D6E-35413741A9A9}" r="D105" connectionId="0">
    <xmlCellPr id="1" xr6:uid="{72E1C2BD-5B35-49A7-8285-A232BD1F7F76}" uniqueName="Q6_Colour">
      <xmlPr mapId="7" xpath="/MAKE/COP/COPDynamic/SIDE/Neck_Assessment/@Q6_Colour" xmlDataType="anyType"/>
    </xmlCellPr>
  </singleXmlCell>
  <singleXmlCell id="3814" xr6:uid="{5E84075C-7253-4B4F-A14C-CF0FD30F41DD}" r="F105" connectionId="0">
    <xmlCellPr id="1" xr6:uid="{D57D7CC6-C614-41DB-A4C8-3A658ACCB085}" uniqueName="Q10_Colour">
      <xmlPr mapId="7" xpath="/MAKE/COP/COPDynamic/SIDE/Neck_Assessment/@Q10_Colour" xmlDataType="anyType"/>
    </xmlCellPr>
  </singleXmlCell>
  <singleXmlCell id="3815" xr6:uid="{5EFD0E7E-EF61-4E7A-A96F-AF1F0184F75F}" r="D106" connectionId="0">
    <xmlCellPr id="1" xr6:uid="{CB7FD769-A01A-4D48-9FA1-8AA35CE62C70}" uniqueName="Q6_Colour">
      <xmlPr mapId="7" xpath="/MAKE/COP/COPDynamic/SIDE/Chest_Assessment/@Q6_Colour" xmlDataType="anyType"/>
    </xmlCellPr>
  </singleXmlCell>
  <singleXmlCell id="3816" xr6:uid="{C78A738B-8671-4C50-8100-39B4CB75C696}" r="F106" connectionId="0">
    <xmlCellPr id="1" xr6:uid="{3ECC961B-21FF-4C88-86FB-A8EEFCDDB85C}" uniqueName="Q10_Colour">
      <xmlPr mapId="7" xpath="/MAKE/COP/COPDynamic/SIDE/Chest_Assessment/@Q10_Colour" xmlDataType="anyType"/>
    </xmlCellPr>
  </singleXmlCell>
  <singleXmlCell id="3780" xr6:uid="{9C0A731D-FB58-41D5-BFC8-A8939F259910}" r="C117" connectionId="0">
    <xmlCellPr id="1" xr6:uid="{C975631C-9BA9-487F-BE1D-84ECAF4B402B}" uniqueName="ROUNDED_TOTAL">
      <xmlPr mapId="7" xpath="/MAKE/COP/COPVehicleBased/@ROUNDED_TOTAL" xmlDataType="anyType"/>
    </xmlCellPr>
  </singleXmlCell>
  <singleXmlCell id="3781" xr6:uid="{AAC62783-FDDE-45A2-A35F-AA5F62255B93}" r="C118" connectionId="0">
    <xmlCellPr id="1" xr6:uid="{81927305-B998-46EA-A1CD-7454E1922BB5}" uniqueName="MAX_POINTS">
      <xmlPr mapId="7" xpath="/MAKE/COP/COPVehicleBased/@MAX_POINTS" xmlDataType="integer"/>
    </xmlCellPr>
  </singleXmlCell>
  <singleXmlCell id="4024" xr6:uid="{3C8A9BE6-1505-4C33-90C1-C310A7A19C4C}" r="D112" connectionId="0">
    <xmlCellPr id="1" xr6:uid="{7BEF0871-90C8-476D-A49D-AB00E784E05B}" uniqueName="Front_Passenger">
      <xmlPr mapId="7" xpath="/MAKE/COP/COPVehicleBased/Website_Table/ISOFIX/@Front_Passenger" xmlDataType="string"/>
    </xmlCellPr>
  </singleXmlCell>
  <singleXmlCell id="4041" xr6:uid="{E73022E0-8C3C-41DF-BEBF-2BFB0BD284A5}" r="E112" connectionId="0">
    <xmlCellPr id="1" xr6:uid="{6AFA3240-EE2D-40B1-86FC-6F69F893681A}" uniqueName="Row2_Outboard">
      <xmlPr mapId="7" xpath="/MAKE/COP/COPVehicleBased/Website_Table/ISOFIX/@Row2_Outboard" xmlDataType="string"/>
    </xmlCellPr>
  </singleXmlCell>
  <singleXmlCell id="4045" xr6:uid="{6E68C2FA-A28C-4D63-B0D8-C1815303143F}" r="F112" connectionId="0">
    <xmlCellPr id="1" xr6:uid="{E10AEF5D-E271-44AB-AA2D-B7D326F638E6}" uniqueName="Row2_Centre">
      <xmlPr mapId="7" xpath="/MAKE/COP/COPVehicleBased/Website_Table/ISOFIX/@Row2_Centre" xmlDataType="string"/>
    </xmlCellPr>
  </singleXmlCell>
  <singleXmlCell id="4048" xr6:uid="{61552C8E-F340-4820-A633-79A57F26381C}" r="G112" connectionId="0">
    <xmlCellPr id="1" xr6:uid="{5C346B94-CD3C-48DD-8221-AAA5AD5B76DA}" uniqueName="Row3_Outboard">
      <xmlPr mapId="7" xpath="/MAKE/COP/COPVehicleBased/Website_Table/ISOFIX/@Row3_Outboard" xmlDataType="string"/>
    </xmlCellPr>
  </singleXmlCell>
  <singleXmlCell id="4049" xr6:uid="{5865F656-9026-430B-889E-2C491C61E3E2}" r="H112" connectionId="0">
    <xmlCellPr id="1" xr6:uid="{8D0F94AE-8137-4379-BB55-2EEA32123148}" uniqueName="Row3_Centre">
      <xmlPr mapId="7" xpath="/MAKE/COP/COPVehicleBased/Website_Table/ISOFIX/@Row3_Centre" xmlDataType="string"/>
    </xmlCellPr>
  </singleXmlCell>
  <singleXmlCell id="4052" xr6:uid="{CF62E930-A343-4EDE-93F6-6AA93037F3BE}" r="D113" connectionId="0">
    <xmlCellPr id="1" xr6:uid="{896140DC-AA41-4232-AB95-656F1C767832}" uniqueName="Front_Passenger">
      <xmlPr mapId="7" xpath="/MAKE/COP/COPVehicleBased/Website_Table/iSize/@Front_Passenger" xmlDataType="string"/>
    </xmlCellPr>
  </singleXmlCell>
  <singleXmlCell id="4053" xr6:uid="{5792315C-72B7-431F-861B-B95951318356}" r="E113" connectionId="0">
    <xmlCellPr id="1" xr6:uid="{CB234550-FC88-45C6-B1E0-58BE57F92AB9}" uniqueName="Row2_Outboard">
      <xmlPr mapId="7" xpath="/MAKE/COP/COPVehicleBased/Website_Table/iSize/@Row2_Outboard" xmlDataType="string"/>
    </xmlCellPr>
  </singleXmlCell>
  <singleXmlCell id="4056" xr6:uid="{0DA1284B-2E76-4F3B-A6C6-CA0B585BBDE5}" r="F113" connectionId="0">
    <xmlCellPr id="1" xr6:uid="{74109ADA-1AE5-4A87-ABDA-D7D9E8B568FD}" uniqueName="Row2_Centre">
      <xmlPr mapId="7" xpath="/MAKE/COP/COPVehicleBased/Website_Table/iSize/@Row2_Centre" xmlDataType="string"/>
    </xmlCellPr>
  </singleXmlCell>
  <singleXmlCell id="4057" xr6:uid="{7D14F9F7-5FD6-4177-B955-C9CC4D00C00A}" r="G113" connectionId="0">
    <xmlCellPr id="1" xr6:uid="{FB08EFE8-D0AD-453B-8339-03FA70EC4E44}" uniqueName="Row3_Outboard">
      <xmlPr mapId="7" xpath="/MAKE/COP/COPVehicleBased/Website_Table/iSize/@Row3_Outboard" xmlDataType="string"/>
    </xmlCellPr>
  </singleXmlCell>
  <singleXmlCell id="4062" xr6:uid="{6287CF50-D20F-46F2-A085-971E8D3C2A4E}" r="H113" connectionId="0">
    <xmlCellPr id="1" xr6:uid="{7056E497-C9C3-42DC-970B-635399E417A9}" uniqueName="Row3_Centre">
      <xmlPr mapId="7" xpath="/MAKE/COP/COPVehicleBased/Website_Table/iSize/@Row3_Centre" xmlDataType="string"/>
    </xmlCellPr>
  </singleXmlCell>
  <singleXmlCell id="4063" xr6:uid="{1BB52ED1-8164-4417-A3A4-D842B83065F0}" r="D116" connectionId="0">
    <xmlCellPr id="1" xr6:uid="{38D14686-67CF-4F7A-81A5-16C1D99C4868}" uniqueName="Front_Passenger">
      <xmlPr mapId="7" xpath="/MAKE/COP/COPVehicleBased/Website_Table/Integrated_CRS/@Front_Passenger" xmlDataType="string"/>
    </xmlCellPr>
  </singleXmlCell>
  <singleXmlCell id="4064" xr6:uid="{63D9033F-B15E-4FA8-8738-E58A05E28BB2}" r="E116" connectionId="0">
    <xmlCellPr id="1" xr6:uid="{D74EFF3D-6185-4AEA-BDA8-218F25AE2264}" uniqueName="Row2_Outboard">
      <xmlPr mapId="7" xpath="/MAKE/COP/COPVehicleBased/Website_Table/Integrated_CRS/@Row2_Outboard" xmlDataType="string"/>
    </xmlCellPr>
  </singleXmlCell>
  <singleXmlCell id="4065" xr6:uid="{A77A668B-46F3-4A01-AE1C-8160EA0AD22D}" r="F116" connectionId="0">
    <xmlCellPr id="1" xr6:uid="{FA3C1E99-932B-47EC-8B1F-50578A86ABDE}" uniqueName="Row2_Centre">
      <xmlPr mapId="7" xpath="/MAKE/COP/COPVehicleBased/Website_Table/Integrated_CRS/@Row2_Centre" xmlDataType="string"/>
    </xmlCellPr>
  </singleXmlCell>
  <singleXmlCell id="4066" xr6:uid="{E928AB3D-0DDF-4374-BB1B-B3D021EC2082}" r="G116" connectionId="0">
    <xmlCellPr id="1" xr6:uid="{181AED9D-8C34-4A8C-9B3A-BA60101FDC6E}" uniqueName="Row3_Outboard">
      <xmlPr mapId="7" xpath="/MAKE/COP/COPVehicleBased/Website_Table/Integrated_CRS/@Row3_Outboard" xmlDataType="string"/>
    </xmlCellPr>
  </singleXmlCell>
  <singleXmlCell id="4067" xr6:uid="{14F4CE2F-2C3E-41F2-9CB8-D56AAFA2E203}" r="H116" connectionId="0">
    <xmlCellPr id="1" xr6:uid="{845820A5-DB4B-4EEB-A8F1-19F8D920F446}" uniqueName="Row3_Centre">
      <xmlPr mapId="7" xpath="/MAKE/COP/COPVehicleBased/Website_Table/Integrated_CRS/@Row3_Centre" xmlDataType="string"/>
    </xmlCellPr>
  </singleXmlCell>
  <singleXmlCell id="4069" xr6:uid="{5CC6F41C-72AA-430B-AA17-C05D929A9303}" r="C82" connectionId="0">
    <xmlCellPr id="1" xr6:uid="{2590A158-A5C4-4CEE-9D04-71EF48776685}" uniqueName="Rescue_Sheet_Comment">
      <xmlPr mapId="7" xpath="/MAKE/AOP/RESCUE/@Rescue_Sheet_Comment" xmlDataType="string"/>
    </xmlCellPr>
  </singleXmlCell>
  <singleXmlCell id="4070" xr6:uid="{5EDAD52B-473D-4E68-B23E-A7D79AAE3099}" r="C83" connectionId="0">
    <xmlCellPr id="1" xr6:uid="{3B309023-39A9-457D-9B9E-70C6EDBBF43F}" uniqueName="Adv_eCall_Comment">
      <xmlPr mapId="7" xpath="/MAKE/AOP/RESCUE/@Adv_eCall_Comment" xmlDataType="string"/>
    </xmlCellPr>
  </singleXmlCell>
  <singleXmlCell id="4071" xr6:uid="{39178F03-984E-4F93-80CD-5EBF2FD913D6}" r="C84" connectionId="0">
    <xmlCellPr id="1" xr6:uid="{0D626FCD-0CF0-4268-8882-AAE8B137C385}" uniqueName="MCB_Sheet_Comment">
      <xmlPr mapId="7" xpath="/MAKE/AOP/RESCUE/@MCB_Sheet_Comment" xmlDataType="string"/>
    </xmlCellPr>
  </singleXmlCell>
  <singleXmlCell id="4072" xr6:uid="{B0E4B046-1796-407C-A158-5E83807F25B5}" r="C87" connectionId="0">
    <xmlCellPr id="1" xr6:uid="{9D4B0FAB-9E87-404E-92B5-D0B779033E83}" uniqueName="Extrication_Points_rounded">
      <xmlPr mapId="7" xpath="/MAKE/AOP/RESCUE/Extrication/@Extrication_Points_rounded" xmlDataType="decimal"/>
    </xmlCellPr>
  </singleXmlCell>
  <singleXmlCell id="4073" xr6:uid="{38245D6C-7180-4642-B1CE-26954FF8FBF2}" r="C88" connectionId="0">
    <xmlCellPr id="1" xr6:uid="{66037026-4F10-47C4-A1AD-BE0477EA3D0C}" uniqueName="Post_Crash_Points_rounded">
      <xmlPr mapId="7" xpath="/MAKE/AOP/RESCUE/Post-Crash_Tech/@Post_Crash_Points_rounded" xmlDataType="decimal"/>
    </xmlCellPr>
  </singleXmlCell>
  <singleXmlCell id="4074" xr6:uid="{0F2DC558-D72E-4243-A6BD-DC59FCEDFD2F}" r="C90" connectionId="0">
    <xmlCellPr id="1" xr6:uid="{D50039F0-20F6-4140-8788-87AA158C3022}" uniqueName="Max_Points_RESCUE">
      <xmlPr mapId="7" xpath="/MAKE/AOP/RESCUE/@Max_Points_RESCUE" xmlDataType="anyType"/>
    </xmlCellPr>
  </singleXmlCell>
  <singleXmlCell id="4367" xr6:uid="{6C729DEE-E207-4994-A8FF-3D745C3F011E}" r="C121" connectionId="0">
    <xmlCellPr id="1" xr6:uid="{A7051521-6C52-4EFF-8D02-11FDF2ED76D9}" uniqueName="ROUNDED_TOTAL">
      <xmlPr mapId="7" xpath="/MAKE/COP/COPCRSInstallation/@ROUNDED_TOTAL" xmlDataType="decimal"/>
    </xmlCellPr>
  </singleXmlCell>
  <singleXmlCell id="4368" xr6:uid="{072EB605-1480-4216-AAC9-BD14A12E269E}" r="C122" connectionId="0">
    <xmlCellPr id="1" xr6:uid="{98E2CE49-EF06-4FCE-B24F-9C7BB88D444D}" uniqueName="MAX_POINTS">
      <xmlPr mapId="7" xpath="/MAKE/COP/COPCRSInstallation/@MAX_POINTS" xmlDataType="integer"/>
    </xmlCellPr>
  </singleXmlCell>
  <singleXmlCell id="4103" xr6:uid="{BDD03E66-6588-4B5B-862C-A9D2A40C6896}" r="D115" connectionId="0">
    <xmlCellPr id="1" xr6:uid="{CCCBE8B6-4817-4685-9CCC-5574ACCCE965}" uniqueName="Front_Passenger">
      <xmlPr mapId="7" xpath="/MAKE/COP/COPVehicleBased/Website_Table/CPD/@Front_Passenger" xmlDataType="string"/>
    </xmlCellPr>
  </singleXmlCell>
  <singleXmlCell id="4104" xr6:uid="{8F84C764-DE51-4F18-AB64-CEFD6C0B1044}" r="E115" connectionId="0">
    <xmlCellPr id="1" xr6:uid="{C0342DB5-1CFB-4A27-AD61-71665289D7ED}" uniqueName="Row2_Outboard">
      <xmlPr mapId="7" xpath="/MAKE/COP/COPVehicleBased/Website_Table/CPD/@Row2_Outboard" xmlDataType="string"/>
    </xmlCellPr>
  </singleXmlCell>
  <singleXmlCell id="4105" xr6:uid="{02EB563A-2942-4A85-84BF-EBBA7552701C}" r="F115" connectionId="0">
    <xmlCellPr id="1" xr6:uid="{39EAAA9A-936E-485A-A756-468F13DEB15C}" uniqueName="Row2_Centre">
      <xmlPr mapId="7" xpath="/MAKE/COP/COPVehicleBased/Website_Table/CPD/@Row2_Centre" xmlDataType="string"/>
    </xmlCellPr>
  </singleXmlCell>
  <singleXmlCell id="4106" xr6:uid="{56DC2FB1-D52D-46AD-8DBF-C5B2B53A957B}" r="G115" connectionId="0">
    <xmlCellPr id="1" xr6:uid="{8140C10F-BF6F-4B2F-83B1-EFE2A6021576}" uniqueName="Row3_Outboard">
      <xmlPr mapId="7" xpath="/MAKE/COP/COPVehicleBased/Website_Table/CPD/@Row3_Outboard" xmlDataType="string"/>
    </xmlCellPr>
  </singleXmlCell>
  <singleXmlCell id="4107" xr6:uid="{CE11E15C-3FCD-48D0-95D5-5564DE6F90EB}" r="H115" connectionId="0">
    <xmlCellPr id="1" xr6:uid="{5D48A79A-050D-45A1-8E7F-6ABBFE369395}" uniqueName="Row3_Centre">
      <xmlPr mapId="7" xpath="/MAKE/COP/COPVehicleBased/Website_Table/CPD/@Row3_Centre" xmlDataType="string"/>
    </xmlCellPr>
  </singleXmlCell>
  <singleXmlCell id="4108" xr6:uid="{EA6E9C93-85FC-4B33-B25F-026277C95DB8}" r="C227" connectionId="0">
    <xmlCellPr id="1" xr6:uid="{A71EDE18-F738-4925-8A4C-3A736C31A837}" uniqueName="Day_AEB_Score">
      <xmlPr mapId="7" xpath="/MAKE/PP/AEB_VRU/WEBSITE/AEB_Pedestrian/@Day_AEB_Score" xmlDataType="decimal"/>
    </xmlCellPr>
  </singleXmlCell>
  <singleXmlCell id="4109" xr6:uid="{A5F9A0AF-7F8D-404F-8380-5EEF16A254F1}" r="D227" connectionId="0">
    <xmlCellPr id="1" xr6:uid="{AEBB0D53-B5C6-47B2-B1D6-2AF07DC6D102}" uniqueName="Day_AEB_Colour">
      <xmlPr mapId="7" xpath="/MAKE/PP/AEB_VRU/WEBSITE/AEB_Pedestrian/@Day_AEB_Colour" xmlDataType="string"/>
    </xmlCellPr>
  </singleXmlCell>
  <singleXmlCell id="4111" xr6:uid="{2FBF33CC-C75F-417B-A0A0-9FAE79FAA6A6}" r="D228" connectionId="0">
    <xmlCellPr id="1" xr6:uid="{F45AD1A1-08FC-4D08-B4E2-8E0A96565086}" uniqueName="Day_AEB_Colour">
      <xmlPr mapId="7" xpath="/MAKE/PP/AEB_VRU/WEBSITE/AEB_Pedestrian/Car_reversing/@Day_AEB_Colour" xmlDataType="string"/>
    </xmlCellPr>
  </singleXmlCell>
  <singleXmlCell id="4112" xr6:uid="{9742D5B1-F169-4031-9236-2F3326C5F818}" r="D229" connectionId="0">
    <xmlCellPr id="1" xr6:uid="{258AA9A5-8F7A-406F-B2CA-A05BE4F375BF}" uniqueName="Day_AEB_Colour">
      <xmlPr mapId="7" xpath="/MAKE/PP/AEB_VRU/WEBSITE/AEB_Pedestrian/Adult_crossing_rd_into_which_car_turning/@Day_AEB_Colour" xmlDataType="string"/>
    </xmlCellPr>
  </singleXmlCell>
  <singleXmlCell id="4113" xr6:uid="{52560A2F-2EED-4693-AA7D-39673575B319}" r="D230" connectionId="0">
    <xmlCellPr id="1" xr6:uid="{6EDE98B8-E583-43D3-A685-F650AD6795C7}" uniqueName="Day_AEB_Colour">
      <xmlPr mapId="7" xpath="/MAKE/PP/AEB_VRU/WEBSITE/AEB_Pedestrian/Adult_crossing_rd/@Day_AEB_Colour" xmlDataType="string"/>
    </xmlCellPr>
  </singleXmlCell>
  <singleXmlCell id="4114" xr6:uid="{9732DC3E-6962-4593-B9BF-E4E500F26303}" r="D231" connectionId="0">
    <xmlCellPr id="1" xr6:uid="{CB387FD1-5AE7-4FDF-82F9-CED5A7851831}" uniqueName="Day_AEB_Colour">
      <xmlPr mapId="7" xpath="/MAKE/PP/AEB_VRU/WEBSITE/AEB_Pedestrian/Child_running_from_behing_parked_cars/@Day_AEB_Colour" xmlDataType="string"/>
    </xmlCellPr>
  </singleXmlCell>
  <singleXmlCell id="4115" xr6:uid="{38391C94-AD9B-4FF4-B884-73904A626446}" r="D232" connectionId="0">
    <xmlCellPr id="1" xr6:uid="{C39A94B1-434B-4CA9-909F-17E7EEC84AB1}" uniqueName="Day_AEB_Colour">
      <xmlPr mapId="7" xpath="/MAKE/PP/AEB_VRU/WEBSITE/AEB_Pedestrian/Adult_along_roadside/@Day_AEB_Colour" xmlDataType="string"/>
    </xmlCellPr>
  </singleXmlCell>
  <singleXmlCell id="4116" xr6:uid="{114379B0-F63C-4F30-8B71-1FCD433152B2}" r="C233" connectionId="0">
    <xmlCellPr id="1" xr6:uid="{DCA4FF58-66C3-43F1-B9C4-17317F8860EC}" uniqueName="Day_AEB_Score">
      <xmlPr mapId="7" xpath="/MAKE/PP/AEB_VRU/WEBSITE/AEB_Bicyclist/@Day_AEB_Score" xmlDataType="decimal"/>
    </xmlCellPr>
  </singleXmlCell>
  <singleXmlCell id="4117" xr6:uid="{CDDEA212-1CE1-4E20-B020-F9953E19FDD3}" r="D233" connectionId="0">
    <xmlCellPr id="1" xr6:uid="{1D5AB253-24D9-4075-8C9A-DEEFC8A69868}" uniqueName="Day_AEB_Colour">
      <xmlPr mapId="7" xpath="/MAKE/PP/AEB_VRU/WEBSITE/AEB_Bicyclist/@Day_AEB_Colour" xmlDataType="string"/>
    </xmlCellPr>
  </singleXmlCell>
  <singleXmlCell id="4118" xr6:uid="{D5C45905-C939-4230-A73B-52E4489E78D2}" r="F230" connectionId="0">
    <xmlCellPr id="1" xr6:uid="{8A6583EF-1D7C-4E52-A1B6-3CE2CCFC95CE}" uniqueName="Night_FCW_Colour">
      <xmlPr mapId="7" xpath="/MAKE/PP/AEB_VRU/WEBSITE/AEB_Pedestrian/Adult_crossing_rd/@Night_FCW_Colour" xmlDataType="string"/>
    </xmlCellPr>
  </singleXmlCell>
  <singleXmlCell id="4120" xr6:uid="{5A8D9B31-92B3-4D39-87C2-089DD3C2DF53}" r="F231" connectionId="0">
    <xmlCellPr id="1" xr6:uid="{37B05C82-4FBF-4D03-9D67-02BCC8BAAE25}" uniqueName="Night_FCW_Colour">
      <xmlPr mapId="7" xpath="/MAKE/PP/AEB_VRU/WEBSITE/AEB_Pedestrian/Child_running_from_behing_parked_cars/@Night_FCW_Colour" xmlDataType="string"/>
    </xmlCellPr>
  </singleXmlCell>
  <singleXmlCell id="4121" xr6:uid="{FA280736-78EE-4187-85A4-73CADC6B4772}" r="F232" connectionId="0">
    <xmlCellPr id="1" xr6:uid="{4E7B49F2-6AFC-456D-8778-B17A86C3DF60}" uniqueName="Night_FCW_Colour">
      <xmlPr mapId="7" xpath="/MAKE/PP/AEB_VRU/WEBSITE/AEB_Pedestrian/Adult_along_roadside/@Night_FCW_Colour" xmlDataType="string"/>
    </xmlCellPr>
  </singleXmlCell>
  <singleXmlCell id="4306" xr6:uid="{7D765122-C2B4-4647-996F-3392A59EE220}" r="D234" connectionId="0">
    <xmlCellPr id="1" xr6:uid="{E2B5B593-6FF5-42E8-AE8A-232E308F32C8}" uniqueName="Day_AEB_Colour">
      <xmlPr mapId="7" xpath="/MAKE/PP/AEB_VRU/WEBSITE/AEB_Bicyclist/Approaching_cyclist_crossing_from_behind/@Day_AEB_Colour" xmlDataType="string"/>
    </xmlCellPr>
  </singleXmlCell>
  <singleXmlCell id="4307" xr6:uid="{297A4D4D-EF6E-42A6-B0ED-7D973A0BC558}" r="D235" connectionId="0">
    <xmlCellPr id="1" xr6:uid="{C99DBDF0-3A5E-45C3-B43F-7D955F396156}" uniqueName="Day_AEB_Colour">
      <xmlPr mapId="7" xpath="/MAKE/PP/AEB_VRU/WEBSITE/AEB_Bicyclist/Turning_across_path_oncoming/@Day_AEB_Colour" xmlDataType="string"/>
    </xmlCellPr>
  </singleXmlCell>
  <singleXmlCell id="4308" xr6:uid="{BF12E82E-52E3-4760-87A9-0B40689634A6}" r="D236" connectionId="0">
    <xmlCellPr id="1" xr6:uid="{DF65CE36-4DDC-4BB5-9F7D-9AEC141ECB0A}" uniqueName="Day_AEB_Colour">
      <xmlPr mapId="7" xpath="/MAKE/PP/AEB_VRU/WEBSITE/AEB_Bicyclist/Approaching_crossing/@Day_AEB_Colour" xmlDataType="string"/>
    </xmlCellPr>
  </singleXmlCell>
  <singleXmlCell id="4309" xr6:uid="{9EEC07CF-B55F-42F2-995A-4FA5B17FE557}" r="D237" connectionId="0">
    <xmlCellPr id="1" xr6:uid="{A81AD2F1-0BD9-4427-BB98-7A0145ED5103}" uniqueName="Day_AEB_Colour">
      <xmlPr mapId="7" xpath="/MAKE/PP/AEB_VRU/WEBSITE/AEB_Bicyclist/Approaching_cyclist_along_road/@Day_AEB_Colour" xmlDataType="string"/>
    </xmlCellPr>
  </singleXmlCell>
  <singleXmlCell id="4310" xr6:uid="{A2EBB838-AF1D-41F5-A06D-4D5880374473}" r="D238" connectionId="0">
    <xmlCellPr id="1" xr6:uid="{B69751D2-3CE5-45C2-9B03-1C23E6F2CF5E}" uniqueName="Day_AEB_Colour">
      <xmlPr mapId="7" xpath="/MAKE/PP/AEB_VRU/WEBSITE/Cyclist_Dooring_Prevention/@Day_AEB_Colour" xmlDataType="string"/>
    </xmlCellPr>
  </singleXmlCell>
  <singleXmlCell id="4311" xr6:uid="{2850FDED-B087-4615-8353-31607A61254E}" r="C238" connectionId="0">
    <xmlCellPr id="1" xr6:uid="{2B3273BE-04D2-4675-8735-B49C34E1651A}" uniqueName="Day_AEB_Score">
      <xmlPr mapId="7" xpath="/MAKE/PP/AEB_VRU/WEBSITE/Cyclist_Dooring_Prevention/@Day_AEB_Score" xmlDataType="decimal"/>
    </xmlCellPr>
  </singleXmlCell>
  <singleXmlCell id="4370" xr6:uid="{310E1E12-2802-4062-8093-DE2C19DF760E}" r="C240" connectionId="0">
    <xmlCellPr id="1" xr6:uid="{FAF598C0-B965-4363-937B-97E41B2A87F8}" uniqueName="Day_AEB_Score">
      <xmlPr mapId="7" xpath="/MAKE/PP/AEB_VRU/WEBSITE/AEB_Motorcyclist/@Day_AEB_Score" xmlDataType="decimal"/>
    </xmlCellPr>
  </singleXmlCell>
  <singleXmlCell id="4371" xr6:uid="{962E1CC2-5D3D-4BF9-9FC7-9FA5937F279D}" r="D240" connectionId="0">
    <xmlCellPr id="1" xr6:uid="{8A73B96D-D35F-42EB-B9AB-E10C29FFC940}" uniqueName="Day_AEB_Colour">
      <xmlPr mapId="7" xpath="/MAKE/PP/AEB_VRU/WEBSITE/AEB_Motorcyclist/@Day_AEB_Colour" xmlDataType="string"/>
    </xmlCellPr>
  </singleXmlCell>
  <singleXmlCell id="4372" xr6:uid="{1A987C9E-190E-4E26-B291-D51E9319EF8D}" r="D241" connectionId="0">
    <xmlCellPr id="1" xr6:uid="{B21A68EA-79F4-48E0-9295-C3DE0B45DA1C}" uniqueName="Day_AEB_Colour">
      <xmlPr mapId="7" xpath="/MAKE/PP/AEB_VRU/WEBSITE/AEB_Motorcyclist/Approaching_stationary_m_cyclist/@Day_AEB_Colour" xmlDataType="string"/>
    </xmlCellPr>
  </singleXmlCell>
  <singleXmlCell id="4373" xr6:uid="{38AFB85E-9265-477D-914D-0FB825FE8796}" r="F241" connectionId="0">
    <xmlCellPr id="1" xr6:uid="{E408AAA9-638D-474B-AB02-FD5A051A7F6A}" uniqueName="Night_FCW_Colour">
      <xmlPr mapId="7" xpath="/MAKE/PP/AEB_VRU/WEBSITE/AEB_Motorcyclist/Approaching_stationary_m_cyclist/@Night_FCW_Colour" xmlDataType="string"/>
    </xmlCellPr>
  </singleXmlCell>
  <singleXmlCell id="4374" xr6:uid="{409E5A4A-504F-4E64-9FDF-4CDBE2A380B2}" r="D242" connectionId="0">
    <xmlCellPr id="1" xr6:uid="{1CD75208-4233-4808-AC42-E4CF4A7AA290}" uniqueName="Day_AEB_Colour">
      <xmlPr mapId="7" xpath="/MAKE/PP/AEB_VRU/WEBSITE/AEB_Motorcyclist/Approaching_braking_m_cyclist/@Day_AEB_Colour" xmlDataType="string"/>
    </xmlCellPr>
  </singleXmlCell>
  <singleXmlCell id="4375" xr6:uid="{B0B45B42-FDB2-4223-A023-8896DAAB8159}" r="F242" connectionId="0">
    <xmlCellPr id="1" xr6:uid="{17D7F7F6-CDF9-4AFB-BF9C-27E110FE01AE}" uniqueName="Night_FCW_Colour">
      <xmlPr mapId="7" xpath="/MAKE/PP/AEB_VRU/WEBSITE/AEB_Motorcyclist/Approaching_braking_m_cyclist/@Night_FCW_Colour" xmlDataType="string"/>
    </xmlCellPr>
  </singleXmlCell>
  <singleXmlCell id="4376" xr6:uid="{3EACEBE3-29E3-46EB-AB74-EE65B4BD69ED}" r="D243" connectionId="0">
    <xmlCellPr id="1" xr6:uid="{A5829A76-5910-4750-BAFA-FDE295F88288}" uniqueName="Day_AEB_Colour">
      <xmlPr mapId="7" xpath="/MAKE/PP/AEB_VRU/WEBSITE/AEB_Motorcyclist/Turn_across_oncoming_m_cyclist/@Day_AEB_Colour" xmlDataType="string"/>
    </xmlCellPr>
  </singleXmlCell>
  <singleXmlCell id="4377" xr6:uid="{8ADC51A0-9263-4E85-A0ED-314016E486C7}" r="C244" connectionId="0">
    <xmlCellPr id="1" xr6:uid="{865B1FB6-D8A3-4855-B0DC-C15A8A2BBDE7}" uniqueName="Day_AEB_Score">
      <xmlPr mapId="7" xpath="/MAKE/PP/AEB_VRU/WEBSITE/LSS_Motorcyclist/@Day_AEB_Score" xmlDataType="decimal"/>
    </xmlCellPr>
  </singleXmlCell>
  <singleXmlCell id="4378" xr6:uid="{0882F7E7-EEBE-4CC5-8AEF-459104FB2548}" r="D244" connectionId="0">
    <xmlCellPr id="1" xr6:uid="{07893C29-3644-4488-AEF2-74F8B064A525}" uniqueName="Day_AEB_Colour">
      <xmlPr mapId="7" xpath="/MAKE/PP/AEB_VRU/WEBSITE/LSS_Motorcyclist/@Day_AEB_Colour" xmlDataType="string"/>
    </xmlCellPr>
  </singleXmlCell>
  <singleXmlCell id="4379" xr6:uid="{31970B7C-29EC-46CC-9445-DAC5C3290979}" r="D245" connectionId="0">
    <xmlCellPr id="1" xr6:uid="{2A73FB9C-5A6C-4129-AA94-7764A2E2C347}" uniqueName="Day_AEB_Colour">
      <xmlPr mapId="7" xpath="/MAKE/PP/AEB_VRU/WEBSITE/LSS_Motorcyclist/Changing_oncoming/@Day_AEB_Colour" xmlDataType="string"/>
    </xmlCellPr>
  </singleXmlCell>
  <singleXmlCell id="4380" xr6:uid="{6EA1AFC4-1568-4E12-A993-B789DD51507B}" r="D246" connectionId="0">
    <xmlCellPr id="1" xr6:uid="{087093A6-79A7-4254-8D8F-5FF38C3D3BF3}" uniqueName="Day_AEB_Colour">
      <xmlPr mapId="7" xpath="/MAKE/PP/AEB_VRU/WEBSITE/LSS_Motorcyclist/Changing_overtaking/@Day_AEB_Colour" xmlDataType="string"/>
    </xmlCellPr>
  </singleXmlCell>
  <singleXmlCell id="4381" xr6:uid="{6FF85F99-E025-41E2-B701-341A63719754}" r="C85" connectionId="0">
    <xmlCellPr id="1" xr6:uid="{E4D06CF4-DE78-4D45-9E76-C88472FC2230}" uniqueName="Submergence_Comment">
      <xmlPr mapId="7" xpath="/MAKE/AOP/RESCUE/@Submergence_Comment" xmlDataType="string"/>
    </xmlCellPr>
  </singleXmlCell>
  <singleXmlCell id="4382" xr6:uid="{24E35072-541B-460B-9630-384A18BC86A0}" r="C120" connectionId="0">
    <xmlCellPr id="1" xr6:uid="{B6E36EE0-E7C7-4347-9FC3-0423A6D62D3E}" uniqueName="Seat_Arrangement">
      <xmlPr mapId="7" xpath="/MAKE/COP/COPCRSInstallation/Seat_Arrangement" xmlDataType="integer"/>
    </xmlCellPr>
  </singleXmlCell>
  <singleXmlCell id="4940" xr6:uid="{7C61EFF4-7C74-4E74-BEDF-6806A47CAC4C}" r="H227" connectionId="0">
    <xmlCellPr id="1" xr6:uid="{B606B57E-E0F1-4422-AC96-60731FAA868A}" uniqueName="Max_Points">
      <xmlPr mapId="7" xpath="/MAKE/PP/AEB_VRU/WEBSITE/AEB_Pedestrian/@Max_Points" xmlDataType="decimal"/>
    </xmlCellPr>
  </singleXmlCell>
  <singleXmlCell id="4968" xr6:uid="{CA21ED97-5A79-4955-9D51-049E6C5EA67F}" r="H233" connectionId="0">
    <xmlCellPr id="1" xr6:uid="{612D8555-C718-4396-B72C-A64E6FB7B262}" uniqueName="Max_Points">
      <xmlPr mapId="7" xpath="/MAKE/PP/AEB_VRU/WEBSITE/AEB_Bicyclist/@Max_Points" xmlDataType="decimal"/>
    </xmlCellPr>
  </singleXmlCell>
  <singleXmlCell id="4973" xr6:uid="{3D3C3418-9363-4A99-A806-DE4E0E20BF6E}" r="G239" connectionId="0">
    <xmlCellPr id="1" xr6:uid="{3F577702-121F-46EE-95F4-D13B675B5B9C}" uniqueName="Comment">
      <xmlPr mapId="7" xpath="/MAKE/PP/AEB_VRU/WEBSITE/Cyclist_Dooring_Prevention/Dooring_passing_cyclist/@Comment" xmlDataType="string"/>
    </xmlCellPr>
  </singleXmlCell>
  <singleXmlCell id="4974" xr6:uid="{987CE495-6057-47E3-BE8A-14E13D7CE73A}" r="H238" connectionId="0">
    <xmlCellPr id="1" xr6:uid="{FDEFBCB2-490E-4D9B-BCF9-D1DD8FF8F97B}" uniqueName="Max_Points">
      <xmlPr mapId="7" xpath="/MAKE/PP/AEB_VRU/WEBSITE/Cyclist_Dooring_Prevention/@Max_Points" xmlDataType="decimal"/>
    </xmlCellPr>
  </singleXmlCell>
  <singleXmlCell id="4975" xr6:uid="{B990850D-E549-43F5-8E24-7361296DDB71}" r="H239" connectionId="0">
    <xmlCellPr id="1" xr6:uid="{03A66217-10AD-4FB0-A3D4-ACC189F6130E}" uniqueName="Max_Points">
      <xmlPr mapId="7" xpath="/MAKE/PP/AEB_VRU/WEBSITE/Cyclist_Dooring_Prevention/Dooring_passing_cyclist/@Max_Points" xmlDataType="decimal"/>
    </xmlCellPr>
  </singleXmlCell>
  <singleXmlCell id="4976" xr6:uid="{DDA83882-E908-4B3D-8ED9-B18EBEBB4EA1}" r="H240" connectionId="0">
    <xmlCellPr id="1" xr6:uid="{2B2A13DA-2D5C-4979-A2F3-1D24C82330F3}" uniqueName="Max_Points">
      <xmlPr mapId="7" xpath="/MAKE/PP/AEB_VRU/WEBSITE/AEB_Motorcyclist/@Max_Points" xmlDataType="decimal"/>
    </xmlCellPr>
  </singleXmlCell>
  <singleXmlCell id="4980" xr6:uid="{25BB26A1-18D9-458F-88AA-2517970AA1F0}" r="H244" connectionId="0">
    <xmlCellPr id="1" xr6:uid="{AFB68E90-F66D-4A8D-B20A-601990B5685E}" uniqueName="Max_Points">
      <xmlPr mapId="7" xpath="/MAKE/PP/AEB_VRU/WEBSITE/LSS_Motorcyclist/@Max_Points" xmlDataType="decimal"/>
    </xmlCellPr>
  </singleXmlCell>
  <singleXmlCell id="4963" xr6:uid="{83A38037-E089-4E7D-B98D-59F210BF1591}" r="C276" connectionId="0">
    <xmlCellPr id="1" xr6:uid="{4F210BA6-E285-4222-95EE-11244589F223}" uniqueName="ROUNDED_TOTAL">
      <xmlPr mapId="7" xpath="/MAKE/SA/SA_AEB_Car_to_Car/@ROUNDED_TOTAL" xmlDataType="decimal"/>
    </xmlCellPr>
  </singleXmlCell>
  <singleXmlCell id="4964" xr6:uid="{4D8EBCA1-26B8-4223-80E7-1B90159F5316}" r="C281" connectionId="0">
    <xmlCellPr id="1" xr6:uid="{5C847103-8844-4DD6-B3E9-0096F6F06CA2}" uniqueName="Functionality">
      <xmlPr mapId="7" xpath="/MAKE/SA/SA_AEB_Car_to_Car/@Functionality" xmlDataType="string"/>
    </xmlCellPr>
  </singleXmlCell>
  <singleXmlCell id="4965" xr6:uid="{029E9B58-69E7-4F57-B9C8-16189B4EF205}" r="C279" connectionId="0">
    <xmlCellPr id="1" xr6:uid="{4596E045-90C2-40FC-8223-304C20C1645C}" uniqueName="Additional_Information">
      <xmlPr mapId="7" xpath="/MAKE/SA/SA_AEB_Car_to_Car/@Additional_Information" xmlDataType="string"/>
    </xmlCellPr>
  </singleXmlCell>
  <singleXmlCell id="4966" xr6:uid="{AD859FD7-1816-496E-B0DE-86912D5E7E54}" r="C278" connectionId="0">
    <xmlCellPr id="1" xr6:uid="{5234EDE6-FC7D-48A5-A8DF-6CBB534E2473}" uniqueName="Colour">
      <xmlPr mapId="7" xpath="/MAKE/SA/SA_AEB_Car_to_Car/@Colour" xmlDataType="string"/>
    </xmlCellPr>
  </singleXmlCell>
  <singleXmlCell id="4969" xr6:uid="{E00FE7AD-44F6-4F79-AA91-7B61ECB8105D}" r="C277" connectionId="0">
    <xmlCellPr id="1" xr6:uid="{ED3F284B-9758-4F13-B319-97AE8DD88BA7}" uniqueName="MAX_POINTS">
      <xmlPr mapId="7" xpath="/MAKE/SA/SA_AEB_Car_to_Car/@MAX_POINTS" xmlDataType="integer"/>
    </xmlCellPr>
  </singleXmlCell>
  <singleXmlCell id="4967" xr6:uid="{F119D5F0-1890-4983-83BD-642B92556FC1}" r="H286" connectionId="0">
    <xmlCellPr id="1" xr6:uid="{CC8FD6A7-0C99-4235-88EF-88CE4E458706}" uniqueName="Max_Points">
      <xmlPr mapId="7" xpath="/MAKE/SA/SA_AEB_Car_to_Car/WEBSITE/AEB_Car_Car/@Max_Points" xmlDataType="decimal"/>
    </xmlCellPr>
  </singleXmlCell>
  <singleXmlCell id="4970" xr6:uid="{59952759-71BD-4E2A-A349-1CF2DF566EC4}" r="D286" connectionId="0">
    <xmlCellPr id="1" xr6:uid="{3927FCB7-6CE0-4904-81ED-406824B9AF24}" uniqueName="Day_AEB_Colour">
      <xmlPr mapId="7" xpath="/MAKE/SA/SA_AEB_Car_to_Car/WEBSITE/AEB_Car_Car/@Day_AEB_Colour" xmlDataType="string"/>
    </xmlCellPr>
  </singleXmlCell>
  <singleXmlCell id="4971" xr6:uid="{3315E164-A5E6-455A-832A-D4E37C808482}" r="C286" connectionId="0">
    <xmlCellPr id="1" xr6:uid="{06E66E54-A732-4812-B96E-9844B81D95D1}" uniqueName="Day_AEB_Score">
      <xmlPr mapId="7" xpath="/MAKE/SA/SA_AEB_Car_to_Car/WEBSITE/AEB_Car_Car/@Day_AEB_Score" xmlDataType="decimal"/>
    </xmlCellPr>
  </singleXmlCell>
  <singleXmlCell id="4972" xr6:uid="{2A5CB4D7-88CB-4CDD-9FB1-A9E975767981}" r="D287" connectionId="0">
    <xmlCellPr id="1" xr6:uid="{F3986532-0F0D-46E9-9EAB-5677337EF132}" uniqueName="Day_AEB_Colour">
      <xmlPr mapId="7" xpath="/MAKE/SA/SA_AEB_Car_to_Car/WEBSITE/AEB_Car_Car/Approaching_car_crossing_juntion/@Day_AEB_Colour" xmlDataType="string"/>
    </xmlCellPr>
  </singleXmlCell>
  <singleXmlCell id="4977" xr6:uid="{B642B490-9A6E-4D88-B1D2-112A613535A2}" r="F287" connectionId="0">
    <xmlCellPr id="1" xr6:uid="{733800B4-D9A7-4176-B197-FCD51A133A65}" uniqueName="Night_FCW_Colour">
      <xmlPr mapId="7" xpath="/MAKE/SA/SA_AEB_Car_to_Car/WEBSITE/AEB_Car_Car/Approaching_car_crossing_juntion/@Night_FCW_Colour" xmlDataType="string"/>
    </xmlCellPr>
  </singleXmlCell>
  <singleXmlCell id="4978" xr6:uid="{7410FFC0-D53F-4C86-9134-1981C2E9F3EA}" r="D288" connectionId="0">
    <xmlCellPr id="1" xr6:uid="{FD29ABBC-F5BE-4001-807F-BFC72A1A577E}" uniqueName="Day_AEB_Colour">
      <xmlPr mapId="7" xpath="/MAKE/SA/SA_AEB_Car_to_Car/WEBSITE/AEB_Car_Car/Approaching_car_head_on/@Day_AEB_Colour" xmlDataType="string"/>
    </xmlCellPr>
  </singleXmlCell>
  <singleXmlCell id="4979" xr6:uid="{43A67D74-CFC5-4DE5-9B16-93F899E9DFCC}" r="D289" connectionId="0">
    <xmlCellPr id="1" xr6:uid="{5F2BCF47-8B11-4BBA-9394-A19C2ADF4D9A}" uniqueName="Day_AEB_Colour">
      <xmlPr mapId="7" xpath="/MAKE/SA/SA_AEB_Car_to_Car/WEBSITE/AEB_Car_Car/Turning_across_path/@Day_AEB_Colour" xmlDataType="string"/>
    </xmlCellPr>
  </singleXmlCell>
  <singleXmlCell id="4981" xr6:uid="{2258CB63-FD69-42CA-A055-A157B1EC836C}" r="D290" connectionId="0">
    <xmlCellPr id="1" xr6:uid="{C0684B78-9C18-4B29-A63D-3008C65D372B}" uniqueName="Day_AEB_Colour">
      <xmlPr mapId="7" xpath="/MAKE/SA/SA_AEB_Car_to_Car/WEBSITE/AEB_Car_Car/Approaching_stationary_car/@Day_AEB_Colour" xmlDataType="string"/>
    </xmlCellPr>
  </singleXmlCell>
  <singleXmlCell id="4982" xr6:uid="{DFA42DF4-84DE-464C-88F8-6B9AA90C858C}" r="F290" connectionId="0">
    <xmlCellPr id="1" xr6:uid="{020D224B-3581-4A79-94CF-4BD370AED4B6}" uniqueName="Night_FCW_Colour">
      <xmlPr mapId="7" xpath="/MAKE/SA/SA_AEB_Car_to_Car/WEBSITE/AEB_Car_Car/Approaching_stationary_car/@Night_FCW_Colour" xmlDataType="string"/>
    </xmlCellPr>
  </singleXmlCell>
  <singleXmlCell id="4983" xr6:uid="{D2B5C343-FE2C-4CAC-8387-F842D633E1D4}" r="D291" connectionId="0">
    <xmlCellPr id="1" xr6:uid="{95023FD3-9016-40D7-B5A8-00C9F4CD0EBF}" uniqueName="Day_AEB_Colour">
      <xmlPr mapId="7" xpath="/MAKE/SA/SA_AEB_Car_to_Car/WEBSITE/AEB_Car_Car/Approach_slower_moving_car/@Day_AEB_Colour" xmlDataType="string"/>
    </xmlCellPr>
  </singleXmlCell>
  <singleXmlCell id="4984" xr6:uid="{4217FE0F-0B82-44E6-8BFE-7A53A174970D}" r="D292" connectionId="0">
    <xmlCellPr id="1" xr6:uid="{E2E9D8EC-6BF2-4D50-9B55-BC24FD6713D5}" uniqueName="Day_AEB_Colour">
      <xmlPr mapId="7" xpath="/MAKE/SA/SA_AEB_Car_to_Car/WEBSITE/AEB_Car_Car/Approach_braking_car/@Day_AEB_Colour" xmlDataType="string"/>
    </xmlCellPr>
  </singleXmlCell>
  <singleXmlCell id="4985" xr6:uid="{CEC268FB-7D81-4E7D-9BAB-D10CBECAB4E5}" r="C126" connectionId="0">
    <xmlCellPr id="1" xr6:uid="{2F7BB975-DC5C-434C-A85E-765615D23465}" uniqueName="Ped_First_Row_On_Screen">
      <xmlPr mapId="7" xpath="/MAKE/GENERAL/VEHICLE_SPECIFICATION/Ped_First_Row_On_Screen" xmlDataType="integer"/>
    </xmlCellPr>
  </singleXmlCell>
  <singleXmlCell id="4986" xr6:uid="{79A1EB90-207B-42F5-B315-B2DB7260F36B}" r="C127" connectionId="0">
    <xmlCellPr id="1" xr6:uid="{E0E61458-5E86-4BA3-A009-6A7D39D1E166}" uniqueName="Pedestrian_Car_Type">
      <xmlPr mapId="7" xpath="/MAKE/GENERAL/VEHICLE_SPECIFICATION/Pedestrian_Car_Type" xmlDataType="string"/>
    </xmlCellPr>
  </singleXmlCell>
  <singleXmlCell id="4988" xr6:uid="{585D0A1F-4E68-4A89-9A6F-B1E0DC92EB41}" r="C297" connectionId="0">
    <xmlCellPr id="1" xr6:uid="{1547FC70-927C-4071-BBFB-897811A607E9}" uniqueName="Rounded_TOTAL_OSM">
      <xmlPr mapId="7" xpath="/MAKE/SA/SA_OSM/@Rounded_TOTAL_OSM" xmlDataType="decimal"/>
    </xmlCellPr>
  </singleXmlCell>
  <singleXmlCell id="4989" xr6:uid="{520E69F4-BF0D-4CD8-8DAA-54C5263A2304}" r="C298" connectionId="0">
    <xmlCellPr id="1" xr6:uid="{7EA09F76-8C13-4851-8035-6CE968FC06EE}" uniqueName="OSM_Max_Points">
      <xmlPr mapId="7" xpath="/MAKE/SA/SA_OSM/@OSM_Max_Points" xmlDataType="integer"/>
    </xmlCellPr>
  </singleXmlCell>
  <singleXmlCell id="4990" xr6:uid="{2FE86C61-D0BC-4DF3-B2C6-A340AC28EB2C}" r="C296" connectionId="0">
    <xmlCellPr id="1" xr6:uid="{2028ED70-D79A-40FC-8E66-28ADF6BFEF11}" uniqueName="Colour">
      <xmlPr mapId="7" xpath="/MAKE/SA/SA_OSM/@Colour" xmlDataType="string"/>
    </xmlCellPr>
  </singleXmlCell>
  <singleXmlCell id="4991" xr6:uid="{DC3D9A1C-44E5-40E1-B917-3A065B8BAD53}" r="C299" connectionId="0">
    <xmlCellPr id="1" xr6:uid="{DA8E2F25-3E7E-4AA3-91F8-7CC2B8CBF466}" uniqueName="Applies_To">
      <xmlPr mapId="7" xpath="/MAKE/SA/SA_OSM/SA_SBR/@Applies_To" xmlDataType="string"/>
    </xmlCellPr>
  </singleXmlCell>
  <singleXmlCell id="4993" xr6:uid="{9A114270-E0D7-4185-97A2-A31507811624}" r="C300" connectionId="0">
    <xmlCellPr id="1" xr6:uid="{C8A0E402-FA02-4628-B1F8-436AE9286539}" uniqueName="ROUNDED_TOTAL_SBR">
      <xmlPr mapId="7" xpath="/MAKE/SA/SA_OSM/SA_SBR/@ROUNDED_TOTAL_SBR" xmlDataType="anyType"/>
    </xmlCellPr>
  </singleXmlCell>
  <singleXmlCell id="4994" xr6:uid="{3F63CC93-B79B-4CDB-85F2-2BB88B53D59D}" r="C302" connectionId="0">
    <xmlCellPr id="1" xr6:uid="{BA7F1001-BD63-44C4-9368-810B4B8775FB}" uniqueName="Colour">
      <xmlPr mapId="7" xpath="/MAKE/SA/SA_OSM/SA_SBR/@Colour" xmlDataType="string"/>
    </xmlCellPr>
  </singleXmlCell>
  <singleXmlCell id="4996" xr6:uid="{AD03DC72-CECD-48DA-87F1-CED89592DEFE}" r="C301" connectionId="0">
    <xmlCellPr id="1" xr6:uid="{282BC3F6-211D-44D7-9C12-48516233C5D4}" uniqueName="MAX_POINTS">
      <xmlPr mapId="7" xpath="/MAKE/SA/SA_OSM/SA_SBR/@MAX_POINTS" xmlDataType="integer"/>
    </xmlCellPr>
  </singleXmlCell>
  <singleXmlCell id="4995" xr6:uid="{112B8D47-C9D7-4CE1-856F-107048C11769}" r="C308" connectionId="0">
    <xmlCellPr id="1" xr6:uid="{A4494777-B06B-4847-B935-29928A245CD2}" uniqueName="Min_Speed">
      <xmlPr mapId="7" xpath="/MAKE/SA/SA_OSM/Driver_Monitoring/@Min_Speed" xmlDataType="decimal"/>
    </xmlCellPr>
  </singleXmlCell>
  <singleXmlCell id="5006" xr6:uid="{F7C11792-2ED4-4836-ADEF-AF40CA99B9EE}" r="C305" connectionId="0">
    <xmlCellPr id="1" xr6:uid="{C29CBE7F-68D6-4C28-83B2-05907804428A}" uniqueName="Colour">
      <xmlPr mapId="7" xpath="/MAKE/SA/SA_OSM/Driver_Monitoring/@Colour" xmlDataType="string"/>
    </xmlCellPr>
  </singleXmlCell>
  <singleXmlCell id="5007" xr6:uid="{F54CA8AB-0335-4E95-BF61-1576ABDB75B6}" r="C309" connectionId="0">
    <xmlCellPr id="1" xr6:uid="{DF5303FC-11A4-48A7-BC6D-9D1745C52D28}" uniqueName="Fatigue_Comment">
      <xmlPr mapId="7" xpath="/MAKE/SA/SA_OSM/Driver_Monitoring/@Fatigue_Comment" xmlDataType="string"/>
    </xmlCellPr>
  </singleXmlCell>
  <singleXmlCell id="5008" xr6:uid="{F6620BFB-52BF-45D8-8D8D-B1F195C4F9E9}" r="C310" connectionId="0">
    <xmlCellPr id="1" xr6:uid="{E5DF2BE2-4999-4B9B-A014-417FAFC208D8}" uniqueName="Distraction_Comment">
      <xmlPr mapId="7" xpath="/MAKE/SA/SA_OSM/Driver_Monitoring/@Distraction_Comment" xmlDataType="string"/>
    </xmlCellPr>
  </singleXmlCell>
  <singleXmlCell id="5042" xr6:uid="{0B1B752D-B4AA-4E47-AF59-DC7C8493EFE2}" r="C311" connectionId="0">
    <xmlCellPr id="1" xr6:uid="{ADEBF5DE-BD63-418E-B3CB-C0556664CB69}" uniqueName="Impairment_Comment">
      <xmlPr mapId="7" xpath="/MAKE/SA/SA_OSM/Driver_Monitoring/@Impairment_Comment" xmlDataType="string"/>
    </xmlCellPr>
  </singleXmlCell>
  <singleXmlCell id="5043" xr6:uid="{9D4F621B-7C4A-48FC-8651-F79593DE6372}" r="C306" connectionId="0">
    <xmlCellPr id="1" xr6:uid="{F8BF0D14-E61F-470A-87FA-505B76C08FE5}" uniqueName="System_Name">
      <xmlPr mapId="7" xpath="/MAKE/SA/SA_OSM/Driver_Monitoring/@System_Name" xmlDataType="string"/>
    </xmlCellPr>
  </singleXmlCell>
  <singleXmlCell id="5044" xr6:uid="{4498B1AE-1F4D-4E9C-AB4E-9B7FA331FFDE}" r="C303" connectionId="0">
    <xmlCellPr id="1" xr6:uid="{7A8C37C3-6A4B-4EC0-A984-5F7612537D65}" uniqueName="Dr_monitoring_rounded">
      <xmlPr mapId="7" xpath="/MAKE/SA/SA_OSM/Driver_Monitoring/@Dr_monitoring_rounded" xmlDataType="decimal"/>
    </xmlCellPr>
  </singleXmlCell>
  <singleXmlCell id="5057" xr6:uid="{55C57BDE-1097-442B-9A85-ABC5E427FE06}" r="C304" connectionId="0">
    <xmlCellPr id="1" xr6:uid="{5CBAC9B4-DB8B-4F91-B4DD-2A746F93998F}" uniqueName="Max">
      <xmlPr mapId="7" xpath="/MAKE/SA/SA_OSM/Driver_Monitoring/@Max" xmlDataType="anyType"/>
    </xmlCellPr>
  </singleXmlCell>
  <singleXmlCell id="5058" xr6:uid="{77E7457C-C939-4B89-B1C4-3586F3383D63}" r="C307" connectionId="0">
    <xmlCellPr id="1" xr6:uid="{A87436BE-8263-4A2B-B4B4-75036C5A28CA}" uniqueName="System_Type">
      <xmlPr mapId="7" xpath="/MAKE/SA/SA_OSM/Driver_Monitoring/@System_Type" xmlDataType="string"/>
    </xmlCellPr>
  </singleXmlCell>
  <singleXmlCell id="5059" xr6:uid="{646D2642-18A6-4584-A6AA-E83486BA48BA}" r="D305" connectionId="0">
    <xmlCellPr id="1" xr6:uid="{EE87FC0E-9A90-4B31-8ACD-A4887AA72A07}" uniqueName="Dr_monitoring_Colour">
      <xmlPr mapId="7" xpath="/MAKE/SA/SA_OSM/Driver_Monitoring/@Dr_monitoring_Colour" xmlDataType="string"/>
    </xmlCellPr>
  </singleXmlCell>
  <singleXmlCell id="1323" xr6:uid="{D1B9F546-E70D-4A01-A489-539607CB3490}" r="C260" connectionId="0">
    <xmlCellPr id="1" xr6:uid="{A313DB63-D73B-4382-9586-108B0BE782C8}" uniqueName="Rounded_Total">
      <xmlPr mapId="7" xpath="/MAKE/SA/LSS/@Rounded_Total" xmlDataType="decimal"/>
    </xmlCellPr>
  </singleXmlCell>
  <singleXmlCell id="1343" xr6:uid="{D3C69241-A617-464E-B6EC-06A22C2385C6}" r="C263" connectionId="0">
    <xmlCellPr id="1" xr6:uid="{53AAAC01-6128-405B-ABAC-F36F92E35F31}" uniqueName="ELK_Rounded_Result">
      <xmlPr mapId="7" xpath="/MAKE/SA/LSS/ELK/@ELK_Rounded_Result" xmlDataType="decimal"/>
    </xmlCellPr>
  </singleXmlCell>
  <singleXmlCell id="1344" xr6:uid="{2E030D85-3818-475C-A745-0AC13670388A}" r="C265" connectionId="0">
    <xmlCellPr id="1" xr6:uid="{8942A5F3-D5D1-45A4-9D4D-8ED7BDADE6CA}" uniqueName="Colour">
      <xmlPr mapId="7" xpath="/MAKE/SA/LSS/ELK/@Colour" xmlDataType="string"/>
    </xmlCellPr>
  </singleXmlCell>
  <singleXmlCell id="1345" xr6:uid="{C175775E-7FED-4902-8DB1-DA24EBDA7F59}" r="C266" connectionId="0">
    <xmlCellPr id="1" xr6:uid="{DA101160-500A-4BFB-A5A6-4B8F02E5BFF0}" uniqueName="LKA_Rounded_Result">
      <xmlPr mapId="7" xpath="/MAKE/SA/LSS/LKA/@LKA_Rounded_Result" xmlDataType="decimal"/>
    </xmlCellPr>
  </singleXmlCell>
  <singleXmlCell id="1346" xr6:uid="{FA3A0789-CE81-467A-8D4E-B49A17CD2DBC}" r="C268" connectionId="0">
    <xmlCellPr id="1" xr6:uid="{712155CB-28BF-46DF-8C0C-6378B0241A1E}" uniqueName="Colour">
      <xmlPr mapId="7" xpath="/MAKE/SA/LSS/LKA/@Colour" xmlDataType="string"/>
    </xmlCellPr>
  </singleXmlCell>
  <singleXmlCell id="1347" xr6:uid="{D73CB1EB-7084-42FD-B822-844AE373BDBE}" r="C269" connectionId="0">
    <xmlCellPr id="1" xr6:uid="{7085370F-98BD-471F-ADE2-53696A8A9157}" uniqueName="Rounded_Result">
      <xmlPr mapId="7" xpath="/MAKE/SA/LSS/HMI/@Rounded_Result" xmlDataType="decimal"/>
    </xmlCellPr>
  </singleXmlCell>
  <singleXmlCell id="1348" xr6:uid="{231D3AE2-4A35-4824-87A9-AA07F7C5DBDF}" r="C271" connectionId="0">
    <xmlCellPr id="1" xr6:uid="{8930E0F8-DC27-4C06-9AEA-1C39C65F9CC1}" uniqueName="Colour">
      <xmlPr mapId="7" xpath="/MAKE/SA/LSS/HMI/@Colour" xmlDataType="string"/>
    </xmlCellPr>
  </singleXmlCell>
  <singleXmlCell id="1324" xr6:uid="{4CF7325E-2DD5-443C-A689-6B0BC7C5812C}" r="C262" connectionId="0">
    <xmlCellPr id="1" xr6:uid="{301AA5F4-44CE-4B38-BEDE-8D06BDC4E01D}" uniqueName="Colour">
      <xmlPr mapId="7" xpath="/MAKE/SA/LSS/@Colour" xmlDataType="string"/>
    </xmlCellPr>
  </singleXmlCell>
  <singleXmlCell id="1325" xr6:uid="{B995CCB9-59DE-4532-B435-F1C81FFF11D0}" r="C261" connectionId="0">
    <xmlCellPr id="1" xr6:uid="{DD34DDC7-A74C-4ABA-BB6E-C73F529B7D9F}" uniqueName="MAX_POINTS">
      <xmlPr mapId="7" xpath="/MAKE/SA/LSS/@MAX_POINTS" xmlDataType="integer"/>
    </xmlCellPr>
  </singleXmlCell>
  <singleXmlCell id="3665" xr6:uid="{70D94022-2BAD-4994-ACEC-F977A5C3DC83}" r="D114" connectionId="0">
    <xmlCellPr id="1" xr6:uid="{F52F52DB-056A-4499-9A23-E8F82F33BE87}" uniqueName="Front_Passenger">
      <xmlPr mapId="7" xpath="/MAKE/COP/COPVehicleBased/Website_Table/Top_Tether/@Front_Passenger" xmlDataType="string"/>
    </xmlCellPr>
  </singleXmlCell>
  <singleXmlCell id="3666" xr6:uid="{7F9D2694-A790-456E-AFD5-9A741DA41982}" r="E114" connectionId="0">
    <xmlCellPr id="1" xr6:uid="{B3FF8890-3453-457B-8984-986EAA041CAB}" uniqueName="Row2_Outboard">
      <xmlPr mapId="7" xpath="/MAKE/COP/COPVehicleBased/Website_Table/Top_Tether/@Row2_Outboard" xmlDataType="string"/>
    </xmlCellPr>
  </singleXmlCell>
  <singleXmlCell id="3667" xr6:uid="{E220D98F-DF23-4BFB-AFD1-E9D2A8B7943E}" r="F114" connectionId="0">
    <xmlCellPr id="1" xr6:uid="{C188950F-DD6A-484A-BB6A-C5B5B9E69063}" uniqueName="Row2_Centre">
      <xmlPr mapId="7" xpath="/MAKE/COP/COPVehicleBased/Website_Table/Top_Tether/@Row2_Centre" xmlDataType="string"/>
    </xmlCellPr>
  </singleXmlCell>
  <singleXmlCell id="3668" xr6:uid="{CCF39FD0-D79B-4B1B-A91F-43ABD3657430}" r="G114" connectionId="0">
    <xmlCellPr id="1" xr6:uid="{896A3C84-62AD-4552-8987-138F2996EEA1}" uniqueName="Row3_Outboard">
      <xmlPr mapId="7" xpath="/MAKE/COP/COPVehicleBased/Website_Table/Top_Tether/@Row3_Outboard" xmlDataType="string"/>
    </xmlCellPr>
  </singleXmlCell>
  <singleXmlCell id="3669" xr6:uid="{FAB95FCB-42C7-4631-9CA9-123607158C02}" r="H114" connectionId="0">
    <xmlCellPr id="1" xr6:uid="{B324595F-5CB6-4375-BE3D-8BE68AEF9AF6}" uniqueName="Row3_Centre">
      <xmlPr mapId="7" xpath="/MAKE/COP/COPVehicleBased/Website_Table/Top_Tether/@Row3_Centre" xmlDataType="string"/>
    </xmlCellPr>
  </singleXmlCell>
  <singleXmlCell id="43" xr6:uid="{E00F795A-E59D-41A7-8F57-455AC7F4E582}" r="C6" connectionId="0">
    <xmlCellPr id="1" xr6:uid="{F91D6CCB-4695-445E-89E1-D4649C5996E7}" uniqueName="Is_Electric">
      <xmlPr mapId="7" xpath="/MAKE/GENERAL/VEHICLE_SPECIFICATION/Is_Electric" xmlDataType="string"/>
    </xmlCellPr>
  </singleXmlCell>
  <singleXmlCell id="2009" xr6:uid="{DDB67765-E990-49B6-9ABE-39AE367FC11A}" r="C198" connectionId="0">
    <xmlCellPr id="1" xr6:uid="{AD54AF78-164A-460B-BAFE-CF7CA8AB6134}" uniqueName="MAX_POINTS_PED_FEMUR">
      <xmlPr mapId="7" xpath="/MAKE/PP/PPLowerLegform/@MAX_POINTS_PED_FEMUR" xmlDataType="anyType"/>
    </xmlCellPr>
  </singleXmlCell>
  <singleXmlCell id="4068" xr6:uid="{767B4519-FCA5-45FD-8695-E7A17BA83AFA}" r="C89" connectionId="0">
    <xmlCellPr id="1" xr6:uid="{366451BF-D975-40B2-B60E-818C25A818A4}" uniqueName="Rounded_TOTAL_RESCUE">
      <xmlPr mapId="7" xpath="/MAKE/AOP/RESCUE/@Rounded_TOTAL_RESCUE" xmlDataType="decimal"/>
    </xmlCellPr>
  </singleXmlCell>
  <singleXmlCell id="5332" xr6:uid="{7FBAED8D-C6E3-429E-B813-D1EF4F94D7D2}" r="C86" connectionId="0">
    <xmlCellPr id="1" xr6:uid="{D5A91864-F51D-40F6-8623-DA2AC4B9CEAB}" uniqueName="Rescue_Assessment_Points_rounded">
      <xmlPr mapId="7" xpath="/MAKE/AOP/RESCUE/Rescue_Assessment/@Rescue_Assessment_Points_rounded" xmlDataType="decimal"/>
    </xmlCellPr>
  </singleXmlCell>
  <singleXmlCell id="5341" xr6:uid="{824B8FD6-268C-4115-821B-83E16014498A}" r="C91" connectionId="0">
    <xmlCellPr id="1" xr6:uid="{EF633CD7-2D5B-435A-9638-41806981F6AA}" uniqueName="Rescue_Sheet_URL_EN">
      <xmlPr mapId="7" xpath="/MAKE/AOP/RESCUE/Rescue_Assessment/Rescue_Sheet/English/@Rescue_Sheet_URL_EN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C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C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SingleCells" Target="../tables/tableSingleCell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SingleCells" Target="../tables/tableSingleCell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SingleCells" Target="../tables/tableSingleCells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SingleCells" Target="../tables/tableSingleCells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SingleCells" Target="../tables/tableSingleCells16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2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2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2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23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AZ181"/>
  <sheetViews>
    <sheetView showGridLines="0" showOutlineSymbols="0" zoomScaleNormal="100" workbookViewId="0">
      <selection activeCell="F106" sqref="F106"/>
    </sheetView>
  </sheetViews>
  <sheetFormatPr defaultColWidth="9.28515625" defaultRowHeight="12.75"/>
  <cols>
    <col min="1" max="1" width="9.28515625" style="95" customWidth="1"/>
    <col min="2" max="2" width="18.42578125" style="95" bestFit="1" customWidth="1"/>
    <col min="3" max="4" width="9.28515625" style="95"/>
    <col min="5" max="5" width="21.5703125" style="95" customWidth="1"/>
    <col min="6" max="6" width="23.42578125" style="95" customWidth="1"/>
    <col min="7" max="7" width="21.5703125" style="95" customWidth="1"/>
    <col min="8" max="8" width="18.42578125" style="95" hidden="1" customWidth="1"/>
    <col min="9" max="9" width="20.42578125" style="95" hidden="1" customWidth="1"/>
    <col min="10" max="12" width="9.28515625" style="95" hidden="1" customWidth="1"/>
    <col min="13" max="13" width="20.5703125" style="95" hidden="1" customWidth="1"/>
    <col min="14" max="14" width="20.5703125" style="145" hidden="1" customWidth="1"/>
    <col min="15" max="16" width="20.5703125" style="156" hidden="1" customWidth="1"/>
    <col min="17" max="17" width="8.5703125" style="156" customWidth="1"/>
    <col min="18" max="23" width="9.28515625" style="95"/>
    <col min="24" max="24" width="0" style="95" hidden="1" customWidth="1"/>
    <col min="25" max="16384" width="9.28515625" style="95"/>
  </cols>
  <sheetData>
    <row r="1" spans="1:52" ht="13.5" thickBot="1">
      <c r="AZ1" s="95" t="s">
        <v>2705</v>
      </c>
    </row>
    <row r="2" spans="1:52" ht="23.25" customHeight="1" thickBot="1">
      <c r="A2" s="226">
        <v>3</v>
      </c>
      <c r="B2" s="1218" t="s">
        <v>155</v>
      </c>
      <c r="C2" s="1219"/>
      <c r="D2" s="1219"/>
      <c r="E2" s="1220"/>
      <c r="F2" s="442" t="s">
        <v>156</v>
      </c>
      <c r="G2" s="810">
        <v>2023</v>
      </c>
      <c r="J2" s="1218" t="s">
        <v>155</v>
      </c>
      <c r="K2" s="1219"/>
      <c r="L2" s="1219"/>
      <c r="M2" s="1220"/>
      <c r="N2" s="442" t="s">
        <v>156</v>
      </c>
      <c r="O2" s="395">
        <v>2023</v>
      </c>
      <c r="X2" s="95" t="s">
        <v>345</v>
      </c>
      <c r="AZ2" s="95" t="s">
        <v>2715</v>
      </c>
    </row>
    <row r="3" spans="1:52" ht="23.25" customHeight="1" thickBot="1">
      <c r="A3" s="226"/>
      <c r="B3" s="520"/>
      <c r="C3" s="521"/>
      <c r="D3" s="521"/>
      <c r="E3" s="522"/>
      <c r="F3" s="851"/>
      <c r="G3" s="534" t="s">
        <v>601</v>
      </c>
      <c r="J3" s="520"/>
      <c r="K3" s="661"/>
      <c r="L3" s="661"/>
      <c r="M3" s="662"/>
      <c r="N3" s="856">
        <f>G2</f>
        <v>2023</v>
      </c>
      <c r="O3" s="534" t="s">
        <v>601</v>
      </c>
      <c r="AZ3" s="95" t="s">
        <v>2712</v>
      </c>
    </row>
    <row r="4" spans="1:52" ht="13.5" customHeight="1">
      <c r="B4" s="166" t="s">
        <v>157</v>
      </c>
      <c r="C4" s="1261"/>
      <c r="D4" s="1261"/>
      <c r="E4" s="1262"/>
      <c r="F4" s="104" t="s">
        <v>863</v>
      </c>
      <c r="G4" s="852" t="str">
        <f>IF(F3="","",_xlfn.CONCAT(F$3,"-MP1"))</f>
        <v/>
      </c>
      <c r="J4" s="166" t="s">
        <v>157</v>
      </c>
      <c r="K4" s="1271" t="str">
        <f>IF(C4="","",C4)</f>
        <v/>
      </c>
      <c r="L4" s="1271"/>
      <c r="M4" s="1272"/>
      <c r="N4" s="104" t="s">
        <v>863</v>
      </c>
      <c r="O4" s="849"/>
      <c r="X4" s="95" t="s">
        <v>346</v>
      </c>
      <c r="AZ4" s="95" t="s">
        <v>2709</v>
      </c>
    </row>
    <row r="5" spans="1:52" ht="13.5" customHeight="1">
      <c r="B5" s="106" t="s">
        <v>442</v>
      </c>
      <c r="C5" s="1244"/>
      <c r="D5" s="1244"/>
      <c r="E5" s="1245"/>
      <c r="F5" s="104" t="s">
        <v>459</v>
      </c>
      <c r="G5" s="852" t="str">
        <f>IF(F3="","",_xlfn.CONCAT(F$3,"-FW1"))</f>
        <v/>
      </c>
      <c r="J5" s="106" t="s">
        <v>442</v>
      </c>
      <c r="K5" s="1271" t="str">
        <f t="shared" ref="K5:K14" si="0">IF(C5="","",C5)</f>
        <v/>
      </c>
      <c r="L5" s="1271"/>
      <c r="M5" s="1272"/>
      <c r="N5" s="104" t="s">
        <v>459</v>
      </c>
      <c r="O5" s="849"/>
      <c r="X5" s="95" t="s">
        <v>347</v>
      </c>
      <c r="AZ5" s="95" t="s">
        <v>2710</v>
      </c>
    </row>
    <row r="6" spans="1:52" ht="13.5" customHeight="1">
      <c r="B6" s="106" t="s">
        <v>24</v>
      </c>
      <c r="C6" s="1244"/>
      <c r="D6" s="1244"/>
      <c r="E6" s="1245"/>
      <c r="F6" s="104" t="s">
        <v>864</v>
      </c>
      <c r="G6" s="852" t="str">
        <f>IF(F3="","",_xlfn.CONCAT(F$3,"-MD1"))</f>
        <v/>
      </c>
      <c r="J6" s="106" t="s">
        <v>24</v>
      </c>
      <c r="K6" s="1273" t="str">
        <f t="shared" si="0"/>
        <v/>
      </c>
      <c r="L6" s="1273"/>
      <c r="M6" s="1274"/>
      <c r="N6" s="104" t="s">
        <v>864</v>
      </c>
      <c r="O6" s="849"/>
      <c r="AZ6" s="95" t="s">
        <v>2711</v>
      </c>
    </row>
    <row r="7" spans="1:52" ht="13.5" customHeight="1">
      <c r="B7" s="106" t="s">
        <v>183</v>
      </c>
      <c r="C7" s="1263"/>
      <c r="D7" s="1263"/>
      <c r="E7" s="1264"/>
      <c r="F7" s="104" t="s">
        <v>175</v>
      </c>
      <c r="G7" s="1212" t="str">
        <f>IF(F3="","",_xlfn.CONCAT(F$3,IF(G8="","-O2O1","-PO1")))</f>
        <v/>
      </c>
      <c r="J7" s="106" t="s">
        <v>183</v>
      </c>
      <c r="K7" s="1273" t="str">
        <f t="shared" si="0"/>
        <v/>
      </c>
      <c r="L7" s="1273"/>
      <c r="M7" s="1274"/>
      <c r="N7" s="104" t="s">
        <v>175</v>
      </c>
      <c r="O7" s="849"/>
      <c r="X7" s="95" t="s">
        <v>348</v>
      </c>
      <c r="AZ7" s="95" t="s">
        <v>2713</v>
      </c>
    </row>
    <row r="8" spans="1:52" ht="13.5" customHeight="1">
      <c r="B8" s="106" t="s">
        <v>153</v>
      </c>
      <c r="C8" s="1244"/>
      <c r="D8" s="1244"/>
      <c r="E8" s="1245"/>
      <c r="F8" s="104" t="s">
        <v>2945</v>
      </c>
      <c r="G8" s="1081" t="str">
        <f>IF(F3="","",_xlfn.CONCAT(F$3,"-O2O"))</f>
        <v/>
      </c>
      <c r="J8" s="106" t="s">
        <v>153</v>
      </c>
      <c r="K8" s="1273" t="str">
        <f t="shared" si="0"/>
        <v/>
      </c>
      <c r="L8" s="1273"/>
      <c r="M8" s="1274"/>
      <c r="N8" s="104" t="s">
        <v>1000</v>
      </c>
      <c r="O8" s="850"/>
      <c r="X8" s="95" t="s">
        <v>349</v>
      </c>
      <c r="AZ8" s="95" t="s">
        <v>2714</v>
      </c>
    </row>
    <row r="9" spans="1:52" ht="13.5" customHeight="1">
      <c r="B9" s="106" t="s">
        <v>158</v>
      </c>
      <c r="C9" s="1244"/>
      <c r="D9" s="1244"/>
      <c r="E9" s="1245"/>
      <c r="F9" s="104" t="s">
        <v>176</v>
      </c>
      <c r="G9" s="852" t="str">
        <f>IF(F3="","",_xlfn.CONCAT(F$3,"-WHL"))</f>
        <v/>
      </c>
      <c r="J9" s="106" t="s">
        <v>158</v>
      </c>
      <c r="K9" s="1271" t="str">
        <f t="shared" si="0"/>
        <v/>
      </c>
      <c r="L9" s="1271"/>
      <c r="M9" s="1272"/>
      <c r="N9" s="104" t="s">
        <v>176</v>
      </c>
      <c r="O9" s="850"/>
      <c r="X9" s="95" t="s">
        <v>350</v>
      </c>
      <c r="AZ9" s="95" t="s">
        <v>2716</v>
      </c>
    </row>
    <row r="10" spans="1:52" ht="13.5" customHeight="1">
      <c r="B10" s="106" t="s">
        <v>582</v>
      </c>
      <c r="C10" s="1244"/>
      <c r="D10" s="1244"/>
      <c r="E10" s="1245"/>
      <c r="F10" s="104" t="s">
        <v>177</v>
      </c>
      <c r="G10" s="852" t="str">
        <f>IF(F3="","",_xlfn.CONCAT(F$3,"-PP"))</f>
        <v/>
      </c>
      <c r="J10" s="106" t="s">
        <v>582</v>
      </c>
      <c r="K10" s="1271" t="str">
        <f t="shared" si="0"/>
        <v/>
      </c>
      <c r="L10" s="1271"/>
      <c r="M10" s="1272"/>
      <c r="N10" s="104" t="s">
        <v>177</v>
      </c>
      <c r="O10" s="849"/>
      <c r="Q10" s="253"/>
      <c r="AZ10" s="95" t="s">
        <v>2717</v>
      </c>
    </row>
    <row r="11" spans="1:52" ht="13.5" customHeight="1">
      <c r="B11" s="106" t="s">
        <v>23</v>
      </c>
      <c r="C11" s="1244"/>
      <c r="D11" s="1244"/>
      <c r="E11" s="1245"/>
      <c r="F11" s="104" t="s">
        <v>710</v>
      </c>
      <c r="G11" s="852" t="str">
        <f>IF(F3="","",_xlfn.CONCAT(F$3,"-AEBP"))</f>
        <v/>
      </c>
      <c r="J11" s="106" t="s">
        <v>23</v>
      </c>
      <c r="K11" s="1273" t="str">
        <f t="shared" si="0"/>
        <v/>
      </c>
      <c r="L11" s="1273"/>
      <c r="M11" s="1274"/>
      <c r="N11" s="104" t="s">
        <v>710</v>
      </c>
      <c r="O11" s="849"/>
      <c r="AZ11" s="95" t="s">
        <v>2718</v>
      </c>
    </row>
    <row r="12" spans="1:52" ht="13.5" customHeight="1">
      <c r="B12" s="106" t="s">
        <v>540</v>
      </c>
      <c r="C12" s="1244"/>
      <c r="D12" s="1244"/>
      <c r="E12" s="1245"/>
      <c r="F12" s="104" t="s">
        <v>711</v>
      </c>
      <c r="G12" s="852" t="str">
        <f>IF(F3="","",_xlfn.CONCAT(F$3,"-AEBB"))</f>
        <v/>
      </c>
      <c r="J12" s="106" t="s">
        <v>540</v>
      </c>
      <c r="K12" s="1271" t="str">
        <f t="shared" si="0"/>
        <v/>
      </c>
      <c r="L12" s="1271"/>
      <c r="M12" s="1272"/>
      <c r="N12" s="104" t="s">
        <v>711</v>
      </c>
      <c r="O12" s="849"/>
      <c r="AZ12" s="95" t="s">
        <v>2719</v>
      </c>
    </row>
    <row r="13" spans="1:52" ht="13.5" customHeight="1">
      <c r="B13" s="106" t="s">
        <v>541</v>
      </c>
      <c r="C13" s="1231"/>
      <c r="D13" s="1232"/>
      <c r="E13" s="1185"/>
      <c r="F13" s="552" t="s">
        <v>2636</v>
      </c>
      <c r="G13" s="1081" t="str">
        <f>IF(F3="","",_xlfn.CONCAT(F$3,"-AEBB"))</f>
        <v/>
      </c>
      <c r="J13" s="106" t="s">
        <v>541</v>
      </c>
      <c r="K13" s="1273" t="str">
        <f t="shared" si="0"/>
        <v/>
      </c>
      <c r="L13" s="1273"/>
      <c r="M13" s="1274"/>
      <c r="N13" s="104" t="s">
        <v>869</v>
      </c>
      <c r="O13" s="849"/>
      <c r="AZ13" s="95" t="s">
        <v>2720</v>
      </c>
    </row>
    <row r="14" spans="1:52" ht="13.5" customHeight="1">
      <c r="B14" s="106" t="s">
        <v>110</v>
      </c>
      <c r="C14" s="1244"/>
      <c r="D14" s="1244"/>
      <c r="E14" s="1245"/>
      <c r="F14" s="104" t="s">
        <v>869</v>
      </c>
      <c r="G14" s="852" t="str">
        <f>IF(F3="","",_xlfn.CONCAT(F$3,"-OSM"))</f>
        <v/>
      </c>
      <c r="J14" s="106" t="s">
        <v>110</v>
      </c>
      <c r="K14" s="1271" t="str">
        <f t="shared" si="0"/>
        <v/>
      </c>
      <c r="L14" s="1271"/>
      <c r="M14" s="1272"/>
      <c r="N14" s="104" t="s">
        <v>463</v>
      </c>
      <c r="O14" s="849"/>
      <c r="AZ14" s="95" t="s">
        <v>2721</v>
      </c>
    </row>
    <row r="15" spans="1:52" ht="13.5" customHeight="1">
      <c r="B15" s="1268" t="s">
        <v>2685</v>
      </c>
      <c r="C15" s="1269"/>
      <c r="D15" s="1269"/>
      <c r="E15" s="1270"/>
      <c r="F15" s="104" t="s">
        <v>463</v>
      </c>
      <c r="G15" s="852" t="str">
        <f>IF(F3="","",_xlfn.CONCAT(F$3,"-SAS"))</f>
        <v/>
      </c>
      <c r="J15" s="106" t="s">
        <v>441</v>
      </c>
      <c r="K15" s="1275"/>
      <c r="L15" s="1275"/>
      <c r="M15" s="1276"/>
      <c r="N15" s="104" t="s">
        <v>712</v>
      </c>
      <c r="O15" s="849"/>
    </row>
    <row r="16" spans="1:52" ht="13.5" customHeight="1">
      <c r="B16" s="570" t="s">
        <v>566</v>
      </c>
      <c r="C16" s="1224"/>
      <c r="D16" s="1224"/>
      <c r="E16" s="847"/>
      <c r="F16" s="104" t="s">
        <v>712</v>
      </c>
      <c r="G16" s="852" t="str">
        <f>IF(F3="","",_xlfn.CONCAT(F$3,"-AEBC"))</f>
        <v/>
      </c>
      <c r="J16" s="570" t="s">
        <v>566</v>
      </c>
      <c r="K16" s="1277">
        <f>C16</f>
        <v>0</v>
      </c>
      <c r="L16" s="1277"/>
      <c r="M16" s="854" t="str">
        <f>CONCATENATE(K16,K17,K18)</f>
        <v>000</v>
      </c>
      <c r="N16" s="104" t="s">
        <v>605</v>
      </c>
      <c r="O16" s="846"/>
    </row>
    <row r="17" spans="2:22" ht="13.5" customHeight="1">
      <c r="B17" s="570" t="s">
        <v>567</v>
      </c>
      <c r="C17" s="1224"/>
      <c r="D17" s="1224"/>
      <c r="E17" s="848"/>
      <c r="F17" s="104" t="s">
        <v>605</v>
      </c>
      <c r="G17" s="853" t="str">
        <f>IF(F3="","",_xlfn.CONCAT(F$3,"-LSS"))</f>
        <v/>
      </c>
      <c r="J17" s="570" t="s">
        <v>567</v>
      </c>
      <c r="K17" s="1277">
        <f t="shared" ref="K17:K18" si="1">C17</f>
        <v>0</v>
      </c>
      <c r="L17" s="1277"/>
      <c r="M17" s="855">
        <f>E17</f>
        <v>0</v>
      </c>
      <c r="N17" s="104"/>
      <c r="O17" s="328"/>
    </row>
    <row r="18" spans="2:22" ht="13.5" customHeight="1">
      <c r="B18" s="570" t="s">
        <v>568</v>
      </c>
      <c r="C18" s="1224"/>
      <c r="D18" s="1224"/>
      <c r="E18" s="848"/>
      <c r="G18" s="328"/>
      <c r="J18" s="570" t="s">
        <v>568</v>
      </c>
      <c r="K18" s="1277">
        <f t="shared" si="1"/>
        <v>0</v>
      </c>
      <c r="L18" s="1277"/>
      <c r="M18" s="855">
        <f>E18</f>
        <v>0</v>
      </c>
      <c r="N18" s="95"/>
      <c r="O18" s="328"/>
      <c r="Q18" s="589"/>
      <c r="R18" s="104"/>
      <c r="S18" s="104"/>
      <c r="T18" s="104"/>
      <c r="U18" s="104"/>
      <c r="V18" s="104"/>
    </row>
    <row r="19" spans="2:22" ht="13.5" customHeight="1" thickBot="1">
      <c r="B19" s="170" t="s">
        <v>159</v>
      </c>
      <c r="C19" s="1246"/>
      <c r="D19" s="1246"/>
      <c r="E19" s="1247"/>
      <c r="F19" s="265"/>
      <c r="G19" s="443"/>
      <c r="J19" s="170" t="s">
        <v>159</v>
      </c>
      <c r="K19" s="1278">
        <f>C19</f>
        <v>0</v>
      </c>
      <c r="L19" s="1279"/>
      <c r="M19" s="1280"/>
      <c r="N19" s="265"/>
      <c r="O19" s="443"/>
      <c r="Q19"/>
      <c r="R19" s="104"/>
      <c r="S19" s="104"/>
      <c r="T19" s="104"/>
      <c r="U19" s="104"/>
      <c r="V19" s="104"/>
    </row>
    <row r="20" spans="2:22" ht="13.5" customHeight="1" thickBot="1">
      <c r="C20" s="100"/>
      <c r="G20" s="104"/>
      <c r="K20" s="100"/>
      <c r="N20" s="95"/>
      <c r="O20" s="104"/>
      <c r="Q20"/>
      <c r="R20" s="104"/>
      <c r="S20" s="104"/>
      <c r="T20" s="104"/>
      <c r="U20" s="104"/>
      <c r="V20" s="104"/>
    </row>
    <row r="21" spans="2:22" ht="22.35" customHeight="1" thickBot="1">
      <c r="B21" s="96" t="s">
        <v>152</v>
      </c>
      <c r="C21" s="101"/>
      <c r="D21" s="97"/>
      <c r="E21" s="97"/>
      <c r="F21" s="97"/>
      <c r="G21" s="102"/>
      <c r="J21" s="96" t="s">
        <v>152</v>
      </c>
      <c r="K21" s="101"/>
      <c r="L21" s="97"/>
      <c r="M21" s="97"/>
      <c r="N21" s="97"/>
      <c r="O21" s="102"/>
      <c r="Q21"/>
      <c r="R21" s="104"/>
      <c r="S21" s="104"/>
      <c r="T21" s="104"/>
      <c r="U21" s="104"/>
      <c r="V21" s="104"/>
    </row>
    <row r="22" spans="2:22" ht="13.35" customHeight="1" thickBot="1">
      <c r="N22" s="95"/>
      <c r="O22" s="95"/>
      <c r="Q22"/>
      <c r="R22" s="104"/>
      <c r="S22" s="104"/>
      <c r="T22" s="104"/>
      <c r="U22" s="104"/>
      <c r="V22" s="104"/>
    </row>
    <row r="23" spans="2:22" s="103" customFormat="1" ht="22.35" customHeight="1" thickBot="1">
      <c r="B23" s="515" t="s">
        <v>15</v>
      </c>
      <c r="C23" s="201"/>
      <c r="D23" s="201"/>
      <c r="E23" s="203" t="s">
        <v>452</v>
      </c>
      <c r="F23" s="203" t="s">
        <v>453</v>
      </c>
      <c r="G23" s="202" t="s">
        <v>454</v>
      </c>
      <c r="H23" s="202" t="s">
        <v>577</v>
      </c>
      <c r="J23" s="515" t="s">
        <v>15</v>
      </c>
      <c r="K23" s="201"/>
      <c r="L23" s="201"/>
      <c r="M23" s="203" t="s">
        <v>452</v>
      </c>
      <c r="N23" s="203" t="s">
        <v>453</v>
      </c>
      <c r="O23" s="202" t="s">
        <v>454</v>
      </c>
      <c r="P23" s="202" t="s">
        <v>577</v>
      </c>
      <c r="Q23" s="809"/>
      <c r="R23" s="809"/>
      <c r="S23" s="809"/>
      <c r="T23" s="809"/>
      <c r="U23" s="809"/>
      <c r="V23" s="809"/>
    </row>
    <row r="24" spans="2:22" ht="18" customHeight="1">
      <c r="B24" s="1252" t="s">
        <v>58</v>
      </c>
      <c r="C24" s="1253"/>
      <c r="D24" s="1254"/>
      <c r="E24" s="120"/>
      <c r="F24" s="120"/>
      <c r="G24" s="105"/>
      <c r="H24" s="105"/>
      <c r="J24" s="1252" t="s">
        <v>58</v>
      </c>
      <c r="K24" s="1253"/>
      <c r="L24" s="1254"/>
      <c r="M24" s="120"/>
      <c r="N24" s="120"/>
      <c r="O24" s="105"/>
      <c r="P24" s="105"/>
      <c r="Q24"/>
      <c r="R24" s="104"/>
      <c r="S24" s="104"/>
      <c r="T24" s="104"/>
      <c r="U24" s="104"/>
      <c r="V24" s="104"/>
    </row>
    <row r="25" spans="2:22" ht="13.35" customHeight="1">
      <c r="B25" s="1255" t="s">
        <v>160</v>
      </c>
      <c r="C25" s="1256"/>
      <c r="D25" s="1257"/>
      <c r="E25" s="857"/>
      <c r="F25" s="857"/>
      <c r="G25" s="1189" t="s">
        <v>2423</v>
      </c>
      <c r="H25" s="860" t="s">
        <v>2423</v>
      </c>
      <c r="J25" s="1255" t="s">
        <v>160</v>
      </c>
      <c r="K25" s="1256"/>
      <c r="L25" s="1257"/>
      <c r="M25" s="198" t="str">
        <f>IF(E25="","",E25)</f>
        <v/>
      </c>
      <c r="N25" s="198" t="str">
        <f t="shared" ref="N25:P25" si="2">IF(F25="","",F25)</f>
        <v/>
      </c>
      <c r="O25" s="198" t="str">
        <f t="shared" si="2"/>
        <v>-</v>
      </c>
      <c r="P25" s="198" t="str">
        <f t="shared" si="2"/>
        <v>-</v>
      </c>
      <c r="Q25"/>
      <c r="R25" s="104"/>
      <c r="S25" s="104"/>
      <c r="T25" s="104"/>
      <c r="U25" s="104"/>
      <c r="V25" s="104"/>
    </row>
    <row r="26" spans="2:22" ht="13.35" customHeight="1">
      <c r="B26" s="1255" t="s">
        <v>455</v>
      </c>
      <c r="C26" s="1256"/>
      <c r="D26" s="1257"/>
      <c r="E26" s="857"/>
      <c r="F26" s="857"/>
      <c r="G26" s="859"/>
      <c r="H26" s="859" t="s">
        <v>2423</v>
      </c>
      <c r="J26" s="1255" t="s">
        <v>455</v>
      </c>
      <c r="K26" s="1256"/>
      <c r="L26" s="1257"/>
      <c r="M26" s="198" t="str">
        <f t="shared" ref="M26:M28" si="3">IF(E26="","",E26)</f>
        <v/>
      </c>
      <c r="N26" s="198" t="str">
        <f t="shared" ref="N26:N28" si="4">IF(F26="","",F26)</f>
        <v/>
      </c>
      <c r="O26" s="198" t="str">
        <f t="shared" ref="O26:O28" si="5">IF(G26="","",G26)</f>
        <v/>
      </c>
      <c r="P26" s="198" t="str">
        <f t="shared" ref="P26:P28" si="6">IF(H26="","",H26)</f>
        <v>-</v>
      </c>
      <c r="Q26" s="589"/>
      <c r="R26" s="104"/>
      <c r="S26" s="104"/>
      <c r="T26" s="104"/>
      <c r="U26" s="104"/>
      <c r="V26" s="104"/>
    </row>
    <row r="27" spans="2:22" ht="13.35" customHeight="1">
      <c r="B27" s="1255" t="s">
        <v>456</v>
      </c>
      <c r="C27" s="1256"/>
      <c r="D27" s="1257"/>
      <c r="E27" s="857"/>
      <c r="F27" s="857"/>
      <c r="G27" s="858"/>
      <c r="H27" s="858" t="s">
        <v>2423</v>
      </c>
      <c r="J27" s="1255" t="s">
        <v>456</v>
      </c>
      <c r="K27" s="1256"/>
      <c r="L27" s="1257"/>
      <c r="M27" s="198" t="str">
        <f t="shared" si="3"/>
        <v/>
      </c>
      <c r="N27" s="198" t="str">
        <f t="shared" si="4"/>
        <v/>
      </c>
      <c r="O27" s="198" t="str">
        <f t="shared" si="5"/>
        <v/>
      </c>
      <c r="P27" s="198" t="str">
        <f t="shared" si="6"/>
        <v>-</v>
      </c>
      <c r="Q27"/>
      <c r="R27" s="104"/>
      <c r="S27" s="104"/>
      <c r="T27" s="104"/>
      <c r="U27" s="104"/>
      <c r="V27" s="104"/>
    </row>
    <row r="28" spans="2:22" ht="13.35" customHeight="1" thickBot="1">
      <c r="B28" s="1258" t="s">
        <v>161</v>
      </c>
      <c r="C28" s="1259"/>
      <c r="D28" s="1260"/>
      <c r="E28" s="857"/>
      <c r="F28" s="857"/>
      <c r="G28" s="1189" t="s">
        <v>2423</v>
      </c>
      <c r="H28" s="860" t="s">
        <v>2423</v>
      </c>
      <c r="J28" s="1258" t="s">
        <v>161</v>
      </c>
      <c r="K28" s="1259"/>
      <c r="L28" s="1260"/>
      <c r="M28" s="198" t="str">
        <f t="shared" si="3"/>
        <v/>
      </c>
      <c r="N28" s="198" t="str">
        <f t="shared" si="4"/>
        <v/>
      </c>
      <c r="O28" s="198" t="str">
        <f t="shared" si="5"/>
        <v>-</v>
      </c>
      <c r="P28" s="198" t="str">
        <f t="shared" si="6"/>
        <v>-</v>
      </c>
      <c r="Q28"/>
      <c r="R28" s="104"/>
      <c r="S28" s="104"/>
      <c r="T28" s="104"/>
      <c r="U28" s="104"/>
      <c r="V28" s="104"/>
    </row>
    <row r="29" spans="2:22" ht="13.35" customHeight="1">
      <c r="B29" s="1252" t="s">
        <v>46</v>
      </c>
      <c r="C29" s="1253"/>
      <c r="D29" s="1254"/>
      <c r="E29" s="200"/>
      <c r="F29" s="200"/>
      <c r="G29" s="165"/>
      <c r="H29" s="165"/>
      <c r="J29" s="1252" t="s">
        <v>46</v>
      </c>
      <c r="K29" s="1253"/>
      <c r="L29" s="1254"/>
      <c r="M29" s="200"/>
      <c r="N29" s="200"/>
      <c r="O29" s="165"/>
      <c r="P29" s="165"/>
      <c r="Q29"/>
      <c r="R29" s="104"/>
      <c r="S29" s="104"/>
      <c r="T29" s="104"/>
      <c r="U29" s="104"/>
      <c r="V29" s="104"/>
    </row>
    <row r="30" spans="2:22" ht="13.35" customHeight="1">
      <c r="B30" s="1255" t="s">
        <v>162</v>
      </c>
      <c r="C30" s="1256"/>
      <c r="D30" s="1257"/>
      <c r="E30" s="857"/>
      <c r="F30" s="857"/>
      <c r="G30" s="858"/>
      <c r="H30" s="858" t="s">
        <v>2423</v>
      </c>
      <c r="J30" s="1255" t="s">
        <v>162</v>
      </c>
      <c r="K30" s="1256"/>
      <c r="L30" s="1257"/>
      <c r="M30" s="198" t="str">
        <f>IF(E30="","",E30)</f>
        <v/>
      </c>
      <c r="N30" s="198" t="str">
        <f t="shared" ref="N30:P30" si="7">IF(F30="","",F30)</f>
        <v/>
      </c>
      <c r="O30" s="198" t="str">
        <f t="shared" si="7"/>
        <v/>
      </c>
      <c r="P30" s="198" t="str">
        <f t="shared" si="7"/>
        <v>-</v>
      </c>
      <c r="Q30"/>
      <c r="R30" s="104"/>
      <c r="S30" s="104"/>
      <c r="T30" s="104"/>
      <c r="U30" s="104"/>
      <c r="V30" s="104"/>
    </row>
    <row r="31" spans="2:22" ht="13.35" customHeight="1">
      <c r="B31" s="1255" t="s">
        <v>163</v>
      </c>
      <c r="C31" s="1256"/>
      <c r="D31" s="1257"/>
      <c r="E31" s="857"/>
      <c r="F31" s="857"/>
      <c r="G31" s="858"/>
      <c r="H31" s="858" t="s">
        <v>2423</v>
      </c>
      <c r="J31" s="1255" t="s">
        <v>163</v>
      </c>
      <c r="K31" s="1256"/>
      <c r="L31" s="1257"/>
      <c r="M31" s="198" t="str">
        <f t="shared" ref="M31:M33" si="8">IF(E31="","",E31)</f>
        <v/>
      </c>
      <c r="N31" s="198" t="str">
        <f t="shared" ref="N31:N33" si="9">IF(F31="","",F31)</f>
        <v/>
      </c>
      <c r="O31" s="198" t="str">
        <f t="shared" ref="O31:O33" si="10">IF(G31="","",G31)</f>
        <v/>
      </c>
      <c r="P31" s="198" t="str">
        <f t="shared" ref="P31:P33" si="11">IF(H31="","",H31)</f>
        <v>-</v>
      </c>
      <c r="Q31"/>
      <c r="R31" s="104"/>
      <c r="S31" s="104"/>
      <c r="T31" s="104"/>
      <c r="U31" s="104"/>
      <c r="V31" s="104"/>
    </row>
    <row r="32" spans="2:22" ht="13.35" customHeight="1">
      <c r="B32" s="1255" t="s">
        <v>164</v>
      </c>
      <c r="C32" s="1256"/>
      <c r="D32" s="1257"/>
      <c r="E32" s="857"/>
      <c r="F32" s="857"/>
      <c r="G32" s="858"/>
      <c r="H32" s="858" t="s">
        <v>2423</v>
      </c>
      <c r="J32" s="1255" t="s">
        <v>164</v>
      </c>
      <c r="K32" s="1256"/>
      <c r="L32" s="1257"/>
      <c r="M32" s="198" t="str">
        <f t="shared" si="8"/>
        <v/>
      </c>
      <c r="N32" s="198" t="str">
        <f t="shared" si="9"/>
        <v/>
      </c>
      <c r="O32" s="198" t="str">
        <f t="shared" si="10"/>
        <v/>
      </c>
      <c r="P32" s="198" t="str">
        <f t="shared" si="11"/>
        <v>-</v>
      </c>
      <c r="Q32"/>
      <c r="R32" s="104"/>
      <c r="S32" s="104"/>
      <c r="T32" s="104"/>
      <c r="U32" s="104"/>
      <c r="V32" s="104"/>
    </row>
    <row r="33" spans="2:22" ht="13.35" customHeight="1" thickBot="1">
      <c r="B33" s="1265" t="s">
        <v>2420</v>
      </c>
      <c r="C33" s="1266"/>
      <c r="D33" s="1267"/>
      <c r="E33" s="857"/>
      <c r="F33" s="857"/>
      <c r="G33" s="1023" t="str">
        <f>IF(OR(E33="Standard",F33="Standard"),"Standard",IF(OR(E33="Optional not meeting fitment",F33="Optional not meeting fitment"),"Optional not meeting fitment","Not available"))</f>
        <v>Not available</v>
      </c>
      <c r="H33" s="861"/>
      <c r="J33" s="1265" t="s">
        <v>2420</v>
      </c>
      <c r="K33" s="1266"/>
      <c r="L33" s="1267"/>
      <c r="M33" s="198" t="str">
        <f t="shared" si="8"/>
        <v/>
      </c>
      <c r="N33" s="198" t="str">
        <f t="shared" si="9"/>
        <v/>
      </c>
      <c r="O33" s="198" t="str">
        <f t="shared" si="10"/>
        <v>Not available</v>
      </c>
      <c r="P33" s="198" t="str">
        <f t="shared" si="11"/>
        <v/>
      </c>
      <c r="Q33"/>
      <c r="R33" s="104"/>
      <c r="S33" s="104"/>
      <c r="T33" s="104"/>
      <c r="U33" s="104"/>
      <c r="V33" s="104"/>
    </row>
    <row r="34" spans="2:22" ht="13.35" customHeight="1">
      <c r="B34" s="1252" t="s">
        <v>827</v>
      </c>
      <c r="C34" s="1253"/>
      <c r="D34" s="1254"/>
      <c r="E34" s="200"/>
      <c r="F34" s="200"/>
      <c r="G34" s="165"/>
      <c r="H34" s="165"/>
      <c r="J34" s="1252" t="s">
        <v>827</v>
      </c>
      <c r="K34" s="1253"/>
      <c r="L34" s="1254"/>
      <c r="M34" s="200"/>
      <c r="N34" s="200"/>
      <c r="O34" s="165"/>
      <c r="P34" s="165"/>
      <c r="Q34"/>
      <c r="R34" s="104"/>
      <c r="S34" s="104"/>
      <c r="T34" s="104"/>
      <c r="U34" s="104"/>
      <c r="V34" s="104"/>
    </row>
    <row r="35" spans="2:22" ht="13.35" customHeight="1">
      <c r="B35" s="1255" t="s">
        <v>812</v>
      </c>
      <c r="C35" s="1256"/>
      <c r="D35" s="1257"/>
      <c r="E35" s="857"/>
      <c r="F35" s="120"/>
      <c r="G35" s="105"/>
      <c r="H35" s="105"/>
      <c r="J35" s="1255" t="s">
        <v>812</v>
      </c>
      <c r="K35" s="1256"/>
      <c r="L35" s="1257"/>
      <c r="M35" s="198" t="str">
        <f>IF(E35="","",E35)</f>
        <v/>
      </c>
      <c r="N35" s="319" t="str">
        <f>M33</f>
        <v/>
      </c>
      <c r="O35" s="105"/>
      <c r="P35" s="105"/>
      <c r="Q35"/>
      <c r="R35" s="104"/>
      <c r="S35" s="104"/>
      <c r="T35" s="104"/>
      <c r="U35" s="104"/>
      <c r="V35" s="104"/>
    </row>
    <row r="36" spans="2:22" ht="13.35" customHeight="1" thickBot="1">
      <c r="B36" s="1258" t="s">
        <v>865</v>
      </c>
      <c r="C36" s="1259"/>
      <c r="D36" s="1260"/>
      <c r="E36" s="862"/>
      <c r="F36" s="199"/>
      <c r="G36" s="108"/>
      <c r="H36" s="108"/>
      <c r="J36" s="1258" t="s">
        <v>865</v>
      </c>
      <c r="K36" s="1259"/>
      <c r="L36" s="1260"/>
      <c r="M36" s="198" t="str">
        <f>IF(E36="","",E36)</f>
        <v/>
      </c>
      <c r="N36" s="199"/>
      <c r="O36" s="108"/>
      <c r="P36" s="108"/>
      <c r="Q36"/>
      <c r="R36" s="104"/>
      <c r="S36" s="104"/>
      <c r="T36" s="104"/>
      <c r="U36" s="104"/>
      <c r="V36" s="104"/>
    </row>
    <row r="37" spans="2:22" ht="13.35" customHeight="1" thickBot="1">
      <c r="C37" s="1251"/>
      <c r="D37" s="1251"/>
      <c r="K37" s="1251"/>
      <c r="L37" s="1251"/>
      <c r="N37" s="95"/>
      <c r="O37" s="95"/>
      <c r="P37" s="95"/>
      <c r="Q37"/>
      <c r="R37" s="104"/>
      <c r="S37" s="104"/>
      <c r="T37" s="104"/>
      <c r="U37" s="104"/>
      <c r="V37" s="104"/>
    </row>
    <row r="38" spans="2:22" s="103" customFormat="1" ht="22.35" customHeight="1" thickBot="1">
      <c r="B38" s="515" t="s">
        <v>165</v>
      </c>
      <c r="C38" s="201"/>
      <c r="D38" s="201"/>
      <c r="E38" s="203" t="s">
        <v>452</v>
      </c>
      <c r="F38" s="203" t="s">
        <v>453</v>
      </c>
      <c r="G38" s="202" t="s">
        <v>454</v>
      </c>
      <c r="H38" s="202" t="s">
        <v>577</v>
      </c>
      <c r="J38" s="515" t="s">
        <v>165</v>
      </c>
      <c r="K38" s="201"/>
      <c r="L38" s="201"/>
      <c r="M38" s="203" t="s">
        <v>452</v>
      </c>
      <c r="N38" s="203" t="s">
        <v>453</v>
      </c>
      <c r="O38" s="202" t="s">
        <v>454</v>
      </c>
      <c r="P38" s="202" t="s">
        <v>577</v>
      </c>
      <c r="Q38" s="809"/>
      <c r="R38" s="809"/>
      <c r="S38" s="809"/>
      <c r="T38" s="809"/>
      <c r="U38" s="809"/>
      <c r="V38" s="809"/>
    </row>
    <row r="39" spans="2:22" ht="18" customHeight="1">
      <c r="B39" s="1252" t="s">
        <v>166</v>
      </c>
      <c r="C39" s="1253"/>
      <c r="D39" s="1254"/>
      <c r="E39" s="205"/>
      <c r="F39" s="205"/>
      <c r="G39" s="207"/>
      <c r="H39" s="692"/>
      <c r="J39" s="1252" t="s">
        <v>166</v>
      </c>
      <c r="K39" s="1253"/>
      <c r="L39" s="1254"/>
      <c r="M39" s="205"/>
      <c r="N39" s="205"/>
      <c r="O39" s="207"/>
      <c r="P39" s="354"/>
      <c r="Q39"/>
      <c r="R39" s="104"/>
      <c r="S39" s="104"/>
      <c r="T39" s="104"/>
      <c r="U39" s="104"/>
      <c r="V39" s="104"/>
    </row>
    <row r="40" spans="2:22" ht="13.35" customHeight="1">
      <c r="B40" s="1255" t="s">
        <v>592</v>
      </c>
      <c r="C40" s="1256"/>
      <c r="D40" s="1257"/>
      <c r="E40" s="206"/>
      <c r="F40" s="206"/>
      <c r="G40" s="105"/>
      <c r="H40" s="533"/>
      <c r="J40" s="1255" t="s">
        <v>592</v>
      </c>
      <c r="K40" s="1256"/>
      <c r="L40" s="1257"/>
      <c r="M40" s="206"/>
      <c r="N40" s="206"/>
      <c r="O40" s="105"/>
      <c r="P40" s="347"/>
      <c r="Q40" s="589"/>
      <c r="R40" s="104"/>
      <c r="S40" s="104"/>
      <c r="T40" s="104"/>
      <c r="U40" s="104"/>
      <c r="V40" s="104"/>
    </row>
    <row r="41" spans="2:22" ht="13.35" customHeight="1">
      <c r="B41" s="1255" t="s">
        <v>555</v>
      </c>
      <c r="C41" s="1256"/>
      <c r="D41" s="1257"/>
      <c r="E41" s="206"/>
      <c r="F41" s="206"/>
      <c r="G41" s="846"/>
      <c r="H41" s="533"/>
      <c r="I41" s="104"/>
      <c r="J41" s="1255" t="s">
        <v>555</v>
      </c>
      <c r="K41" s="1256"/>
      <c r="L41" s="1257"/>
      <c r="M41" s="206"/>
      <c r="N41" s="206"/>
      <c r="O41" s="230"/>
      <c r="P41" s="347"/>
      <c r="Q41"/>
      <c r="R41" s="104"/>
      <c r="S41" s="104"/>
      <c r="T41" s="104"/>
      <c r="U41" s="104"/>
      <c r="V41" s="104"/>
    </row>
    <row r="42" spans="2:22" ht="13.35" customHeight="1" thickBot="1">
      <c r="B42" s="1255" t="s">
        <v>556</v>
      </c>
      <c r="C42" s="1256"/>
      <c r="D42" s="1257"/>
      <c r="E42" s="206"/>
      <c r="F42" s="206"/>
      <c r="G42" s="846"/>
      <c r="H42" s="536"/>
      <c r="J42" s="1258" t="s">
        <v>556</v>
      </c>
      <c r="K42" s="1259"/>
      <c r="L42" s="1260"/>
      <c r="M42" s="206"/>
      <c r="N42" s="206"/>
      <c r="O42" s="231"/>
      <c r="P42" s="355"/>
    </row>
    <row r="43" spans="2:22" ht="13.35" customHeight="1">
      <c r="B43" s="1252" t="s">
        <v>167</v>
      </c>
      <c r="C43" s="1253"/>
      <c r="D43" s="1253"/>
      <c r="E43" s="205"/>
      <c r="F43" s="205"/>
      <c r="G43" s="207"/>
      <c r="H43" s="207"/>
      <c r="J43" s="1252" t="s">
        <v>167</v>
      </c>
      <c r="K43" s="1253"/>
      <c r="L43" s="1254"/>
      <c r="M43" s="205"/>
      <c r="N43" s="205"/>
      <c r="O43" s="360"/>
      <c r="P43" s="207"/>
    </row>
    <row r="44" spans="2:22" ht="13.35" customHeight="1">
      <c r="B44" s="1255" t="s">
        <v>168</v>
      </c>
      <c r="C44" s="1256"/>
      <c r="D44" s="1256"/>
      <c r="E44" s="680"/>
      <c r="F44" s="857"/>
      <c r="G44" s="858"/>
      <c r="H44" s="858" t="s">
        <v>2423</v>
      </c>
      <c r="J44" s="1255" t="s">
        <v>168</v>
      </c>
      <c r="K44" s="1256"/>
      <c r="L44" s="1257"/>
      <c r="M44" s="680"/>
      <c r="N44" s="198" t="str">
        <f>IF(F44="","",F44)</f>
        <v/>
      </c>
      <c r="O44" s="198" t="str">
        <f>IF(G44="","",G44)</f>
        <v/>
      </c>
      <c r="P44" s="209" t="str">
        <f t="shared" ref="P44" si="12">IF(H44="","",H44)</f>
        <v>-</v>
      </c>
    </row>
    <row r="45" spans="2:22" ht="13.35" customHeight="1">
      <c r="B45" s="1255" t="s">
        <v>487</v>
      </c>
      <c r="C45" s="1256"/>
      <c r="D45" s="1256"/>
      <c r="E45" s="680"/>
      <c r="F45" s="857"/>
      <c r="G45" s="858"/>
      <c r="H45" s="858" t="s">
        <v>2423</v>
      </c>
      <c r="J45" s="1255" t="s">
        <v>487</v>
      </c>
      <c r="K45" s="1256"/>
      <c r="L45" s="1257"/>
      <c r="M45" s="680"/>
      <c r="N45" s="198" t="str">
        <f t="shared" ref="N45:N46" si="13">IF(F45="","",F45)</f>
        <v/>
      </c>
      <c r="O45" s="198" t="str">
        <f t="shared" ref="O45:O46" si="14">IF(G45="","",G45)</f>
        <v/>
      </c>
      <c r="P45" s="209" t="str">
        <f t="shared" ref="P45:P46" si="15">IF(H45="","",H45)</f>
        <v>-</v>
      </c>
    </row>
    <row r="46" spans="2:22" ht="13.35" customHeight="1">
      <c r="B46" s="1255" t="s">
        <v>169</v>
      </c>
      <c r="C46" s="1256"/>
      <c r="D46" s="1256"/>
      <c r="E46" s="680"/>
      <c r="F46" s="857"/>
      <c r="G46" s="858"/>
      <c r="H46" s="858" t="s">
        <v>2423</v>
      </c>
      <c r="J46" s="1255" t="s">
        <v>169</v>
      </c>
      <c r="K46" s="1256"/>
      <c r="L46" s="1257"/>
      <c r="M46" s="680"/>
      <c r="N46" s="198" t="str">
        <f t="shared" si="13"/>
        <v/>
      </c>
      <c r="O46" s="198" t="str">
        <f t="shared" si="14"/>
        <v/>
      </c>
      <c r="P46" s="209" t="str">
        <f t="shared" si="15"/>
        <v>-</v>
      </c>
    </row>
    <row r="47" spans="2:22" ht="13.35" customHeight="1" thickBot="1">
      <c r="B47" s="1255" t="s">
        <v>457</v>
      </c>
      <c r="C47" s="1256"/>
      <c r="D47" s="1256"/>
      <c r="E47" s="680"/>
      <c r="F47" s="857"/>
      <c r="G47" s="353"/>
      <c r="H47" s="233"/>
      <c r="J47" s="1255" t="s">
        <v>457</v>
      </c>
      <c r="K47" s="1256"/>
      <c r="L47" s="1256"/>
      <c r="M47" s="680"/>
      <c r="N47" s="198"/>
      <c r="O47" s="353"/>
      <c r="P47" s="383"/>
    </row>
    <row r="48" spans="2:22" ht="13.35" customHeight="1" thickBot="1">
      <c r="B48" s="1265" t="s">
        <v>2650</v>
      </c>
      <c r="C48" s="1266"/>
      <c r="D48" s="1266"/>
      <c r="E48" s="232"/>
      <c r="F48" s="1033"/>
      <c r="G48" s="1033"/>
      <c r="H48" s="1033"/>
      <c r="J48" s="1265" t="s">
        <v>2495</v>
      </c>
      <c r="K48" s="1266"/>
      <c r="L48" s="1266"/>
      <c r="M48" s="232"/>
      <c r="N48" s="204" t="s">
        <v>2496</v>
      </c>
      <c r="O48" s="204" t="s">
        <v>2496</v>
      </c>
      <c r="P48" s="204" t="s">
        <v>2496</v>
      </c>
    </row>
    <row r="49" spans="2:17" ht="13.35" customHeight="1" thickBot="1">
      <c r="C49" s="109"/>
      <c r="K49" s="109"/>
      <c r="N49" s="95"/>
      <c r="O49" s="95"/>
    </row>
    <row r="50" spans="2:17" s="103" customFormat="1" ht="22.35" customHeight="1" thickBot="1">
      <c r="B50" s="1248" t="s">
        <v>697</v>
      </c>
      <c r="C50" s="1249"/>
      <c r="D50" s="1249"/>
      <c r="E50" s="1249"/>
      <c r="F50" s="1249"/>
      <c r="G50" s="1250"/>
      <c r="J50" s="1248" t="s">
        <v>697</v>
      </c>
      <c r="K50" s="1249"/>
      <c r="L50" s="1249"/>
      <c r="M50" s="1249"/>
      <c r="N50" s="1249"/>
      <c r="O50" s="1250"/>
      <c r="P50" s="552"/>
      <c r="Q50" s="552"/>
    </row>
    <row r="51" spans="2:17" ht="18" customHeight="1">
      <c r="B51" s="1252" t="s">
        <v>170</v>
      </c>
      <c r="C51" s="1253"/>
      <c r="D51" s="1254"/>
      <c r="E51" s="205"/>
      <c r="F51" s="205"/>
      <c r="G51" s="207"/>
      <c r="J51" s="1252" t="s">
        <v>170</v>
      </c>
      <c r="K51" s="1253"/>
      <c r="L51" s="1254"/>
      <c r="M51" s="205"/>
      <c r="N51" s="205"/>
      <c r="O51" s="207"/>
    </row>
    <row r="52" spans="2:17" ht="13.35" customHeight="1">
      <c r="B52" s="1255" t="s">
        <v>171</v>
      </c>
      <c r="C52" s="1256"/>
      <c r="D52" s="1257"/>
      <c r="E52" s="857"/>
      <c r="F52" s="319"/>
      <c r="G52" s="105"/>
      <c r="J52" s="1255" t="s">
        <v>171</v>
      </c>
      <c r="K52" s="1256"/>
      <c r="L52" s="1257"/>
      <c r="M52" s="198" t="str">
        <f>IF(E52="","",E52)</f>
        <v/>
      </c>
      <c r="N52" s="319"/>
      <c r="O52" s="105"/>
    </row>
    <row r="53" spans="2:17" ht="13.35" customHeight="1" thickBot="1">
      <c r="B53" s="1258" t="s">
        <v>172</v>
      </c>
      <c r="C53" s="1259"/>
      <c r="D53" s="1260"/>
      <c r="E53" s="862"/>
      <c r="F53" s="320"/>
      <c r="G53" s="108"/>
      <c r="J53" s="1258" t="s">
        <v>172</v>
      </c>
      <c r="K53" s="1259"/>
      <c r="L53" s="1260"/>
      <c r="M53" s="198" t="str">
        <f>IF(E53="","",E53)</f>
        <v/>
      </c>
      <c r="N53" s="320"/>
      <c r="O53" s="108"/>
    </row>
    <row r="54" spans="2:17" ht="13.35" customHeight="1">
      <c r="B54" s="1032" t="s">
        <v>2621</v>
      </c>
      <c r="C54" s="254"/>
      <c r="D54" s="763"/>
      <c r="E54" s="1031"/>
      <c r="F54" s="120"/>
      <c r="G54" s="105"/>
      <c r="J54" s="570"/>
      <c r="K54" s="254"/>
      <c r="L54" s="763"/>
      <c r="M54" s="198"/>
      <c r="N54" s="120"/>
      <c r="O54" s="105"/>
    </row>
    <row r="55" spans="2:17" ht="13.35" customHeight="1" thickBot="1">
      <c r="B55" s="1265" t="s">
        <v>2766</v>
      </c>
      <c r="C55" s="1266"/>
      <c r="D55" s="1267"/>
      <c r="E55" s="965"/>
      <c r="F55" s="120"/>
      <c r="G55" s="105"/>
      <c r="H55" s="104"/>
      <c r="J55" s="570"/>
      <c r="K55" s="254"/>
      <c r="L55" s="763"/>
      <c r="M55" s="198"/>
      <c r="N55" s="120"/>
      <c r="O55" s="105"/>
    </row>
    <row r="56" spans="2:17" ht="13.35" customHeight="1">
      <c r="B56" s="1252" t="s">
        <v>236</v>
      </c>
      <c r="C56" s="1253"/>
      <c r="D56" s="1254"/>
      <c r="E56" s="200"/>
      <c r="F56" s="200"/>
      <c r="G56" s="165"/>
      <c r="J56" s="1252" t="s">
        <v>236</v>
      </c>
      <c r="K56" s="1253"/>
      <c r="L56" s="1254"/>
      <c r="M56" s="200"/>
      <c r="N56" s="200"/>
      <c r="O56" s="165"/>
    </row>
    <row r="57" spans="2:17" ht="13.35" customHeight="1">
      <c r="B57" s="1255" t="s">
        <v>549</v>
      </c>
      <c r="C57" s="1256"/>
      <c r="D57" s="1257"/>
      <c r="E57" s="857"/>
      <c r="F57" s="405"/>
      <c r="G57" s="105"/>
      <c r="J57" s="1255" t="s">
        <v>549</v>
      </c>
      <c r="K57" s="1256"/>
      <c r="L57" s="1257"/>
      <c r="M57" s="198" t="str">
        <f>IF(E57="","",E57)</f>
        <v/>
      </c>
      <c r="N57" s="405"/>
      <c r="O57" s="105"/>
    </row>
    <row r="58" spans="2:17" ht="13.35" customHeight="1">
      <c r="B58" s="1255" t="s">
        <v>636</v>
      </c>
      <c r="C58" s="1256"/>
      <c r="D58" s="1257"/>
      <c r="E58" s="857"/>
      <c r="F58" s="405"/>
      <c r="G58" s="105"/>
      <c r="J58" s="1255" t="s">
        <v>636</v>
      </c>
      <c r="K58" s="1256"/>
      <c r="L58" s="1257"/>
      <c r="M58" s="198" t="str">
        <f>IF(E58="","",E58)</f>
        <v/>
      </c>
      <c r="N58" s="405"/>
      <c r="O58" s="105"/>
    </row>
    <row r="59" spans="2:17" ht="13.35" customHeight="1">
      <c r="B59" s="1255" t="s">
        <v>2633</v>
      </c>
      <c r="C59" s="1256"/>
      <c r="D59" s="1257"/>
      <c r="E59" s="965"/>
      <c r="F59" s="405"/>
      <c r="G59" s="105"/>
      <c r="J59" s="570"/>
      <c r="K59" s="254"/>
      <c r="L59" s="763"/>
      <c r="M59" s="198"/>
      <c r="N59" s="405"/>
      <c r="O59" s="105"/>
    </row>
    <row r="60" spans="2:17" ht="13.35" customHeight="1" thickBot="1">
      <c r="B60" s="1258" t="s">
        <v>713</v>
      </c>
      <c r="C60" s="1259"/>
      <c r="D60" s="1260"/>
      <c r="E60" s="862"/>
      <c r="F60" s="199"/>
      <c r="G60" s="108"/>
      <c r="J60" s="1258" t="s">
        <v>713</v>
      </c>
      <c r="K60" s="1259"/>
      <c r="L60" s="1260"/>
      <c r="M60" s="198" t="str">
        <f>IF(E60="","",E60)</f>
        <v/>
      </c>
      <c r="N60" s="199"/>
      <c r="O60" s="108"/>
    </row>
    <row r="61" spans="2:17" ht="13.35" customHeight="1" thickBot="1">
      <c r="N61" s="95"/>
      <c r="O61" s="95"/>
    </row>
    <row r="62" spans="2:17" s="103" customFormat="1" ht="22.35" customHeight="1" thickBot="1">
      <c r="B62" s="515" t="s">
        <v>173</v>
      </c>
      <c r="C62" s="201"/>
      <c r="D62" s="318"/>
      <c r="E62" s="203" t="s">
        <v>452</v>
      </c>
      <c r="F62" s="203" t="s">
        <v>453</v>
      </c>
      <c r="G62" s="202" t="s">
        <v>454</v>
      </c>
      <c r="H62" s="202" t="s">
        <v>577</v>
      </c>
      <c r="J62" s="515" t="s">
        <v>173</v>
      </c>
      <c r="K62" s="201"/>
      <c r="L62" s="318"/>
      <c r="M62" s="203" t="s">
        <v>452</v>
      </c>
      <c r="N62" s="203" t="s">
        <v>453</v>
      </c>
      <c r="O62" s="202" t="s">
        <v>454</v>
      </c>
      <c r="P62" s="202" t="s">
        <v>577</v>
      </c>
      <c r="Q62" s="552"/>
    </row>
    <row r="63" spans="2:17" ht="18" customHeight="1">
      <c r="B63" s="1252" t="s">
        <v>174</v>
      </c>
      <c r="C63" s="1253"/>
      <c r="D63" s="1254"/>
      <c r="E63" s="205"/>
      <c r="F63" s="205"/>
      <c r="G63" s="207"/>
      <c r="H63" s="360"/>
      <c r="J63" s="1252" t="s">
        <v>174</v>
      </c>
      <c r="K63" s="1253"/>
      <c r="L63" s="1254"/>
      <c r="M63" s="205"/>
      <c r="N63" s="205"/>
      <c r="O63" s="207"/>
      <c r="P63" s="360"/>
    </row>
    <row r="64" spans="2:17" ht="13.35" customHeight="1">
      <c r="B64" s="1255" t="s">
        <v>12</v>
      </c>
      <c r="C64" s="1256"/>
      <c r="D64" s="1257"/>
      <c r="E64" s="857"/>
      <c r="F64" s="857"/>
      <c r="G64" s="858"/>
      <c r="H64" s="858" t="s">
        <v>2423</v>
      </c>
      <c r="J64" s="1255" t="s">
        <v>12</v>
      </c>
      <c r="K64" s="1256"/>
      <c r="L64" s="1257"/>
      <c r="M64" s="198" t="str">
        <f>IF(E64="","",E64)</f>
        <v/>
      </c>
      <c r="N64" s="198" t="str">
        <f t="shared" ref="N64:P64" si="16">IF(F64="","",F64)</f>
        <v/>
      </c>
      <c r="O64" s="198" t="str">
        <f t="shared" si="16"/>
        <v/>
      </c>
      <c r="P64" s="198" t="str">
        <f t="shared" si="16"/>
        <v>-</v>
      </c>
    </row>
    <row r="65" spans="2:17" ht="13.35" customHeight="1">
      <c r="B65" s="1255" t="s">
        <v>849</v>
      </c>
      <c r="C65" s="1256"/>
      <c r="D65" s="1257"/>
      <c r="E65" s="857"/>
      <c r="F65" s="206"/>
      <c r="G65" s="105"/>
      <c r="H65" s="353"/>
      <c r="I65" s="104"/>
      <c r="J65" s="1255" t="s">
        <v>849</v>
      </c>
      <c r="K65" s="1256"/>
      <c r="L65" s="1257"/>
      <c r="M65" s="198" t="str">
        <f t="shared" ref="M65:M69" si="17">IF(E65="","",E65)</f>
        <v/>
      </c>
      <c r="N65" s="206"/>
      <c r="O65" s="105"/>
      <c r="P65" s="208"/>
    </row>
    <row r="66" spans="2:17" ht="13.35" customHeight="1">
      <c r="B66" s="1255" t="s">
        <v>2767</v>
      </c>
      <c r="C66" s="1256"/>
      <c r="D66" s="1257"/>
      <c r="E66" s="857"/>
      <c r="F66" s="206"/>
      <c r="G66" s="105"/>
      <c r="H66" s="353"/>
      <c r="I66" s="104"/>
      <c r="J66" s="570"/>
      <c r="K66" s="254"/>
      <c r="L66" s="763"/>
      <c r="M66" s="198"/>
      <c r="N66" s="206"/>
      <c r="O66" s="105"/>
      <c r="P66" s="208"/>
    </row>
    <row r="67" spans="2:17" ht="13.35" customHeight="1">
      <c r="B67" s="1255" t="s">
        <v>714</v>
      </c>
      <c r="C67" s="1256"/>
      <c r="D67" s="1257"/>
      <c r="E67" s="857"/>
      <c r="F67" s="206"/>
      <c r="G67" s="105"/>
      <c r="H67" s="105"/>
      <c r="J67" s="1255" t="s">
        <v>714</v>
      </c>
      <c r="K67" s="1256"/>
      <c r="L67" s="1257"/>
      <c r="M67" s="198" t="str">
        <f t="shared" si="17"/>
        <v/>
      </c>
      <c r="N67" s="206"/>
      <c r="O67" s="105"/>
      <c r="P67" s="105"/>
    </row>
    <row r="68" spans="2:17" ht="13.35" customHeight="1">
      <c r="B68" s="1255" t="s">
        <v>458</v>
      </c>
      <c r="C68" s="1256"/>
      <c r="D68" s="1257"/>
      <c r="E68" s="857"/>
      <c r="F68" s="206"/>
      <c r="G68" s="105"/>
      <c r="H68" s="105"/>
      <c r="J68" s="1255" t="s">
        <v>458</v>
      </c>
      <c r="K68" s="1256"/>
      <c r="L68" s="1257"/>
      <c r="M68" s="198" t="str">
        <f t="shared" si="17"/>
        <v/>
      </c>
      <c r="N68" s="206"/>
      <c r="O68" s="105"/>
      <c r="P68" s="105"/>
    </row>
    <row r="69" spans="2:17" ht="13.35" customHeight="1" thickBot="1">
      <c r="B69" s="1258" t="s">
        <v>604</v>
      </c>
      <c r="C69" s="1259"/>
      <c r="D69" s="1260"/>
      <c r="E69" s="862"/>
      <c r="F69" s="1022"/>
      <c r="G69" s="108"/>
      <c r="H69" s="863"/>
      <c r="J69" s="1258" t="s">
        <v>604</v>
      </c>
      <c r="K69" s="1259"/>
      <c r="L69" s="1260"/>
      <c r="M69" s="198" t="str">
        <f t="shared" si="17"/>
        <v/>
      </c>
      <c r="N69" s="199"/>
      <c r="O69" s="108"/>
      <c r="P69" s="95"/>
    </row>
    <row r="70" spans="2:17" s="145" customFormat="1" ht="13.35" customHeight="1">
      <c r="O70" s="156"/>
      <c r="P70" s="156"/>
      <c r="Q70" s="156"/>
    </row>
    <row r="71" spans="2:17" s="145" customFormat="1" ht="13.35" hidden="1" customHeight="1">
      <c r="B71" s="1237" t="s">
        <v>494</v>
      </c>
      <c r="C71" s="1238"/>
      <c r="D71" s="1241"/>
      <c r="E71" s="1241"/>
      <c r="F71" s="1241"/>
      <c r="G71" s="1242"/>
      <c r="O71" s="156"/>
      <c r="P71" s="156"/>
      <c r="Q71" s="156"/>
    </row>
    <row r="72" spans="2:17" s="145" customFormat="1" ht="13.35" hidden="1" customHeight="1" thickBot="1">
      <c r="B72" s="1239"/>
      <c r="C72" s="1240"/>
      <c r="D72" s="1243" t="s">
        <v>495</v>
      </c>
      <c r="E72" s="1243"/>
      <c r="F72" s="571" t="s">
        <v>496</v>
      </c>
      <c r="G72" s="572" t="s">
        <v>497</v>
      </c>
      <c r="O72" s="156"/>
      <c r="P72" s="156"/>
      <c r="Q72" s="156"/>
    </row>
    <row r="73" spans="2:17" s="145" customFormat="1" ht="13.35" hidden="1" customHeight="1">
      <c r="B73" s="1226" t="s">
        <v>462</v>
      </c>
      <c r="C73" s="1227"/>
      <c r="D73" s="1228"/>
      <c r="E73" s="1228"/>
      <c r="F73" s="573"/>
      <c r="G73" s="574"/>
      <c r="O73" s="156"/>
      <c r="P73" s="156"/>
      <c r="Q73" s="156"/>
    </row>
    <row r="74" spans="2:17" s="145" customFormat="1" ht="13.35" hidden="1" customHeight="1">
      <c r="B74" s="1233" t="s">
        <v>498</v>
      </c>
      <c r="C74" s="1234"/>
      <c r="D74" s="1234"/>
      <c r="E74" s="1234"/>
      <c r="F74" s="575" t="s">
        <v>602</v>
      </c>
      <c r="G74" s="576">
        <v>2018</v>
      </c>
      <c r="O74" s="156"/>
      <c r="P74" s="156"/>
      <c r="Q74" s="156"/>
    </row>
    <row r="75" spans="2:17" s="145" customFormat="1" ht="13.35" hidden="1" customHeight="1" thickBot="1">
      <c r="B75" s="1235" t="s">
        <v>499</v>
      </c>
      <c r="C75" s="1236"/>
      <c r="D75" s="1236"/>
      <c r="E75" s="1236"/>
      <c r="F75" s="577" t="s">
        <v>502</v>
      </c>
      <c r="G75" s="578">
        <v>2016</v>
      </c>
      <c r="O75" s="156"/>
      <c r="P75" s="156"/>
      <c r="Q75" s="156"/>
    </row>
    <row r="76" spans="2:17" s="145" customFormat="1" ht="13.35" hidden="1" customHeight="1">
      <c r="B76" s="1226" t="s">
        <v>500</v>
      </c>
      <c r="C76" s="1227"/>
      <c r="D76" s="1228"/>
      <c r="E76" s="1228"/>
      <c r="F76" s="573"/>
      <c r="G76" s="574"/>
      <c r="O76" s="156"/>
      <c r="P76" s="156"/>
      <c r="Q76" s="156"/>
    </row>
    <row r="77" spans="2:17" s="145" customFormat="1" ht="13.35" hidden="1" customHeight="1">
      <c r="B77" s="1221"/>
      <c r="C77" s="1230"/>
      <c r="D77" s="1223" t="s">
        <v>501</v>
      </c>
      <c r="E77" s="1223"/>
      <c r="F77" s="579" t="s">
        <v>683</v>
      </c>
      <c r="G77" s="580">
        <v>2018</v>
      </c>
      <c r="O77" s="156"/>
      <c r="P77" s="156"/>
      <c r="Q77" s="156"/>
    </row>
    <row r="78" spans="2:17" s="145" customFormat="1" ht="13.35" hidden="1" customHeight="1">
      <c r="B78" s="1221"/>
      <c r="C78" s="1222"/>
      <c r="D78" s="1223" t="s">
        <v>503</v>
      </c>
      <c r="E78" s="1223"/>
      <c r="F78" s="579" t="s">
        <v>684</v>
      </c>
      <c r="G78" s="580">
        <v>2018</v>
      </c>
      <c r="O78" s="156"/>
      <c r="P78" s="156"/>
      <c r="Q78" s="156"/>
    </row>
    <row r="79" spans="2:17" s="145" customFormat="1" ht="13.35" hidden="1" customHeight="1">
      <c r="B79" s="581"/>
      <c r="C79" s="582"/>
      <c r="D79" s="1223" t="s">
        <v>504</v>
      </c>
      <c r="E79" s="1223"/>
      <c r="F79" s="579" t="s">
        <v>585</v>
      </c>
      <c r="G79" s="580">
        <v>2018</v>
      </c>
      <c r="O79" s="156"/>
      <c r="P79" s="156"/>
      <c r="Q79" s="156"/>
    </row>
    <row r="80" spans="2:17" s="145" customFormat="1" ht="13.35" hidden="1" customHeight="1">
      <c r="B80" s="1221"/>
      <c r="C80" s="1222"/>
      <c r="D80" s="1223" t="s">
        <v>505</v>
      </c>
      <c r="E80" s="1223"/>
      <c r="F80" s="579" t="s">
        <v>584</v>
      </c>
      <c r="G80" s="580">
        <v>2018</v>
      </c>
      <c r="O80" s="156"/>
      <c r="P80" s="156"/>
      <c r="Q80" s="156"/>
    </row>
    <row r="81" spans="2:17" s="145" customFormat="1" ht="13.35" hidden="1" customHeight="1">
      <c r="B81" s="1221"/>
      <c r="C81" s="1222"/>
      <c r="D81" s="1223" t="s">
        <v>506</v>
      </c>
      <c r="E81" s="1223"/>
      <c r="F81" s="579" t="s">
        <v>586</v>
      </c>
      <c r="G81" s="580">
        <v>2018</v>
      </c>
      <c r="O81" s="156"/>
      <c r="P81" s="156"/>
      <c r="Q81" s="156"/>
    </row>
    <row r="82" spans="2:17" s="145" customFormat="1" ht="13.35" hidden="1" customHeight="1">
      <c r="B82" s="1221"/>
      <c r="C82" s="1222"/>
      <c r="D82" s="1223" t="s">
        <v>507</v>
      </c>
      <c r="E82" s="1223"/>
      <c r="F82" s="579" t="s">
        <v>587</v>
      </c>
      <c r="G82" s="580">
        <v>2015</v>
      </c>
      <c r="O82" s="156"/>
      <c r="P82" s="156"/>
      <c r="Q82" s="156"/>
    </row>
    <row r="83" spans="2:17" s="145" customFormat="1" ht="13.35" hidden="1" customHeight="1">
      <c r="B83" s="1221"/>
      <c r="C83" s="1222"/>
      <c r="D83" s="1223" t="s">
        <v>508</v>
      </c>
      <c r="E83" s="1223"/>
      <c r="F83" s="579" t="s">
        <v>519</v>
      </c>
      <c r="G83" s="580">
        <v>2014</v>
      </c>
      <c r="O83" s="156"/>
      <c r="P83" s="156"/>
      <c r="Q83" s="156"/>
    </row>
    <row r="84" spans="2:17" s="145" customFormat="1" ht="13.35" hidden="1" customHeight="1">
      <c r="B84" s="1221"/>
      <c r="C84" s="1222"/>
      <c r="D84" s="1223" t="s">
        <v>509</v>
      </c>
      <c r="E84" s="1223"/>
      <c r="F84" s="579" t="s">
        <v>520</v>
      </c>
      <c r="G84" s="580">
        <v>2010</v>
      </c>
      <c r="O84" s="156"/>
      <c r="P84" s="156"/>
      <c r="Q84" s="156"/>
    </row>
    <row r="85" spans="2:17" s="145" customFormat="1" ht="13.35" hidden="1" customHeight="1">
      <c r="B85" s="1221"/>
      <c r="C85" s="1222"/>
      <c r="D85" s="1223" t="s">
        <v>510</v>
      </c>
      <c r="E85" s="1223"/>
      <c r="F85" s="579" t="s">
        <v>685</v>
      </c>
      <c r="G85" s="580">
        <v>2018</v>
      </c>
      <c r="O85" s="156"/>
      <c r="P85" s="156"/>
      <c r="Q85" s="156"/>
    </row>
    <row r="86" spans="2:17" s="145" customFormat="1" ht="13.35" hidden="1" customHeight="1" thickBot="1">
      <c r="B86" s="1229"/>
      <c r="C86" s="1225"/>
      <c r="D86" s="1225"/>
      <c r="E86" s="1225"/>
      <c r="F86" s="583"/>
      <c r="G86" s="584"/>
      <c r="O86" s="156"/>
      <c r="P86" s="156"/>
      <c r="Q86" s="156"/>
    </row>
    <row r="87" spans="2:17" s="145" customFormat="1" ht="13.35" hidden="1" customHeight="1">
      <c r="B87" s="1226" t="s">
        <v>511</v>
      </c>
      <c r="C87" s="1227"/>
      <c r="D87" s="1228"/>
      <c r="E87" s="1228"/>
      <c r="F87" s="573"/>
      <c r="G87" s="574"/>
      <c r="O87" s="156"/>
      <c r="P87" s="156"/>
      <c r="Q87" s="156"/>
    </row>
    <row r="88" spans="2:17" s="145" customFormat="1" ht="13.35" hidden="1" customHeight="1">
      <c r="B88" s="1221"/>
      <c r="C88" s="1222"/>
      <c r="D88" s="1223" t="s">
        <v>512</v>
      </c>
      <c r="E88" s="1223"/>
      <c r="F88" s="579" t="s">
        <v>686</v>
      </c>
      <c r="G88" s="580">
        <v>2018</v>
      </c>
      <c r="O88" s="156"/>
      <c r="P88" s="156"/>
      <c r="Q88" s="156"/>
    </row>
    <row r="89" spans="2:17" s="145" customFormat="1" ht="13.35" hidden="1" customHeight="1">
      <c r="B89" s="1221"/>
      <c r="C89" s="1222"/>
      <c r="D89" s="1223" t="s">
        <v>589</v>
      </c>
      <c r="E89" s="1223"/>
      <c r="F89" s="579" t="s">
        <v>686</v>
      </c>
      <c r="G89" s="580">
        <v>2018</v>
      </c>
      <c r="O89" s="156"/>
      <c r="P89" s="156"/>
      <c r="Q89" s="156"/>
    </row>
    <row r="90" spans="2:17" s="145" customFormat="1" ht="13.35" hidden="1" customHeight="1" thickBot="1">
      <c r="B90" s="1229"/>
      <c r="C90" s="1225"/>
      <c r="D90" s="1225"/>
      <c r="E90" s="1225"/>
      <c r="F90" s="583"/>
      <c r="G90" s="584"/>
      <c r="O90" s="156"/>
      <c r="P90" s="156"/>
      <c r="Q90" s="156"/>
    </row>
    <row r="91" spans="2:17" s="145" customFormat="1" ht="13.35" hidden="1" customHeight="1">
      <c r="B91" s="1226" t="s">
        <v>513</v>
      </c>
      <c r="C91" s="1227"/>
      <c r="D91" s="1228"/>
      <c r="E91" s="1228"/>
      <c r="F91" s="573"/>
      <c r="G91" s="574"/>
      <c r="O91" s="156"/>
      <c r="P91" s="156"/>
      <c r="Q91" s="156"/>
    </row>
    <row r="92" spans="2:17" s="145" customFormat="1" ht="13.35" hidden="1" customHeight="1">
      <c r="B92" s="1221"/>
      <c r="C92" s="1222"/>
      <c r="D92" s="1223" t="s">
        <v>514</v>
      </c>
      <c r="E92" s="1223"/>
      <c r="F92" s="579" t="s">
        <v>687</v>
      </c>
      <c r="G92" s="580">
        <v>2018</v>
      </c>
      <c r="O92" s="156"/>
      <c r="P92" s="156"/>
      <c r="Q92" s="156"/>
    </row>
    <row r="93" spans="2:17" s="145" customFormat="1" ht="13.35" hidden="1" customHeight="1">
      <c r="B93" s="1221"/>
      <c r="C93" s="1222"/>
      <c r="D93" s="1223" t="s">
        <v>515</v>
      </c>
      <c r="E93" s="1223"/>
      <c r="F93" s="579" t="s">
        <v>688</v>
      </c>
      <c r="G93" s="580">
        <v>2018</v>
      </c>
      <c r="O93" s="156"/>
      <c r="P93" s="156"/>
      <c r="Q93" s="156"/>
    </row>
    <row r="94" spans="2:17" s="145" customFormat="1" ht="13.35" hidden="1" customHeight="1">
      <c r="B94" s="1221"/>
      <c r="C94" s="1222"/>
      <c r="D94" s="1223" t="s">
        <v>588</v>
      </c>
      <c r="E94" s="1223"/>
      <c r="F94" s="579" t="s">
        <v>689</v>
      </c>
      <c r="G94" s="580">
        <v>2018</v>
      </c>
      <c r="O94" s="156"/>
      <c r="P94" s="156"/>
      <c r="Q94" s="156"/>
    </row>
    <row r="95" spans="2:17" s="145" customFormat="1" ht="13.35" hidden="1" customHeight="1" thickBot="1">
      <c r="B95" s="1229"/>
      <c r="C95" s="1225"/>
      <c r="D95" s="1225"/>
      <c r="E95" s="1225"/>
      <c r="F95" s="583"/>
      <c r="G95" s="584"/>
      <c r="O95" s="156"/>
      <c r="P95" s="156"/>
      <c r="Q95" s="156"/>
    </row>
    <row r="96" spans="2:17" s="145" customFormat="1" ht="13.35" hidden="1" customHeight="1">
      <c r="B96" s="1226" t="s">
        <v>173</v>
      </c>
      <c r="C96" s="1227"/>
      <c r="D96" s="1228"/>
      <c r="E96" s="1228"/>
      <c r="F96" s="573"/>
      <c r="G96" s="574"/>
      <c r="O96" s="156"/>
      <c r="P96" s="156"/>
      <c r="Q96" s="156"/>
    </row>
    <row r="97" spans="2:17" s="145" customFormat="1" ht="13.35" hidden="1" customHeight="1">
      <c r="B97" s="1221"/>
      <c r="C97" s="1222"/>
      <c r="D97" s="1223" t="s">
        <v>516</v>
      </c>
      <c r="E97" s="1223"/>
      <c r="F97" s="579" t="s">
        <v>690</v>
      </c>
      <c r="G97" s="580">
        <v>2018</v>
      </c>
      <c r="O97" s="156"/>
      <c r="P97" s="156"/>
      <c r="Q97" s="156"/>
    </row>
    <row r="98" spans="2:17" s="145" customFormat="1" ht="13.35" hidden="1" customHeight="1">
      <c r="B98" s="1221"/>
      <c r="C98" s="1222"/>
      <c r="D98" s="1223" t="s">
        <v>517</v>
      </c>
      <c r="E98" s="1223"/>
      <c r="F98" s="579" t="s">
        <v>685</v>
      </c>
      <c r="G98" s="580">
        <v>2018</v>
      </c>
      <c r="O98" s="156"/>
      <c r="P98" s="156"/>
      <c r="Q98" s="156"/>
    </row>
    <row r="99" spans="2:17" s="145" customFormat="1" ht="13.35" hidden="1" customHeight="1">
      <c r="B99" s="1221"/>
      <c r="C99" s="1222"/>
      <c r="D99" s="1223" t="s">
        <v>518</v>
      </c>
      <c r="E99" s="1223"/>
      <c r="F99" s="579" t="s">
        <v>691</v>
      </c>
      <c r="G99" s="580">
        <v>2018</v>
      </c>
      <c r="O99" s="156"/>
      <c r="P99" s="156"/>
      <c r="Q99" s="156"/>
    </row>
    <row r="100" spans="2:17" s="145" customFormat="1" ht="13.35" hidden="1" customHeight="1">
      <c r="B100" s="1221"/>
      <c r="C100" s="1222"/>
      <c r="D100" s="1223" t="s">
        <v>590</v>
      </c>
      <c r="E100" s="1223"/>
      <c r="F100" s="579" t="s">
        <v>685</v>
      </c>
      <c r="G100" s="580">
        <v>2018</v>
      </c>
      <c r="O100" s="156"/>
      <c r="P100" s="156"/>
      <c r="Q100" s="156"/>
    </row>
    <row r="101" spans="2:17" s="145" customFormat="1" ht="13.35" hidden="1" customHeight="1" thickBot="1">
      <c r="B101" s="1229"/>
      <c r="C101" s="1225"/>
      <c r="D101" s="1225"/>
      <c r="E101" s="1225"/>
      <c r="F101" s="583"/>
      <c r="G101" s="584"/>
      <c r="O101" s="156"/>
      <c r="P101" s="156"/>
      <c r="Q101" s="156"/>
    </row>
    <row r="102" spans="2:17" s="145" customFormat="1" ht="13.35" customHeight="1">
      <c r="O102" s="156"/>
      <c r="P102" s="156"/>
      <c r="Q102" s="156"/>
    </row>
    <row r="103" spans="2:17" s="145" customFormat="1" ht="13.35" customHeight="1">
      <c r="O103" s="156"/>
      <c r="P103" s="156"/>
      <c r="Q103" s="156"/>
    </row>
    <row r="104" spans="2:17" s="145" customFormat="1" ht="13.35" customHeight="1">
      <c r="O104" s="156"/>
      <c r="P104" s="156"/>
      <c r="Q104" s="156"/>
    </row>
    <row r="105" spans="2:17" s="145" customFormat="1" ht="13.35" customHeight="1">
      <c r="O105" s="156"/>
      <c r="P105" s="156"/>
      <c r="Q105" s="156"/>
    </row>
    <row r="106" spans="2:17" s="145" customFormat="1" ht="13.35" customHeight="1">
      <c r="O106" s="156"/>
      <c r="P106" s="156"/>
      <c r="Q106" s="156"/>
    </row>
    <row r="107" spans="2:17" s="145" customFormat="1">
      <c r="O107" s="156"/>
      <c r="P107" s="156"/>
      <c r="Q107" s="156"/>
    </row>
    <row r="108" spans="2:17" s="145" customFormat="1">
      <c r="O108" s="156"/>
      <c r="P108" s="156"/>
      <c r="Q108" s="156"/>
    </row>
    <row r="109" spans="2:17" s="145" customFormat="1">
      <c r="O109" s="156"/>
      <c r="P109" s="156"/>
      <c r="Q109" s="156"/>
    </row>
    <row r="110" spans="2:17" s="145" customFormat="1" ht="15" hidden="1">
      <c r="E110" s="585" t="s">
        <v>157</v>
      </c>
      <c r="F110" s="585" t="s">
        <v>159</v>
      </c>
      <c r="G110" s="585" t="s">
        <v>460</v>
      </c>
      <c r="O110" s="156"/>
      <c r="P110" s="156"/>
      <c r="Q110" s="156"/>
    </row>
    <row r="111" spans="2:17" s="145" customFormat="1" hidden="1">
      <c r="E111" s="586" t="s">
        <v>2703</v>
      </c>
      <c r="F111" s="586" t="s">
        <v>444</v>
      </c>
      <c r="G111" s="586"/>
      <c r="O111" s="156"/>
      <c r="P111" s="156"/>
      <c r="Q111" s="156"/>
    </row>
    <row r="112" spans="2:17" s="145" customFormat="1" hidden="1">
      <c r="E112" s="586" t="s">
        <v>25</v>
      </c>
      <c r="F112" s="586" t="s">
        <v>447</v>
      </c>
      <c r="G112" s="586"/>
      <c r="O112" s="156"/>
      <c r="P112" s="156"/>
      <c r="Q112" s="156"/>
    </row>
    <row r="113" spans="5:17" s="145" customFormat="1" hidden="1">
      <c r="E113" s="586" t="s">
        <v>26</v>
      </c>
      <c r="F113" s="586" t="s">
        <v>445</v>
      </c>
      <c r="G113" s="586"/>
      <c r="O113" s="156"/>
      <c r="P113" s="156"/>
      <c r="Q113" s="156"/>
    </row>
    <row r="114" spans="5:17" s="145" customFormat="1" hidden="1">
      <c r="E114" s="586" t="s">
        <v>187</v>
      </c>
      <c r="F114" s="586" t="s">
        <v>449</v>
      </c>
      <c r="G114" s="586"/>
      <c r="O114" s="156"/>
      <c r="P114" s="156"/>
      <c r="Q114" s="156"/>
    </row>
    <row r="115" spans="5:17" s="145" customFormat="1" hidden="1">
      <c r="E115" s="586" t="s">
        <v>2700</v>
      </c>
      <c r="F115" s="586" t="s">
        <v>451</v>
      </c>
      <c r="G115" s="586"/>
      <c r="O115" s="156"/>
      <c r="P115" s="156"/>
      <c r="Q115" s="156"/>
    </row>
    <row r="116" spans="5:17" s="145" customFormat="1" hidden="1">
      <c r="E116" s="586" t="s">
        <v>2696</v>
      </c>
      <c r="F116" s="586" t="s">
        <v>446</v>
      </c>
      <c r="G116" s="586"/>
      <c r="O116" s="156"/>
      <c r="P116" s="156"/>
      <c r="Q116" s="156"/>
    </row>
    <row r="117" spans="5:17" s="145" customFormat="1" hidden="1">
      <c r="E117" s="586" t="s">
        <v>443</v>
      </c>
      <c r="F117" s="586" t="s">
        <v>2928</v>
      </c>
      <c r="G117" s="586"/>
      <c r="O117" s="156"/>
      <c r="P117" s="156"/>
      <c r="Q117" s="156"/>
    </row>
    <row r="118" spans="5:17" s="145" customFormat="1" hidden="1">
      <c r="E118" s="586" t="s">
        <v>188</v>
      </c>
      <c r="F118" s="586" t="s">
        <v>2929</v>
      </c>
      <c r="G118" s="586"/>
      <c r="O118" s="156"/>
      <c r="P118" s="156"/>
      <c r="Q118" s="156"/>
    </row>
    <row r="119" spans="5:17" s="145" customFormat="1" hidden="1">
      <c r="E119" s="586" t="s">
        <v>703</v>
      </c>
      <c r="F119" s="586" t="s">
        <v>450</v>
      </c>
      <c r="G119" s="586"/>
      <c r="O119" s="156"/>
      <c r="P119" s="156"/>
      <c r="Q119" s="156"/>
    </row>
    <row r="120" spans="5:17" s="145" customFormat="1" hidden="1">
      <c r="E120" s="586" t="s">
        <v>2701</v>
      </c>
      <c r="F120" s="586" t="s">
        <v>448</v>
      </c>
      <c r="G120" s="586"/>
      <c r="O120" s="156"/>
      <c r="P120" s="156"/>
      <c r="Q120" s="156"/>
    </row>
    <row r="121" spans="5:17" s="145" customFormat="1" hidden="1">
      <c r="E121" s="586" t="s">
        <v>189</v>
      </c>
      <c r="F121" s="586" t="s">
        <v>344</v>
      </c>
      <c r="G121" s="586"/>
      <c r="O121" s="156"/>
      <c r="P121" s="156"/>
      <c r="Q121" s="156"/>
    </row>
    <row r="122" spans="5:17" s="145" customFormat="1" hidden="1">
      <c r="E122" s="586" t="s">
        <v>190</v>
      </c>
      <c r="F122" s="586"/>
      <c r="G122" s="586"/>
      <c r="O122" s="156"/>
      <c r="P122" s="156"/>
      <c r="Q122" s="156"/>
    </row>
    <row r="123" spans="5:17" s="145" customFormat="1" hidden="1">
      <c r="E123" s="586" t="s">
        <v>191</v>
      </c>
      <c r="F123" s="586"/>
      <c r="O123" s="156"/>
      <c r="P123" s="156"/>
      <c r="Q123" s="156"/>
    </row>
    <row r="124" spans="5:17" s="145" customFormat="1" hidden="1">
      <c r="E124" s="586" t="s">
        <v>192</v>
      </c>
      <c r="F124" s="586"/>
      <c r="G124" s="586"/>
      <c r="O124" s="156"/>
      <c r="P124" s="156"/>
      <c r="Q124" s="156"/>
    </row>
    <row r="125" spans="5:17" s="145" customFormat="1" hidden="1">
      <c r="E125" s="586" t="s">
        <v>2702</v>
      </c>
      <c r="F125" s="586"/>
      <c r="G125" s="586"/>
      <c r="O125" s="156"/>
      <c r="P125" s="156"/>
      <c r="Q125" s="156"/>
    </row>
    <row r="126" spans="5:17" s="145" customFormat="1" hidden="1">
      <c r="E126" s="586" t="s">
        <v>704</v>
      </c>
      <c r="F126" s="586"/>
      <c r="G126" s="586"/>
      <c r="O126" s="156"/>
      <c r="P126" s="156"/>
      <c r="Q126" s="156"/>
    </row>
    <row r="127" spans="5:17" s="145" customFormat="1" hidden="1">
      <c r="E127" s="586" t="s">
        <v>193</v>
      </c>
      <c r="F127" s="586"/>
      <c r="G127" s="586"/>
      <c r="O127" s="156"/>
      <c r="P127" s="156"/>
      <c r="Q127" s="156"/>
    </row>
    <row r="128" spans="5:17" s="145" customFormat="1" hidden="1">
      <c r="E128" s="586" t="s">
        <v>194</v>
      </c>
      <c r="F128" s="586"/>
      <c r="G128" s="586"/>
      <c r="O128" s="156"/>
      <c r="P128" s="156"/>
      <c r="Q128" s="156"/>
    </row>
    <row r="129" spans="5:17" s="145" customFormat="1" hidden="1">
      <c r="E129" s="586" t="s">
        <v>195</v>
      </c>
      <c r="F129" s="586"/>
      <c r="G129" s="586"/>
      <c r="O129" s="156"/>
      <c r="P129" s="156"/>
      <c r="Q129" s="156"/>
    </row>
    <row r="130" spans="5:17" s="145" customFormat="1" hidden="1">
      <c r="E130" s="586" t="s">
        <v>196</v>
      </c>
      <c r="F130" s="586"/>
      <c r="G130" s="586"/>
      <c r="O130" s="156"/>
      <c r="P130" s="156"/>
      <c r="Q130" s="156"/>
    </row>
    <row r="131" spans="5:17" s="145" customFormat="1" hidden="1">
      <c r="E131" s="586" t="s">
        <v>197</v>
      </c>
      <c r="F131" s="586"/>
      <c r="G131" s="586"/>
      <c r="O131" s="156"/>
      <c r="P131" s="156"/>
      <c r="Q131" s="156"/>
    </row>
    <row r="132" spans="5:17" s="145" customFormat="1" hidden="1">
      <c r="E132" s="586" t="s">
        <v>198</v>
      </c>
      <c r="F132" s="586"/>
      <c r="G132" s="586"/>
      <c r="O132" s="156"/>
      <c r="P132" s="156"/>
      <c r="Q132" s="156"/>
    </row>
    <row r="133" spans="5:17" s="145" customFormat="1" hidden="1">
      <c r="E133" s="586" t="s">
        <v>199</v>
      </c>
      <c r="F133" s="586"/>
      <c r="G133" s="586"/>
      <c r="O133" s="156"/>
      <c r="P133" s="156"/>
      <c r="Q133" s="156"/>
    </row>
    <row r="134" spans="5:17" s="145" customFormat="1" hidden="1">
      <c r="E134" s="586" t="s">
        <v>200</v>
      </c>
      <c r="F134" s="586"/>
      <c r="G134" s="586"/>
      <c r="O134" s="156"/>
      <c r="P134" s="156"/>
      <c r="Q134" s="156"/>
    </row>
    <row r="135" spans="5:17" s="145" customFormat="1" hidden="1">
      <c r="E135" s="586" t="s">
        <v>201</v>
      </c>
      <c r="F135" s="586"/>
      <c r="G135" s="586"/>
      <c r="O135" s="156"/>
      <c r="P135" s="156"/>
      <c r="Q135" s="156"/>
    </row>
    <row r="136" spans="5:17" s="145" customFormat="1" hidden="1">
      <c r="E136" s="586" t="s">
        <v>202</v>
      </c>
      <c r="F136" s="586"/>
      <c r="G136" s="586"/>
      <c r="O136" s="156"/>
      <c r="P136" s="156"/>
      <c r="Q136" s="156"/>
    </row>
    <row r="137" spans="5:17" s="145" customFormat="1" hidden="1">
      <c r="E137" s="586" t="s">
        <v>203</v>
      </c>
      <c r="F137" s="586"/>
      <c r="G137" s="586"/>
      <c r="O137" s="156"/>
      <c r="P137" s="156"/>
      <c r="Q137" s="156"/>
    </row>
    <row r="138" spans="5:17" s="145" customFormat="1" hidden="1">
      <c r="E138" s="586" t="s">
        <v>204</v>
      </c>
      <c r="F138" s="586"/>
      <c r="G138" s="586"/>
      <c r="O138" s="156"/>
      <c r="P138" s="156"/>
      <c r="Q138" s="156"/>
    </row>
    <row r="139" spans="5:17" s="145" customFormat="1" hidden="1">
      <c r="E139" s="586" t="s">
        <v>205</v>
      </c>
      <c r="F139" s="586"/>
      <c r="G139" s="586"/>
      <c r="O139" s="156"/>
      <c r="P139" s="156"/>
      <c r="Q139" s="156"/>
    </row>
    <row r="140" spans="5:17" s="145" customFormat="1" hidden="1">
      <c r="E140" s="586" t="s">
        <v>2699</v>
      </c>
      <c r="F140" s="586"/>
      <c r="G140" s="586"/>
      <c r="O140" s="156"/>
      <c r="P140" s="156"/>
      <c r="Q140" s="156"/>
    </row>
    <row r="141" spans="5:17" s="145" customFormat="1" hidden="1">
      <c r="E141" s="586" t="s">
        <v>343</v>
      </c>
      <c r="F141" s="586"/>
      <c r="G141" s="586"/>
      <c r="O141" s="156"/>
      <c r="P141" s="156"/>
      <c r="Q141" s="156"/>
    </row>
    <row r="142" spans="5:17" s="145" customFormat="1" hidden="1">
      <c r="E142" s="586" t="s">
        <v>2693</v>
      </c>
      <c r="F142" s="586"/>
      <c r="G142" s="586"/>
      <c r="O142" s="156"/>
      <c r="P142" s="156"/>
      <c r="Q142" s="156"/>
    </row>
    <row r="143" spans="5:17" s="145" customFormat="1" hidden="1">
      <c r="E143" s="586" t="s">
        <v>206</v>
      </c>
      <c r="F143" s="586"/>
      <c r="G143" s="586"/>
      <c r="O143" s="156"/>
      <c r="P143" s="156"/>
      <c r="Q143" s="156"/>
    </row>
    <row r="144" spans="5:17" s="145" customFormat="1" hidden="1">
      <c r="E144" s="586" t="s">
        <v>705</v>
      </c>
      <c r="F144" s="586"/>
      <c r="G144" s="586"/>
      <c r="O144" s="156"/>
      <c r="P144" s="156"/>
      <c r="Q144" s="156"/>
    </row>
    <row r="145" spans="5:17" s="145" customFormat="1" hidden="1">
      <c r="E145" s="586" t="s">
        <v>207</v>
      </c>
      <c r="F145" s="586"/>
      <c r="G145" s="586"/>
      <c r="O145" s="156"/>
      <c r="P145" s="156"/>
      <c r="Q145" s="156"/>
    </row>
    <row r="146" spans="5:17" s="145" customFormat="1" hidden="1">
      <c r="E146" s="586" t="s">
        <v>208</v>
      </c>
      <c r="F146" s="586"/>
      <c r="G146" s="586"/>
      <c r="O146" s="156"/>
      <c r="P146" s="156"/>
      <c r="Q146" s="156"/>
    </row>
    <row r="147" spans="5:17" s="145" customFormat="1" hidden="1">
      <c r="E147" s="586" t="s">
        <v>22</v>
      </c>
      <c r="F147" s="586"/>
      <c r="G147" s="586"/>
      <c r="O147" s="156"/>
      <c r="P147" s="156"/>
      <c r="Q147" s="156"/>
    </row>
    <row r="148" spans="5:17" s="145" customFormat="1" hidden="1">
      <c r="E148" s="586" t="s">
        <v>2930</v>
      </c>
      <c r="F148" s="586"/>
      <c r="G148" s="586"/>
      <c r="O148" s="156"/>
      <c r="P148" s="156"/>
      <c r="Q148" s="156"/>
    </row>
    <row r="149" spans="5:17" s="145" customFormat="1" hidden="1">
      <c r="E149" s="586" t="s">
        <v>209</v>
      </c>
      <c r="F149" s="586"/>
      <c r="G149" s="586"/>
      <c r="O149" s="156"/>
      <c r="P149" s="156"/>
      <c r="Q149" s="156"/>
    </row>
    <row r="150" spans="5:17" s="145" customFormat="1" hidden="1">
      <c r="E150" s="586" t="s">
        <v>2697</v>
      </c>
      <c r="F150" s="586"/>
      <c r="G150" s="586"/>
      <c r="O150" s="156"/>
      <c r="P150" s="156"/>
      <c r="Q150" s="156"/>
    </row>
    <row r="151" spans="5:17" s="145" customFormat="1" hidden="1">
      <c r="E151" s="586" t="s">
        <v>708</v>
      </c>
      <c r="F151" s="586"/>
      <c r="G151" s="586"/>
      <c r="O151" s="156"/>
      <c r="P151" s="156"/>
      <c r="Q151" s="156"/>
    </row>
    <row r="152" spans="5:17" s="145" customFormat="1" hidden="1">
      <c r="E152" s="586" t="s">
        <v>2695</v>
      </c>
      <c r="F152" s="586"/>
      <c r="G152" s="586"/>
      <c r="O152" s="156"/>
      <c r="P152" s="156"/>
      <c r="Q152" s="156"/>
    </row>
    <row r="153" spans="5:17" s="145" customFormat="1" hidden="1">
      <c r="E153" s="586" t="s">
        <v>210</v>
      </c>
      <c r="G153" s="586"/>
      <c r="O153" s="156"/>
      <c r="P153" s="156"/>
      <c r="Q153" s="156"/>
    </row>
    <row r="154" spans="5:17" s="145" customFormat="1" hidden="1">
      <c r="E154" s="586" t="s">
        <v>2698</v>
      </c>
      <c r="F154" s="586"/>
      <c r="G154" s="586"/>
      <c r="O154" s="156"/>
      <c r="P154" s="156"/>
      <c r="Q154" s="156"/>
    </row>
    <row r="155" spans="5:17" s="145" customFormat="1" hidden="1">
      <c r="E155" s="586" t="s">
        <v>2704</v>
      </c>
      <c r="F155" s="586"/>
      <c r="G155" s="586"/>
      <c r="O155" s="156"/>
      <c r="P155" s="156"/>
      <c r="Q155" s="156"/>
    </row>
    <row r="156" spans="5:17" s="145" customFormat="1" hidden="1">
      <c r="E156" s="586" t="s">
        <v>211</v>
      </c>
      <c r="F156" s="586"/>
      <c r="G156" s="586"/>
      <c r="O156" s="156"/>
      <c r="P156" s="156"/>
      <c r="Q156" s="156"/>
    </row>
    <row r="157" spans="5:17" s="145" customFormat="1" hidden="1">
      <c r="E157" s="586" t="s">
        <v>342</v>
      </c>
      <c r="F157" s="586"/>
      <c r="G157" s="586"/>
      <c r="O157" s="156"/>
      <c r="P157" s="156"/>
      <c r="Q157" s="156"/>
    </row>
    <row r="158" spans="5:17" s="145" customFormat="1" hidden="1">
      <c r="E158" s="586" t="s">
        <v>212</v>
      </c>
      <c r="F158" s="586"/>
      <c r="G158" s="586"/>
      <c r="O158" s="156"/>
      <c r="P158" s="156"/>
      <c r="Q158" s="156"/>
    </row>
    <row r="159" spans="5:17" s="145" customFormat="1" hidden="1">
      <c r="E159" s="586" t="s">
        <v>213</v>
      </c>
      <c r="F159" s="586"/>
      <c r="G159" s="586"/>
      <c r="O159" s="156"/>
      <c r="P159" s="156"/>
      <c r="Q159" s="156"/>
    </row>
    <row r="160" spans="5:17" s="145" customFormat="1" hidden="1">
      <c r="E160" s="586" t="s">
        <v>214</v>
      </c>
      <c r="F160" s="586"/>
      <c r="G160" s="586"/>
      <c r="O160" s="156"/>
      <c r="P160" s="156"/>
      <c r="Q160" s="156"/>
    </row>
    <row r="161" spans="5:17" s="145" customFormat="1" hidden="1">
      <c r="E161" s="586" t="s">
        <v>215</v>
      </c>
      <c r="O161" s="156"/>
      <c r="P161" s="156"/>
      <c r="Q161" s="156"/>
    </row>
    <row r="162" spans="5:17" s="145" customFormat="1" hidden="1">
      <c r="E162" s="586" t="s">
        <v>706</v>
      </c>
      <c r="O162" s="156"/>
      <c r="P162" s="156"/>
      <c r="Q162" s="156"/>
    </row>
    <row r="163" spans="5:17" s="145" customFormat="1" hidden="1">
      <c r="E163" s="586" t="s">
        <v>351</v>
      </c>
      <c r="O163" s="156"/>
      <c r="P163" s="156"/>
      <c r="Q163" s="156"/>
    </row>
    <row r="164" spans="5:17" s="145" customFormat="1" hidden="1">
      <c r="E164" s="586" t="s">
        <v>216</v>
      </c>
      <c r="O164" s="156"/>
      <c r="P164" s="156"/>
      <c r="Q164" s="156"/>
    </row>
    <row r="165" spans="5:17" s="145" customFormat="1" hidden="1">
      <c r="E165" s="586" t="s">
        <v>707</v>
      </c>
      <c r="O165" s="156"/>
      <c r="P165" s="156"/>
      <c r="Q165" s="156"/>
    </row>
    <row r="166" spans="5:17" s="145" customFormat="1" hidden="1">
      <c r="E166" s="145" t="s">
        <v>217</v>
      </c>
      <c r="O166" s="156"/>
      <c r="P166" s="156"/>
      <c r="Q166" s="156"/>
    </row>
    <row r="167" spans="5:17" s="145" customFormat="1" hidden="1">
      <c r="E167" s="586" t="s">
        <v>709</v>
      </c>
      <c r="O167" s="156"/>
      <c r="P167" s="156"/>
      <c r="Q167" s="156"/>
    </row>
    <row r="168" spans="5:17" s="145" customFormat="1" hidden="1">
      <c r="E168" s="586" t="s">
        <v>218</v>
      </c>
      <c r="O168" s="156"/>
      <c r="P168" s="156"/>
      <c r="Q168" s="156"/>
    </row>
    <row r="169" spans="5:17" s="145" customFormat="1" hidden="1">
      <c r="E169" s="586" t="s">
        <v>2694</v>
      </c>
      <c r="O169" s="156"/>
      <c r="P169" s="156"/>
      <c r="Q169" s="156"/>
    </row>
    <row r="170" spans="5:17" s="145" customFormat="1" hidden="1">
      <c r="E170" s="586" t="s">
        <v>2931</v>
      </c>
      <c r="O170" s="156"/>
      <c r="P170" s="156"/>
      <c r="Q170" s="156"/>
    </row>
    <row r="171" spans="5:17" hidden="1">
      <c r="E171" s="586" t="s">
        <v>2932</v>
      </c>
    </row>
    <row r="172" spans="5:17">
      <c r="E172" s="145"/>
    </row>
    <row r="173" spans="5:17">
      <c r="E173" s="145"/>
    </row>
    <row r="174" spans="5:17">
      <c r="E174" s="145"/>
    </row>
    <row r="175" spans="5:17">
      <c r="E175" s="145"/>
    </row>
    <row r="176" spans="5:17">
      <c r="E176" s="145"/>
    </row>
    <row r="177" spans="5:5">
      <c r="E177" s="145"/>
    </row>
    <row r="178" spans="5:5">
      <c r="E178" s="145"/>
    </row>
    <row r="179" spans="5:5">
      <c r="E179" s="145"/>
    </row>
    <row r="180" spans="5:5">
      <c r="E180" s="145"/>
    </row>
    <row r="181" spans="5:5">
      <c r="E181" s="145"/>
    </row>
  </sheetData>
  <sortState xmlns:xlrd2="http://schemas.microsoft.com/office/spreadsheetml/2017/richdata2" ref="E111:E169">
    <sortCondition ref="E111:E169"/>
  </sortState>
  <mergeCells count="171">
    <mergeCell ref="J69:L69"/>
    <mergeCell ref="J57:L57"/>
    <mergeCell ref="J58:L58"/>
    <mergeCell ref="J60:L60"/>
    <mergeCell ref="J63:L63"/>
    <mergeCell ref="J64:L64"/>
    <mergeCell ref="J65:L65"/>
    <mergeCell ref="J67:L67"/>
    <mergeCell ref="J68:L68"/>
    <mergeCell ref="J44:L44"/>
    <mergeCell ref="J45:L45"/>
    <mergeCell ref="J46:L46"/>
    <mergeCell ref="J47:L47"/>
    <mergeCell ref="J50:O50"/>
    <mergeCell ref="J51:L51"/>
    <mergeCell ref="J52:L52"/>
    <mergeCell ref="J53:L53"/>
    <mergeCell ref="J56:L56"/>
    <mergeCell ref="J48:L48"/>
    <mergeCell ref="J34:L34"/>
    <mergeCell ref="J35:L35"/>
    <mergeCell ref="J36:L36"/>
    <mergeCell ref="K37:L37"/>
    <mergeCell ref="J39:L39"/>
    <mergeCell ref="J40:L40"/>
    <mergeCell ref="J41:L41"/>
    <mergeCell ref="J42:L42"/>
    <mergeCell ref="J43:L43"/>
    <mergeCell ref="J25:L25"/>
    <mergeCell ref="J26:L26"/>
    <mergeCell ref="J27:L27"/>
    <mergeCell ref="J28:L28"/>
    <mergeCell ref="J29:L29"/>
    <mergeCell ref="J30:L30"/>
    <mergeCell ref="J31:L31"/>
    <mergeCell ref="J32:L32"/>
    <mergeCell ref="J33:L33"/>
    <mergeCell ref="K12:M12"/>
    <mergeCell ref="K13:M13"/>
    <mergeCell ref="K14:M14"/>
    <mergeCell ref="K15:M15"/>
    <mergeCell ref="K16:L16"/>
    <mergeCell ref="K17:L17"/>
    <mergeCell ref="K18:L18"/>
    <mergeCell ref="K19:M19"/>
    <mergeCell ref="J24:L24"/>
    <mergeCell ref="J2:M2"/>
    <mergeCell ref="K4:M4"/>
    <mergeCell ref="K5:M5"/>
    <mergeCell ref="K6:M6"/>
    <mergeCell ref="K7:M7"/>
    <mergeCell ref="K8:M8"/>
    <mergeCell ref="K9:M9"/>
    <mergeCell ref="K10:M10"/>
    <mergeCell ref="K11:M11"/>
    <mergeCell ref="B51:D51"/>
    <mergeCell ref="B52:D52"/>
    <mergeCell ref="B40:D40"/>
    <mergeCell ref="B41:D41"/>
    <mergeCell ref="B42:D42"/>
    <mergeCell ref="B43:D43"/>
    <mergeCell ref="B44:D44"/>
    <mergeCell ref="B68:D68"/>
    <mergeCell ref="B69:D69"/>
    <mergeCell ref="B63:D63"/>
    <mergeCell ref="B64:D64"/>
    <mergeCell ref="B65:D65"/>
    <mergeCell ref="B67:D67"/>
    <mergeCell ref="B53:D53"/>
    <mergeCell ref="B56:D56"/>
    <mergeCell ref="B57:D57"/>
    <mergeCell ref="B58:D58"/>
    <mergeCell ref="B60:D60"/>
    <mergeCell ref="B48:D48"/>
    <mergeCell ref="B59:D59"/>
    <mergeCell ref="B55:D55"/>
    <mergeCell ref="B66:D66"/>
    <mergeCell ref="B29:D29"/>
    <mergeCell ref="B30:D30"/>
    <mergeCell ref="B31:D31"/>
    <mergeCell ref="B32:D32"/>
    <mergeCell ref="B45:D45"/>
    <mergeCell ref="B46:D46"/>
    <mergeCell ref="B47:D47"/>
    <mergeCell ref="B33:D33"/>
    <mergeCell ref="B15:E15"/>
    <mergeCell ref="C12:E12"/>
    <mergeCell ref="C4:E4"/>
    <mergeCell ref="C5:E5"/>
    <mergeCell ref="C6:E6"/>
    <mergeCell ref="C7:E7"/>
    <mergeCell ref="C8:E8"/>
    <mergeCell ref="C10:E10"/>
    <mergeCell ref="C9:E9"/>
    <mergeCell ref="C11:E11"/>
    <mergeCell ref="C13:D13"/>
    <mergeCell ref="B76:C76"/>
    <mergeCell ref="D76:E76"/>
    <mergeCell ref="B74:E74"/>
    <mergeCell ref="B75:E75"/>
    <mergeCell ref="B71:C72"/>
    <mergeCell ref="D71:G71"/>
    <mergeCell ref="D72:E72"/>
    <mergeCell ref="B73:C73"/>
    <mergeCell ref="D73:E73"/>
    <mergeCell ref="C14:E14"/>
    <mergeCell ref="C19:E19"/>
    <mergeCell ref="B50:G50"/>
    <mergeCell ref="C37:D37"/>
    <mergeCell ref="B24:D24"/>
    <mergeCell ref="B25:D25"/>
    <mergeCell ref="B26:D26"/>
    <mergeCell ref="B27:D27"/>
    <mergeCell ref="C16:D16"/>
    <mergeCell ref="B34:D34"/>
    <mergeCell ref="B35:D35"/>
    <mergeCell ref="B36:D36"/>
    <mergeCell ref="B39:D39"/>
    <mergeCell ref="B28:D28"/>
    <mergeCell ref="B89:C89"/>
    <mergeCell ref="D89:E89"/>
    <mergeCell ref="B88:C88"/>
    <mergeCell ref="D88:E88"/>
    <mergeCell ref="D87:E87"/>
    <mergeCell ref="B77:C77"/>
    <mergeCell ref="D77:E77"/>
    <mergeCell ref="B78:C78"/>
    <mergeCell ref="D78:E78"/>
    <mergeCell ref="D79:E79"/>
    <mergeCell ref="B80:C80"/>
    <mergeCell ref="D80:E80"/>
    <mergeCell ref="B81:C81"/>
    <mergeCell ref="D81:E81"/>
    <mergeCell ref="B101:C101"/>
    <mergeCell ref="D101:E101"/>
    <mergeCell ref="B97:C97"/>
    <mergeCell ref="D97:E97"/>
    <mergeCell ref="B98:C98"/>
    <mergeCell ref="D98:E98"/>
    <mergeCell ref="B99:C99"/>
    <mergeCell ref="D99:E99"/>
    <mergeCell ref="B93:C93"/>
    <mergeCell ref="D93:E93"/>
    <mergeCell ref="B95:C95"/>
    <mergeCell ref="D95:E95"/>
    <mergeCell ref="B96:C96"/>
    <mergeCell ref="D96:E96"/>
    <mergeCell ref="B2:E2"/>
    <mergeCell ref="B100:C100"/>
    <mergeCell ref="D100:E100"/>
    <mergeCell ref="C17:D17"/>
    <mergeCell ref="C18:D18"/>
    <mergeCell ref="D90:E90"/>
    <mergeCell ref="B91:C91"/>
    <mergeCell ref="D91:E91"/>
    <mergeCell ref="B92:C92"/>
    <mergeCell ref="D92:E92"/>
    <mergeCell ref="B94:C94"/>
    <mergeCell ref="D94:E94"/>
    <mergeCell ref="B86:C86"/>
    <mergeCell ref="D86:E86"/>
    <mergeCell ref="B87:C87"/>
    <mergeCell ref="B82:C82"/>
    <mergeCell ref="D82:E82"/>
    <mergeCell ref="B83:C83"/>
    <mergeCell ref="D83:E83"/>
    <mergeCell ref="B84:C84"/>
    <mergeCell ref="D84:E84"/>
    <mergeCell ref="B85:C85"/>
    <mergeCell ref="D85:E85"/>
    <mergeCell ref="B90:C90"/>
  </mergeCells>
  <phoneticPr fontId="0" type="noConversion"/>
  <dataValidations count="12">
    <dataValidation allowBlank="1" showInputMessage="1" sqref="F36 F57:F60 F69 M69:N69 M64:P64 M52:M55 M57:N60 N44:O46 P44:P47 H65:H66 M65:M68 E54" xr:uid="{00000000-0002-0000-0000-000000000000}"/>
    <dataValidation type="list" allowBlank="1" showInputMessage="1" showErrorMessage="1" sqref="C14" xr:uid="{00000000-0002-0000-0000-000001000000}">
      <formula1>"LHD,RHD"</formula1>
    </dataValidation>
    <dataValidation type="whole" allowBlank="1" showInputMessage="1" showErrorMessage="1" errorTitle="Outside valid range" error="Value only (no 'kg') between 500 and 3500" promptTitle="Input Number Only" prompt="Do not put 'kg' after the number" sqref="C7" xr:uid="{00000000-0002-0000-0000-000002000000}">
      <formula1>500</formula1>
      <formula2>3500</formula2>
    </dataValidation>
    <dataValidation type="list" allowBlank="1" showInputMessage="1" sqref="E25:H28 F47:F48 F44:H46 E35:E36 E57:E60 E64:E69 N47 E30:F33 G30:H32 P65:P66 N48:P48 G48:H48 F64:H64 E52:E53 E55" xr:uid="{00000000-0002-0000-0000-000003000000}">
      <formula1>"Standard,Optional meeting fitment,Optional not meeting fitment,Not available"</formula1>
    </dataValidation>
    <dataValidation type="list" allowBlank="1" showInputMessage="1" showErrorMessage="1" sqref="C19" xr:uid="{00000000-0002-0000-0000-000005000000}">
      <formula1>$F$111:$F$121</formula1>
    </dataValidation>
    <dataValidation type="list" allowBlank="1" showInputMessage="1" showErrorMessage="1" sqref="E16:E18" xr:uid="{00000000-0002-0000-0000-000006000000}">
      <formula1>"standard,optional"</formula1>
    </dataValidation>
    <dataValidation type="list" allowBlank="1" showInputMessage="1" showErrorMessage="1" sqref="C16:D16" xr:uid="{00000000-0002-0000-0000-000007000000}">
      <formula1>"2,3"</formula1>
    </dataValidation>
    <dataValidation type="list" allowBlank="1" showInputMessage="1" showErrorMessage="1" sqref="C18:D18" xr:uid="{00000000-0002-0000-0000-000008000000}">
      <formula1>"0,2,3"</formula1>
    </dataValidation>
    <dataValidation allowBlank="1" showInputMessage="1" promptTitle="Child Restraint" prompt="Select from list or enter new CRS" sqref="G41:G42 O41:O42" xr:uid="{00000000-0002-0000-0000-000009000000}"/>
    <dataValidation type="list" allowBlank="1" showInputMessage="1" showErrorMessage="1" sqref="G3 O3" xr:uid="{00000000-0002-0000-0000-00000A000000}">
      <formula1>"BASE,OPTIONAL"</formula1>
    </dataValidation>
    <dataValidation type="list" showInputMessage="1" showErrorMessage="1" sqref="C17:D17" xr:uid="{9EBCE719-FC69-44C9-B367-BA96BF3FF181}">
      <formula1>"0,2,3"</formula1>
    </dataValidation>
    <dataValidation type="list" allowBlank="1" showInputMessage="1" showErrorMessage="1" sqref="C4:E4" xr:uid="{692299F7-01A6-4B20-8CFD-DF08DB10E457}">
      <formula1>$E$111:$E$171</formula1>
    </dataValidation>
  </dataValidations>
  <pageMargins left="0.7" right="0.7" top="0.75" bottom="0.75" header="0.3" footer="0.3"/>
  <pageSetup paperSize="9" orientation="portrait" horizontalDpi="4294967293" r:id="rId1"/>
  <ignoredErrors>
    <ignoredError sqref="F95:F96 F90:F91 F86:F87 F76 F83:F84" numberStoredAsText="1"/>
    <ignoredError sqref="G33" unlockedFormula="1"/>
    <ignoredError sqref="C17" listDataValidation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AE58"/>
  <sheetViews>
    <sheetView showGridLines="0" showOutlineSymbols="0" zoomScaleNormal="100" workbookViewId="0"/>
  </sheetViews>
  <sheetFormatPr defaultColWidth="9.28515625" defaultRowHeight="12.75"/>
  <cols>
    <col min="1" max="1" width="8.7109375" style="62" customWidth="1"/>
    <col min="2" max="2" width="18" style="62" customWidth="1"/>
    <col min="3" max="3" width="16.7109375" style="62" customWidth="1"/>
    <col min="4" max="4" width="12.7109375" style="62" customWidth="1"/>
    <col min="5" max="5" width="16.7109375" style="62" customWidth="1"/>
    <col min="6" max="6" width="12.7109375" style="62" customWidth="1"/>
    <col min="7" max="7" width="16.7109375" style="62" customWidth="1"/>
    <col min="8" max="8" width="12.7109375" style="62" customWidth="1"/>
    <col min="9" max="9" width="16.7109375" style="62" customWidth="1"/>
    <col min="10" max="10" width="12.7109375" style="62" customWidth="1"/>
    <col min="11" max="11" width="13.7109375" style="63" customWidth="1"/>
    <col min="12" max="12" width="13.7109375" style="62" hidden="1" customWidth="1"/>
    <col min="13" max="13" width="22.140625" style="253" customWidth="1"/>
    <col min="14" max="20" width="9.28515625" style="62"/>
    <col min="21" max="21" width="20" style="62" bestFit="1" customWidth="1"/>
    <col min="22" max="28" width="9.28515625" style="62"/>
    <col min="29" max="29" width="14.5703125" style="62" customWidth="1"/>
    <col min="30" max="16384" width="9.28515625" style="62"/>
  </cols>
  <sheetData>
    <row r="2" spans="2:31" ht="32.25" customHeight="1">
      <c r="C2" s="65" t="str">
        <f>CONCATENATE('General Overview'!C4:E4," ",'General Overview'!C5)</f>
        <v xml:space="preserve"> </v>
      </c>
      <c r="D2" s="64"/>
      <c r="E2" s="64"/>
      <c r="F2" s="820"/>
      <c r="G2" s="1281"/>
      <c r="H2" s="1282"/>
      <c r="I2" s="1282"/>
      <c r="J2" s="1282"/>
      <c r="K2" s="79"/>
      <c r="M2" s="331"/>
      <c r="N2" s="814"/>
      <c r="O2" s="78"/>
      <c r="P2" s="78"/>
      <c r="Q2" s="78"/>
      <c r="R2" s="78"/>
      <c r="S2" s="815"/>
      <c r="T2" s="78"/>
      <c r="U2" s="816"/>
      <c r="V2" s="78"/>
      <c r="W2" s="78"/>
      <c r="X2" s="78"/>
      <c r="Y2" s="78"/>
      <c r="Z2" s="78"/>
      <c r="AA2" s="78"/>
      <c r="AB2" s="78"/>
      <c r="AC2" s="78"/>
      <c r="AD2" s="78"/>
      <c r="AE2" s="78"/>
    </row>
    <row r="3" spans="2:31" ht="20.25" customHeight="1">
      <c r="C3" s="66" t="str">
        <f>CONCATENATE('General Overview'!C8," ",'General Overview'!C9,", ",'General Overview'!C14)</f>
        <v xml:space="preserve"> , </v>
      </c>
      <c r="D3" s="64"/>
      <c r="E3" s="64"/>
      <c r="F3" s="64"/>
      <c r="G3" s="1281"/>
      <c r="H3" s="1282"/>
      <c r="I3" s="1282"/>
      <c r="J3" s="1282"/>
      <c r="K3" s="1325" t="str">
        <f>IF(MPDB_Capping,"MPDB Capped",IF(SIDE_MDB_Capping,"Side MDB Capped",IF(POLE_Capping,"Side Pole Capped",IF(VRU_Capping,"VRU Capped",""))))</f>
        <v>MPDB Capped</v>
      </c>
      <c r="L3" s="1325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</row>
    <row r="4" spans="2:31" ht="15" customHeight="1">
      <c r="C4" s="66"/>
      <c r="D4" s="64"/>
      <c r="E4" s="64"/>
      <c r="F4" s="64"/>
      <c r="G4" s="64"/>
      <c r="H4" s="64"/>
      <c r="I4" s="64"/>
      <c r="J4" s="64"/>
      <c r="K4" s="1088"/>
      <c r="M4" s="331"/>
      <c r="N4" s="815"/>
      <c r="O4" s="78"/>
      <c r="P4" s="78"/>
      <c r="Q4" s="78"/>
      <c r="R4" s="78"/>
      <c r="S4" s="78"/>
      <c r="T4" s="78"/>
      <c r="U4" s="815"/>
      <c r="V4" s="78"/>
      <c r="W4" s="78"/>
      <c r="X4" s="78"/>
      <c r="Y4" s="78"/>
      <c r="Z4" s="78"/>
      <c r="AA4" s="78"/>
      <c r="AB4" s="78"/>
      <c r="AC4" s="78"/>
      <c r="AD4" s="78"/>
      <c r="AE4" s="78"/>
    </row>
    <row r="5" spans="2:31" ht="90" customHeight="1">
      <c r="B5" s="78"/>
      <c r="C5" s="1308" t="s">
        <v>699</v>
      </c>
      <c r="D5" s="1309"/>
      <c r="E5" s="1290" t="s">
        <v>17</v>
      </c>
      <c r="F5" s="1309"/>
      <c r="G5" s="1312" t="s">
        <v>698</v>
      </c>
      <c r="H5" s="1313"/>
      <c r="I5" s="1290" t="s">
        <v>18</v>
      </c>
      <c r="J5" s="1291"/>
      <c r="K5" s="79"/>
      <c r="M5" s="331"/>
      <c r="N5" s="811"/>
      <c r="O5" s="78"/>
      <c r="P5" s="811"/>
      <c r="Q5" s="78"/>
      <c r="R5" s="78"/>
      <c r="S5" s="78"/>
      <c r="T5" s="78"/>
      <c r="U5" s="817"/>
      <c r="V5" s="812"/>
      <c r="W5" s="812"/>
      <c r="X5" s="78"/>
      <c r="Y5" s="78"/>
      <c r="Z5" s="78"/>
      <c r="AA5" s="78"/>
      <c r="AB5" s="78"/>
      <c r="AC5" s="78"/>
      <c r="AD5" s="78"/>
      <c r="AE5" s="78"/>
    </row>
    <row r="6" spans="2:31" ht="22.5" customHeight="1" thickBot="1">
      <c r="C6" s="1298">
        <f>ROUND(C14,1)</f>
        <v>0</v>
      </c>
      <c r="D6" s="1298"/>
      <c r="E6" s="1298">
        <f>ROUND(E14,1)</f>
        <v>0</v>
      </c>
      <c r="F6" s="1298"/>
      <c r="G6" s="1298">
        <f ca="1">ROUND(G14,1)</f>
        <v>0</v>
      </c>
      <c r="H6" s="1298"/>
      <c r="I6" s="1298">
        <f ca="1">ROUND(I14,1)</f>
        <v>0</v>
      </c>
      <c r="J6" s="1298"/>
      <c r="N6" s="811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</row>
    <row r="7" spans="2:31" ht="22.5" customHeight="1">
      <c r="B7" s="74"/>
      <c r="C7" s="212" t="s">
        <v>715</v>
      </c>
      <c r="D7" s="88">
        <f>'AOP Frontal MPDB'!D129</f>
        <v>0</v>
      </c>
      <c r="E7" s="75" t="s">
        <v>8</v>
      </c>
      <c r="F7" s="88">
        <f>IF(OR('General Overview'!C17="",'General Overview'!C18="",'General Overview'!C17&gt;0,'General Overview'!C18&gt;0),'COP Dynamic'!D59,"")</f>
        <v>0</v>
      </c>
      <c r="G7" s="75" t="s">
        <v>11</v>
      </c>
      <c r="H7" s="110">
        <f>'VRU Headform'!T75</f>
        <v>0</v>
      </c>
      <c r="I7" s="75" t="s">
        <v>848</v>
      </c>
      <c r="J7" s="90">
        <f ca="1">'SA OSM'!D51</f>
        <v>0</v>
      </c>
      <c r="K7" s="821"/>
      <c r="L7" s="822"/>
      <c r="M7" s="78"/>
      <c r="N7" s="811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</row>
    <row r="8" spans="2:31" ht="22.5" customHeight="1">
      <c r="B8" s="76"/>
      <c r="C8" s="213" t="s">
        <v>364</v>
      </c>
      <c r="D8" s="89">
        <f>'AOP Frontal FW'!D63</f>
        <v>0</v>
      </c>
      <c r="E8" s="71" t="s">
        <v>9</v>
      </c>
      <c r="F8" s="89">
        <f>'COP Vehicle Based'!D45</f>
        <v>0</v>
      </c>
      <c r="G8" s="71" t="s">
        <v>393</v>
      </c>
      <c r="H8" s="1005">
        <f ca="1">'VRU Upper Legform'!G35</f>
        <v>0</v>
      </c>
      <c r="I8" s="71" t="s">
        <v>13</v>
      </c>
      <c r="J8" s="91">
        <f>IF('General Overview'!E68="Standard",'SA SAS'!D72,0)</f>
        <v>0</v>
      </c>
      <c r="K8" s="823"/>
      <c r="L8" s="78"/>
      <c r="M8" s="78"/>
      <c r="N8" s="811"/>
      <c r="O8" s="78"/>
      <c r="P8" s="811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</row>
    <row r="9" spans="2:31" ht="22.5" customHeight="1">
      <c r="B9" s="76"/>
      <c r="C9" s="213" t="s">
        <v>5</v>
      </c>
      <c r="D9" s="89">
        <f>'AOP Side MDB'!D53</f>
        <v>0</v>
      </c>
      <c r="E9" s="71" t="s">
        <v>10</v>
      </c>
      <c r="F9" s="89">
        <f>'COP CRS Installation'!H25</f>
        <v>0</v>
      </c>
      <c r="G9" s="71" t="s">
        <v>2466</v>
      </c>
      <c r="H9" s="89">
        <f ca="1">'VRU Legform'!E32</f>
        <v>0</v>
      </c>
      <c r="I9" s="71" t="s">
        <v>714</v>
      </c>
      <c r="J9" s="91">
        <f>IF('General Overview'!E67="Standard",'SA AEB Car-to-Car'!D135,0)</f>
        <v>0</v>
      </c>
      <c r="K9" s="823"/>
      <c r="L9" s="78"/>
      <c r="M9" s="78"/>
      <c r="N9" s="78"/>
      <c r="O9" s="78"/>
      <c r="P9" s="811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</row>
    <row r="10" spans="2:31" ht="22.5" customHeight="1">
      <c r="B10" s="76"/>
      <c r="C10" s="213" t="s">
        <v>6</v>
      </c>
      <c r="D10" s="180">
        <f>'AOP Side Pole'!D72</f>
        <v>0</v>
      </c>
      <c r="E10" s="211"/>
      <c r="F10" s="210"/>
      <c r="G10" s="71" t="s">
        <v>2503</v>
      </c>
      <c r="H10" s="89">
        <f ca="1">'VRU Legform'!E36</f>
        <v>0</v>
      </c>
      <c r="I10" s="71" t="s">
        <v>603</v>
      </c>
      <c r="J10" s="91">
        <f>IF('General Overview'!E69="Standard",'SA LSS'!D78,0)</f>
        <v>0</v>
      </c>
      <c r="K10" s="823"/>
      <c r="L10" s="78"/>
      <c r="M10" s="78"/>
      <c r="N10" s="78"/>
      <c r="O10" s="78"/>
      <c r="P10" s="811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</row>
    <row r="11" spans="2:31" ht="22.5" customHeight="1">
      <c r="B11" s="76"/>
      <c r="C11" s="213" t="s">
        <v>716</v>
      </c>
      <c r="D11" s="587">
        <f>IF(SUM(D9:D10)&lt;10,0,'AOP Farside'!D69)</f>
        <v>0</v>
      </c>
      <c r="E11" s="71"/>
      <c r="F11" s="89"/>
      <c r="G11" s="71" t="s">
        <v>549</v>
      </c>
      <c r="H11" s="89">
        <f ca="1">IF(AND(SUM(H7:H10)&gt;=18,'General Overview'!E57="Standard"),'VRU AEB Pedestrian'!D94,0)</f>
        <v>0</v>
      </c>
      <c r="I11" s="71"/>
      <c r="J11" s="91"/>
      <c r="K11" s="823"/>
      <c r="L11" s="78"/>
      <c r="M11" s="78"/>
      <c r="N11" s="78"/>
      <c r="O11" s="78"/>
      <c r="P11" s="811"/>
      <c r="Q11" s="78"/>
      <c r="R11" s="811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</row>
    <row r="12" spans="2:31" ht="22.5" customHeight="1">
      <c r="B12" s="76"/>
      <c r="C12" s="444" t="s">
        <v>7</v>
      </c>
      <c r="D12" s="445">
        <f>'AOP Whiplash'!D76</f>
        <v>0</v>
      </c>
      <c r="E12" s="446"/>
      <c r="F12" s="445"/>
      <c r="G12" s="71" t="s">
        <v>636</v>
      </c>
      <c r="H12" s="89">
        <f ca="1">IF(AND(SUM(H7:H10)&gt;=18,'General Overview'!E58="Standard"),'VRU AEB Bicyclist'!D76,0)</f>
        <v>0</v>
      </c>
      <c r="I12" s="446"/>
      <c r="J12" s="447"/>
      <c r="K12" s="823"/>
      <c r="L12" s="78"/>
      <c r="M12" s="78"/>
      <c r="N12" s="78"/>
      <c r="O12" s="78"/>
      <c r="P12" s="78"/>
      <c r="Q12" s="78"/>
      <c r="R12" s="811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</row>
    <row r="13" spans="2:31" ht="22.5" customHeight="1" thickBot="1">
      <c r="B13" s="77"/>
      <c r="C13" s="214" t="s">
        <v>717</v>
      </c>
      <c r="D13" s="111">
        <f>'AOP Rescue'!D74</f>
        <v>-1</v>
      </c>
      <c r="E13" s="72"/>
      <c r="F13" s="73"/>
      <c r="G13" s="826" t="s">
        <v>2690</v>
      </c>
      <c r="H13" s="89">
        <f ca="1">IF(AND(SUM(H7:H10)&gt;=18,'General Overview'!E59="Standard"),'VRU AEB Motorcyclist'!D71,0)</f>
        <v>0</v>
      </c>
      <c r="I13" s="215"/>
      <c r="J13" s="216"/>
      <c r="K13" s="824"/>
      <c r="L13" s="78"/>
      <c r="M13" s="78"/>
      <c r="N13" s="815"/>
      <c r="O13" s="78"/>
      <c r="P13" s="78"/>
      <c r="Q13" s="78"/>
      <c r="R13" s="78"/>
      <c r="S13" s="815"/>
      <c r="T13" s="78"/>
      <c r="U13" s="78"/>
      <c r="V13" s="78"/>
      <c r="W13" s="78"/>
      <c r="X13" s="815"/>
      <c r="Y13" s="78"/>
      <c r="Z13" s="78"/>
      <c r="AA13" s="78"/>
      <c r="AB13" s="78"/>
      <c r="AC13" s="815"/>
      <c r="AD13" s="78"/>
      <c r="AE13" s="78"/>
    </row>
    <row r="14" spans="2:31" ht="22.5" customHeight="1" thickBot="1">
      <c r="B14" s="372" t="s">
        <v>16</v>
      </c>
      <c r="C14" s="1315">
        <f>MAX(0,SUM(D7:D13))</f>
        <v>0</v>
      </c>
      <c r="D14" s="1302"/>
      <c r="E14" s="1301">
        <f>SUM(F7:F13)</f>
        <v>0</v>
      </c>
      <c r="F14" s="1302"/>
      <c r="G14" s="1301">
        <f ca="1">SUM(H7:H13)</f>
        <v>0</v>
      </c>
      <c r="H14" s="1302"/>
      <c r="I14" s="1301">
        <f ca="1">SUM(J7:J11)</f>
        <v>0</v>
      </c>
      <c r="J14" s="1305"/>
      <c r="K14" s="62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811"/>
      <c r="AD14" s="78"/>
      <c r="AE14" s="78"/>
    </row>
    <row r="15" spans="2:31" ht="22.5" customHeight="1" thickBot="1">
      <c r="B15" s="82" t="s">
        <v>4</v>
      </c>
      <c r="C15" s="1314">
        <v>40</v>
      </c>
      <c r="D15" s="1311"/>
      <c r="E15" s="1310">
        <v>49</v>
      </c>
      <c r="F15" s="1311"/>
      <c r="G15" s="1310">
        <v>63</v>
      </c>
      <c r="H15" s="1311"/>
      <c r="I15" s="1306">
        <v>18</v>
      </c>
      <c r="J15" s="1307"/>
      <c r="K15" s="70" t="s">
        <v>62</v>
      </c>
      <c r="N15" s="811"/>
      <c r="O15" s="78"/>
      <c r="P15" s="78"/>
      <c r="Q15" s="78"/>
      <c r="R15" s="78"/>
      <c r="S15" s="811"/>
      <c r="T15" s="78"/>
      <c r="U15" s="78"/>
      <c r="V15" s="78"/>
      <c r="W15" s="78"/>
      <c r="X15" s="811"/>
      <c r="Y15" s="78"/>
      <c r="Z15" s="78"/>
      <c r="AA15" s="78"/>
      <c r="AB15" s="78"/>
      <c r="AC15" s="811"/>
      <c r="AD15" s="78"/>
      <c r="AE15" s="78"/>
    </row>
    <row r="16" spans="2:31" ht="22.5" customHeight="1">
      <c r="B16" s="83" t="s">
        <v>14</v>
      </c>
      <c r="C16" s="1303">
        <f>INT(C14/C15*100)</f>
        <v>0</v>
      </c>
      <c r="D16" s="1304"/>
      <c r="E16" s="1303">
        <f>INT(E14/E15*100)</f>
        <v>0</v>
      </c>
      <c r="F16" s="1304"/>
      <c r="G16" s="1303">
        <f ca="1">INT(G14/G15*100)</f>
        <v>0</v>
      </c>
      <c r="H16" s="1304"/>
      <c r="I16" s="1303">
        <f ca="1">INT(I14/I15*100)</f>
        <v>0</v>
      </c>
      <c r="J16" s="1304"/>
      <c r="K16" s="1288">
        <f ca="1">INT(ROUND((C14/C15)*100,2)*C17+ROUND((E14/E15)*100,2)*E17+ROUND((G14/G15)*100,2)*G17+ROUND((I14/I15)*100,2)*I17)</f>
        <v>0</v>
      </c>
      <c r="N16" s="815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</row>
    <row r="17" spans="2:31" ht="22.5" customHeight="1" thickBot="1">
      <c r="B17" s="84" t="s">
        <v>19</v>
      </c>
      <c r="C17" s="1323">
        <v>0.4</v>
      </c>
      <c r="D17" s="1324"/>
      <c r="E17" s="1299">
        <v>0.2</v>
      </c>
      <c r="F17" s="1324"/>
      <c r="G17" s="1299">
        <v>0.2</v>
      </c>
      <c r="H17" s="1324"/>
      <c r="I17" s="1299">
        <v>0.2</v>
      </c>
      <c r="J17" s="1300"/>
      <c r="K17" s="1289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815"/>
      <c r="AD17" s="78"/>
      <c r="AE17" s="78"/>
    </row>
    <row r="18" spans="2:31" ht="22.5" customHeight="1">
      <c r="B18" s="67"/>
      <c r="C18" s="68"/>
      <c r="D18" s="81">
        <f>C16/100</f>
        <v>0</v>
      </c>
      <c r="E18" s="68"/>
      <c r="F18" s="81">
        <f>E16/100</f>
        <v>0</v>
      </c>
      <c r="G18" s="68"/>
      <c r="H18" s="81">
        <f ca="1">G16/100</f>
        <v>0</v>
      </c>
      <c r="I18" s="68"/>
      <c r="J18" s="81">
        <f ca="1">I16/100</f>
        <v>0</v>
      </c>
      <c r="K18" s="69"/>
      <c r="N18" s="78"/>
      <c r="O18" s="78"/>
      <c r="P18" s="78"/>
      <c r="Q18" s="78"/>
      <c r="R18" s="78"/>
      <c r="S18" s="815"/>
      <c r="T18" s="78"/>
      <c r="U18" s="78"/>
      <c r="V18" s="78"/>
      <c r="W18" s="78"/>
      <c r="X18" s="815"/>
      <c r="Y18" s="78"/>
      <c r="Z18" s="78"/>
      <c r="AA18" s="78"/>
      <c r="AB18" s="78"/>
      <c r="AC18" s="811"/>
      <c r="AD18" s="78"/>
      <c r="AE18" s="78"/>
    </row>
    <row r="19" spans="2:31" ht="22.5" customHeight="1" thickBot="1">
      <c r="B19" s="373" t="s">
        <v>2651</v>
      </c>
      <c r="C19" s="68"/>
      <c r="D19" s="68"/>
      <c r="E19" s="68"/>
      <c r="F19" s="68"/>
      <c r="G19" s="68"/>
      <c r="H19" s="68"/>
      <c r="I19" s="68"/>
      <c r="J19" s="68"/>
      <c r="N19" s="815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811"/>
      <c r="AD19" s="78"/>
      <c r="AE19" s="78"/>
    </row>
    <row r="20" spans="2:31" s="80" customFormat="1" ht="22.5" customHeight="1">
      <c r="B20" s="369"/>
      <c r="C20" s="1292" t="str">
        <f>IF($C$16&gt;=80,80,CONCATENATE("80 (",ROUND(80/100*C$15-C$14,3),"*)"))</f>
        <v>80 (32*)</v>
      </c>
      <c r="D20" s="1292"/>
      <c r="E20" s="1292" t="str">
        <f>IF($E$16&gt;=80,80,CONCATENATE("80 (",ROUND(80/100*E$15-E$14,3),"*)"))</f>
        <v>80 (39.2*)</v>
      </c>
      <c r="F20" s="1292"/>
      <c r="G20" s="1292" t="str">
        <f ca="1">IF($G$16&gt;=70,70,CONCATENATE("70 (",ROUND(70/100*G$15-G$14,3),"*)"))</f>
        <v>70 (44.1*)</v>
      </c>
      <c r="H20" s="1292"/>
      <c r="I20" s="1292" t="str">
        <f ca="1">IF($I$16&gt;=70,70,CONCATENATE("70 (",ROUND(70/100*I$15-I$14,3),"*)"))</f>
        <v>70 (12.6*)</v>
      </c>
      <c r="J20" s="1293"/>
      <c r="L20" s="825">
        <f ca="1">IF(AND($C$16&gt;=$C20,$E$16&gt;=$E20,$G$16&gt;=$G20,$I$16&gt;=$I20,NOT(OR(MPDB_Capping,FWRB_Capping,SIDE_MDB_Capping,POLE_Capping,VRU_Capping))),1,0)</f>
        <v>0</v>
      </c>
      <c r="M20" s="813"/>
      <c r="N20" s="813"/>
      <c r="O20" s="813"/>
      <c r="P20" s="813"/>
      <c r="Q20" s="813"/>
      <c r="R20" s="813"/>
      <c r="S20" s="811"/>
      <c r="T20" s="78"/>
      <c r="U20" s="813"/>
      <c r="V20" s="813"/>
      <c r="W20" s="813"/>
      <c r="X20" s="78"/>
      <c r="Y20" s="78"/>
      <c r="Z20" s="78"/>
      <c r="AA20" s="813"/>
      <c r="AB20" s="813"/>
      <c r="AC20" s="813"/>
      <c r="AD20" s="813"/>
      <c r="AE20" s="813"/>
    </row>
    <row r="21" spans="2:31" s="80" customFormat="1" ht="22.5" customHeight="1">
      <c r="B21" s="370"/>
      <c r="C21" s="1294" t="str">
        <f>IF($C$16&gt;=70,70,CONCATENATE("70 (",ROUND(70/100*C$15-C$14,3),"*)"))</f>
        <v>70 (28*)</v>
      </c>
      <c r="D21" s="1294"/>
      <c r="E21" s="1294" t="str">
        <f>IF($E$16&gt;=70,70,CONCATENATE("70 (",ROUND(70/100*E$15-E$14,3),"*)"))</f>
        <v>70 (34.3*)</v>
      </c>
      <c r="F21" s="1294"/>
      <c r="G21" s="1294" t="str">
        <f ca="1">IF($G$16&gt;=60,60,CONCATENATE("60 (",ROUND(60/100*G$15-G$14,3),"*)"))</f>
        <v>60 (37.8*)</v>
      </c>
      <c r="H21" s="1294"/>
      <c r="I21" s="1294" t="str">
        <f ca="1">IF($I$16&gt;=60,60,CONCATENATE("60 (",ROUND(60/100*I$15-I$14,3),"*)"))</f>
        <v>60 (10.8*)</v>
      </c>
      <c r="J21" s="1295"/>
      <c r="L21" s="825">
        <f ca="1">IF(AND($C$16&gt;=$C21,$E$16&gt;=$E21,$G$16&gt;=$G21,$I$16&gt;=$I21),1,0)</f>
        <v>0</v>
      </c>
      <c r="M21" s="332"/>
      <c r="N21" s="813"/>
      <c r="O21" s="813"/>
      <c r="P21" s="813"/>
      <c r="Q21" s="813"/>
      <c r="R21" s="813"/>
      <c r="S21" s="813"/>
      <c r="T21" s="813"/>
      <c r="U21" s="813"/>
      <c r="V21" s="813"/>
      <c r="W21" s="813"/>
      <c r="X21" s="815"/>
      <c r="Y21" s="78"/>
      <c r="Z21" s="78"/>
      <c r="AA21" s="813"/>
      <c r="AB21" s="813"/>
      <c r="AC21" s="818"/>
      <c r="AD21" s="813"/>
      <c r="AE21" s="813"/>
    </row>
    <row r="22" spans="2:31" s="80" customFormat="1" ht="22.5" customHeight="1">
      <c r="B22" s="370"/>
      <c r="C22" s="1294" t="str">
        <f>IF($C$16&gt;=60,60,CONCATENATE("60 (",ROUND(60/100*C$15-C$14,3),"*)"))</f>
        <v>60 (24*)</v>
      </c>
      <c r="D22" s="1294"/>
      <c r="E22" s="1294" t="str">
        <f>IF($E$16&gt;=60,60,CONCATENATE("60 (",ROUND(60/100*E$15-E$14,3),"*)"))</f>
        <v>60 (29.4*)</v>
      </c>
      <c r="F22" s="1294"/>
      <c r="G22" s="1294" t="str">
        <f ca="1">IF($G$16&gt;=50,50,CONCATENATE("50 (",ROUND(50/100*G$15-G$14,3),"*)"))</f>
        <v>50 (31.5*)</v>
      </c>
      <c r="H22" s="1294"/>
      <c r="I22" s="1294" t="str">
        <f ca="1">IF($I$16&gt;=50,50,CONCATENATE("50 (",ROUND(50/100*I$15-I$14,3),"*)"))</f>
        <v>50 (9*)</v>
      </c>
      <c r="J22" s="1295"/>
      <c r="L22" s="825">
        <f ca="1">IF(AND($C$16&gt;=$C22,$E$16&gt;=$E22,$G$16&gt;=$G22,$I$16&gt;=$I22),1,0)</f>
        <v>0</v>
      </c>
      <c r="M22" s="332"/>
      <c r="N22" s="818"/>
      <c r="O22" s="813"/>
      <c r="P22" s="813"/>
      <c r="Q22" s="813"/>
      <c r="R22" s="813"/>
      <c r="S22" s="815"/>
      <c r="T22" s="78"/>
      <c r="U22" s="813"/>
      <c r="V22" s="813"/>
      <c r="W22" s="813"/>
      <c r="X22" s="813"/>
      <c r="Y22" s="813"/>
      <c r="Z22" s="813"/>
      <c r="AA22" s="813"/>
      <c r="AB22" s="813"/>
      <c r="AC22" s="813"/>
      <c r="AD22" s="813"/>
      <c r="AE22" s="813"/>
    </row>
    <row r="23" spans="2:31" s="80" customFormat="1" ht="22.5" customHeight="1">
      <c r="B23" s="370"/>
      <c r="C23" s="1294" t="str">
        <f>IF($C$16&gt;=50,50,CONCATENATE("50 (",ROUND(50/100*C$15-C$14,3),"*)"))</f>
        <v>50 (20*)</v>
      </c>
      <c r="D23" s="1294"/>
      <c r="E23" s="1294" t="str">
        <f>IF($E$16&gt;=50,50,CONCATENATE("50 (",ROUND(50/100*E$15-E$14,3),"*)"))</f>
        <v>50 (24.5*)</v>
      </c>
      <c r="F23" s="1294"/>
      <c r="G23" s="1294" t="str">
        <f ca="1">IF($G$16&gt;=40,40,CONCATENATE("40 (",ROUND(40/100*G$15-G$14,3),"*)"))</f>
        <v>40 (25.2*)</v>
      </c>
      <c r="H23" s="1294"/>
      <c r="I23" s="1294" t="str">
        <f ca="1">IF($I$16&gt;=40,40,CONCATENATE("40 (",ROUND(40/100*I$15-I$14,3),"*)"))</f>
        <v>40 (7.2*)</v>
      </c>
      <c r="J23" s="1295"/>
      <c r="L23" s="825">
        <f ca="1">IF(AND($C$16&gt;=$C23,$E$16&gt;=$E23,$G$16&gt;=$G23,$I$16&gt;=$I23),1,0)</f>
        <v>0</v>
      </c>
      <c r="M23" s="332"/>
      <c r="N23" s="813"/>
      <c r="O23" s="813"/>
      <c r="P23" s="813"/>
      <c r="Q23" s="813"/>
      <c r="R23" s="813"/>
      <c r="S23" s="813"/>
      <c r="T23" s="813"/>
      <c r="U23" s="813"/>
      <c r="V23" s="813"/>
      <c r="W23" s="813"/>
      <c r="X23" s="813"/>
      <c r="Y23" s="813"/>
      <c r="Z23" s="813"/>
      <c r="AA23" s="813"/>
      <c r="AB23" s="813"/>
      <c r="AC23" s="813"/>
      <c r="AD23" s="813"/>
      <c r="AE23" s="813"/>
    </row>
    <row r="24" spans="2:31" s="80" customFormat="1" ht="22.5" customHeight="1" thickBot="1">
      <c r="B24" s="371"/>
      <c r="C24" s="1296" t="str">
        <f>IF($C$16&gt;=40,40,CONCATENATE("40 (",ROUND(40/100*C15-C$14,3),"*)"))</f>
        <v>40 (16*)</v>
      </c>
      <c r="D24" s="1296"/>
      <c r="E24" s="1296" t="str">
        <f>IF($E$16&gt;=40,40,CONCATENATE("40 (",ROUND(40/100*E$15-E$14,3),"*)"))</f>
        <v>40 (19.6*)</v>
      </c>
      <c r="F24" s="1296"/>
      <c r="G24" s="1296" t="str">
        <f ca="1">IF($G$16&gt;=30,30,CONCATENATE("30 (",ROUND(30/100*G$15-G$14,3),"*)"))</f>
        <v>30 (18.9*)</v>
      </c>
      <c r="H24" s="1296"/>
      <c r="I24" s="1296" t="str">
        <f ca="1">IF($I$16&gt;=30,30,CONCATENATE("30 (",ROUND(30/100*I$15-I$14,3),"*)"))</f>
        <v>30 (5.4*)</v>
      </c>
      <c r="J24" s="1297"/>
      <c r="L24" s="825">
        <f ca="1">IF(AND($C$16&gt;=$C24,$E$16&gt;=$E24,$G$16&gt;=$G24,$I$16&gt;=$I24),1,0)</f>
        <v>0</v>
      </c>
      <c r="M24" s="332"/>
      <c r="N24" s="813"/>
      <c r="O24" s="813"/>
      <c r="P24" s="813"/>
      <c r="Q24" s="813"/>
      <c r="R24" s="813"/>
      <c r="S24" s="813"/>
      <c r="T24" s="813"/>
      <c r="U24" s="813"/>
      <c r="V24" s="813"/>
      <c r="W24" s="813"/>
      <c r="X24" s="813"/>
      <c r="Y24" s="813"/>
      <c r="Z24" s="813"/>
      <c r="AA24" s="813"/>
      <c r="AB24" s="813"/>
      <c r="AC24" s="813"/>
      <c r="AD24" s="813"/>
      <c r="AE24" s="813"/>
    </row>
    <row r="25" spans="2:31" ht="22.5" customHeight="1" thickBot="1">
      <c r="B25" s="336"/>
      <c r="C25" s="527" t="s">
        <v>860</v>
      </c>
      <c r="D25" s="336"/>
      <c r="E25" s="336"/>
      <c r="F25" s="336"/>
      <c r="G25" s="336"/>
      <c r="H25" s="336"/>
      <c r="I25" s="336"/>
      <c r="J25" s="336"/>
      <c r="K25" s="94"/>
      <c r="L25" s="78">
        <f ca="1">SUM(L20:L24)</f>
        <v>0</v>
      </c>
      <c r="N25" s="815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818"/>
      <c r="AD25" s="813"/>
      <c r="AE25" s="78"/>
    </row>
    <row r="26" spans="2:31" ht="20.100000000000001" customHeight="1" thickBot="1">
      <c r="B26" s="1320" t="s">
        <v>15</v>
      </c>
      <c r="C26" s="1321"/>
      <c r="D26" s="1321"/>
      <c r="E26" s="1321"/>
      <c r="F26" s="1321"/>
      <c r="G26" s="1321"/>
      <c r="H26" s="1321"/>
      <c r="I26" s="1321"/>
      <c r="J26" s="1321"/>
      <c r="K26" s="1322"/>
      <c r="N26" s="811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  <c r="AC26" s="813"/>
      <c r="AD26" s="813"/>
      <c r="AE26" s="78"/>
    </row>
    <row r="27" spans="2:31" ht="22.5" customHeight="1">
      <c r="B27" s="1284"/>
      <c r="C27" s="1284"/>
      <c r="D27" s="1284"/>
      <c r="E27" s="1284"/>
      <c r="F27" s="1284"/>
      <c r="G27" s="1317"/>
      <c r="H27" s="1283"/>
      <c r="I27" s="1284"/>
      <c r="J27" s="1287"/>
      <c r="K27" s="1287"/>
      <c r="M27" s="333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818"/>
      <c r="Y27" s="813"/>
      <c r="Z27" s="813"/>
      <c r="AA27" s="78"/>
      <c r="AB27" s="78"/>
      <c r="AC27" s="813"/>
      <c r="AD27" s="813"/>
      <c r="AE27" s="78"/>
    </row>
    <row r="28" spans="2:31" ht="22.5" customHeight="1">
      <c r="B28" s="1286"/>
      <c r="C28" s="1286"/>
      <c r="D28" s="1286"/>
      <c r="E28" s="1286"/>
      <c r="F28" s="1286"/>
      <c r="G28" s="1316"/>
      <c r="H28" s="1285"/>
      <c r="I28" s="1286"/>
      <c r="J28" s="1287"/>
      <c r="K28" s="1287"/>
      <c r="M28" s="333"/>
      <c r="N28" s="815"/>
      <c r="O28" s="78"/>
      <c r="P28" s="78"/>
      <c r="Q28" s="78"/>
      <c r="R28" s="78"/>
      <c r="S28" s="78"/>
      <c r="T28" s="78"/>
      <c r="U28" s="78"/>
      <c r="V28" s="78"/>
      <c r="W28" s="78"/>
      <c r="X28" s="813"/>
      <c r="Y28" s="813"/>
      <c r="Z28" s="813"/>
      <c r="AA28" s="78"/>
      <c r="AB28" s="78"/>
      <c r="AC28" s="78"/>
      <c r="AD28" s="78"/>
      <c r="AE28" s="78"/>
    </row>
    <row r="29" spans="2:31" ht="22.5" customHeight="1">
      <c r="B29" s="1286"/>
      <c r="C29" s="1286"/>
      <c r="D29" s="1286"/>
      <c r="E29" s="1286"/>
      <c r="F29" s="1286"/>
      <c r="G29" s="1316"/>
      <c r="H29" s="1285"/>
      <c r="I29" s="1286"/>
      <c r="J29" s="1287"/>
      <c r="K29" s="1287"/>
      <c r="M29" s="333"/>
      <c r="N29" s="811"/>
      <c r="O29" s="78"/>
      <c r="P29" s="78"/>
      <c r="Q29" s="78"/>
      <c r="R29" s="78"/>
      <c r="S29" s="78"/>
      <c r="T29" s="78"/>
      <c r="U29" s="78"/>
      <c r="V29" s="78"/>
      <c r="W29" s="78"/>
      <c r="X29" s="813"/>
      <c r="Y29" s="813"/>
      <c r="Z29" s="813"/>
      <c r="AA29" s="78"/>
      <c r="AB29" s="78"/>
      <c r="AC29" s="78"/>
      <c r="AD29" s="78"/>
      <c r="AE29" s="78"/>
    </row>
    <row r="30" spans="2:31" ht="22.5" customHeight="1">
      <c r="B30" s="1286"/>
      <c r="C30" s="1286"/>
      <c r="D30" s="1286"/>
      <c r="E30" s="1286"/>
      <c r="F30" s="1286"/>
      <c r="G30" s="1316"/>
      <c r="H30" s="1285"/>
      <c r="I30" s="1286"/>
      <c r="J30" s="1287"/>
      <c r="K30" s="1287"/>
      <c r="M30" s="333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818"/>
      <c r="AD30" s="78"/>
      <c r="AE30" s="78"/>
    </row>
    <row r="31" spans="2:31" ht="22.5" customHeight="1">
      <c r="B31" s="1286"/>
      <c r="C31" s="1286"/>
      <c r="D31" s="1286"/>
      <c r="E31" s="1286"/>
      <c r="F31" s="1286"/>
      <c r="G31" s="1316"/>
      <c r="H31" s="1285"/>
      <c r="I31" s="1286"/>
      <c r="J31" s="1287"/>
      <c r="K31" s="1287"/>
      <c r="M31" s="333"/>
      <c r="N31" s="819"/>
      <c r="O31" s="78"/>
      <c r="P31" s="78"/>
      <c r="Q31" s="78"/>
      <c r="R31" s="78"/>
      <c r="S31" s="78"/>
      <c r="T31" s="78"/>
      <c r="U31" s="78"/>
      <c r="V31" s="78"/>
      <c r="W31" s="78"/>
      <c r="X31" s="818"/>
      <c r="Y31" s="78"/>
      <c r="Z31" s="78"/>
      <c r="AA31" s="78"/>
      <c r="AB31" s="78"/>
      <c r="AC31" s="813"/>
      <c r="AD31" s="813"/>
      <c r="AE31" s="78"/>
    </row>
    <row r="32" spans="2:31" ht="22.5" customHeight="1">
      <c r="B32" s="1286"/>
      <c r="C32" s="1286"/>
      <c r="D32" s="1286"/>
      <c r="E32" s="1286"/>
      <c r="F32" s="1286"/>
      <c r="G32" s="1316"/>
      <c r="H32" s="1285"/>
      <c r="I32" s="1286"/>
      <c r="J32" s="1287"/>
      <c r="K32" s="1287"/>
      <c r="L32" s="811"/>
      <c r="M32" s="812"/>
      <c r="N32" s="811"/>
      <c r="O32" s="78"/>
      <c r="P32" s="78"/>
      <c r="Q32" s="78"/>
      <c r="R32" s="78"/>
      <c r="S32" s="78"/>
      <c r="T32" s="78"/>
      <c r="U32" s="78"/>
      <c r="V32" s="78"/>
      <c r="W32" s="78"/>
      <c r="X32" s="813"/>
      <c r="Y32" s="813"/>
      <c r="Z32" s="78"/>
      <c r="AA32" s="78"/>
      <c r="AB32" s="78"/>
      <c r="AC32" s="813"/>
      <c r="AD32" s="813"/>
      <c r="AE32" s="78"/>
    </row>
    <row r="33" spans="2:31" ht="22.5" customHeight="1">
      <c r="B33" s="1286" t="s">
        <v>718</v>
      </c>
      <c r="C33" s="1286"/>
      <c r="D33" s="1286"/>
      <c r="E33" s="1286"/>
      <c r="F33" s="1286"/>
      <c r="G33" s="1316"/>
      <c r="H33" s="1285" t="s">
        <v>570</v>
      </c>
      <c r="I33" s="1286"/>
      <c r="J33" s="1286"/>
      <c r="K33" s="1286"/>
      <c r="L33" s="811"/>
      <c r="M33" s="812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813"/>
      <c r="Y33" s="813"/>
      <c r="Z33" s="78"/>
      <c r="AA33" s="78"/>
      <c r="AB33" s="78"/>
      <c r="AC33" s="78"/>
      <c r="AD33" s="78"/>
      <c r="AE33" s="78"/>
    </row>
    <row r="34" spans="2:31" ht="17.25" customHeight="1">
      <c r="B34" s="804"/>
      <c r="C34" s="804"/>
      <c r="D34" s="804"/>
      <c r="E34" s="562"/>
      <c r="F34" s="562"/>
      <c r="G34" s="563"/>
      <c r="H34" s="564"/>
      <c r="I34" s="566"/>
      <c r="J34" s="565"/>
      <c r="K34" s="565"/>
      <c r="L34" s="78"/>
      <c r="M34" s="812"/>
      <c r="N34" s="78"/>
      <c r="O34" s="78"/>
      <c r="P34" s="78"/>
      <c r="Q34" s="78"/>
      <c r="R34" s="78"/>
    </row>
    <row r="35" spans="2:31" ht="22.5" customHeight="1">
      <c r="B35" s="1286"/>
      <c r="C35" s="1316"/>
      <c r="D35" s="1318"/>
      <c r="E35" s="1319"/>
      <c r="F35" s="1286"/>
      <c r="G35" s="1316"/>
      <c r="H35" s="1285"/>
      <c r="I35" s="1286"/>
      <c r="J35" s="1287"/>
      <c r="K35" s="1287"/>
      <c r="L35" s="78"/>
      <c r="M35" s="812"/>
      <c r="N35" s="78"/>
      <c r="O35" s="78"/>
      <c r="P35" s="78"/>
      <c r="Q35" s="78"/>
      <c r="R35" s="78"/>
    </row>
    <row r="36" spans="2:31" ht="22.5" customHeight="1">
      <c r="B36" s="1286"/>
      <c r="C36" s="1316"/>
      <c r="D36" s="1285"/>
      <c r="E36" s="1316"/>
      <c r="F36" s="1286"/>
      <c r="G36" s="1316"/>
      <c r="H36" s="1285"/>
      <c r="I36" s="1286"/>
      <c r="J36" s="1287"/>
      <c r="K36" s="1287"/>
      <c r="L36" s="78"/>
      <c r="M36" s="812"/>
      <c r="N36" s="78"/>
      <c r="O36" s="78"/>
      <c r="P36" s="78"/>
      <c r="Q36" s="78"/>
      <c r="R36" s="78"/>
    </row>
    <row r="37" spans="2:31" ht="22.5" customHeight="1">
      <c r="B37" s="329"/>
      <c r="C37" s="334"/>
      <c r="D37" s="335"/>
      <c r="E37" s="334"/>
      <c r="F37" s="329"/>
      <c r="G37" s="334"/>
      <c r="H37" s="335"/>
      <c r="J37" s="769"/>
      <c r="K37" s="769"/>
      <c r="L37" s="78"/>
      <c r="M37" s="78"/>
      <c r="N37" s="811"/>
      <c r="O37" s="78"/>
      <c r="P37" s="78"/>
      <c r="Q37" s="78"/>
      <c r="R37" s="78"/>
    </row>
    <row r="38" spans="2:31" ht="22.5" customHeight="1">
      <c r="B38" s="329"/>
      <c r="C38" s="334"/>
      <c r="D38" s="335"/>
      <c r="E38" s="334"/>
      <c r="F38" s="329"/>
      <c r="G38" s="334"/>
      <c r="H38" s="335"/>
      <c r="I38" s="329"/>
      <c r="J38" s="330"/>
      <c r="K38" s="330"/>
      <c r="M38" s="333"/>
    </row>
    <row r="39" spans="2:31" ht="22.5" customHeight="1">
      <c r="B39" s="329"/>
      <c r="C39" s="334"/>
      <c r="D39" s="335"/>
      <c r="E39" s="334"/>
      <c r="F39" s="329"/>
      <c r="G39" s="334"/>
      <c r="H39" s="335"/>
      <c r="I39" s="329"/>
      <c r="J39" s="330"/>
      <c r="K39" s="330"/>
      <c r="M39" s="333"/>
    </row>
    <row r="40" spans="2:31" ht="22.5" customHeight="1">
      <c r="B40" s="1286"/>
      <c r="C40" s="1316"/>
      <c r="D40" s="1285"/>
      <c r="E40" s="1316"/>
      <c r="F40" s="1286"/>
      <c r="G40" s="1316"/>
      <c r="H40" s="1285"/>
      <c r="I40" s="1286"/>
      <c r="J40" s="1287"/>
      <c r="K40" s="1287"/>
      <c r="M40" s="333"/>
    </row>
    <row r="41" spans="2:31" ht="22.5" customHeight="1">
      <c r="B41" s="1287" t="s">
        <v>573</v>
      </c>
      <c r="C41" s="1287"/>
      <c r="D41" s="1285" t="s">
        <v>571</v>
      </c>
      <c r="E41" s="1316"/>
      <c r="F41" s="1286" t="s">
        <v>572</v>
      </c>
      <c r="G41" s="1316"/>
      <c r="H41" s="1285" t="s">
        <v>998</v>
      </c>
      <c r="I41" s="1286"/>
      <c r="J41" s="1286"/>
      <c r="K41" s="1286"/>
      <c r="M41" s="333"/>
    </row>
    <row r="42" spans="2:31" ht="10.15" customHeight="1" thickBot="1">
      <c r="B42" s="329"/>
      <c r="C42" s="334"/>
      <c r="D42" s="568"/>
      <c r="E42" s="569"/>
      <c r="F42" s="329"/>
      <c r="G42" s="334"/>
      <c r="H42" s="335"/>
      <c r="I42" s="561"/>
      <c r="J42" s="330"/>
      <c r="K42" s="330"/>
      <c r="M42" s="333"/>
    </row>
    <row r="43" spans="2:31" ht="20.100000000000001" customHeight="1" thickBot="1">
      <c r="B43" s="1320" t="s">
        <v>165</v>
      </c>
      <c r="C43" s="1321"/>
      <c r="D43" s="1321"/>
      <c r="E43" s="1321"/>
      <c r="F43" s="1321"/>
      <c r="G43" s="1321"/>
      <c r="H43" s="1321"/>
      <c r="I43" s="1321"/>
      <c r="J43" s="1321"/>
      <c r="K43" s="1322"/>
    </row>
    <row r="44" spans="2:31" ht="22.5" customHeight="1">
      <c r="B44" s="1329"/>
      <c r="C44" s="1329"/>
      <c r="D44" s="1329"/>
      <c r="E44" s="1329"/>
      <c r="F44" s="1330"/>
      <c r="G44" s="1329"/>
      <c r="H44" s="1329"/>
      <c r="I44" s="1329"/>
      <c r="J44" s="1329"/>
      <c r="K44" s="1329"/>
    </row>
    <row r="45" spans="2:31" ht="22.5" customHeight="1">
      <c r="B45" s="1327"/>
      <c r="C45" s="1327"/>
      <c r="D45" s="1327"/>
      <c r="E45" s="1327"/>
      <c r="F45" s="1328"/>
      <c r="G45" s="1327"/>
      <c r="H45" s="1327"/>
      <c r="I45" s="1327"/>
      <c r="J45" s="1327"/>
      <c r="K45" s="1327"/>
    </row>
    <row r="46" spans="2:31" ht="22.5" customHeight="1">
      <c r="B46" s="1327"/>
      <c r="C46" s="1327"/>
      <c r="D46" s="1327"/>
      <c r="E46" s="1327"/>
      <c r="F46" s="1328"/>
      <c r="G46" s="1327"/>
      <c r="H46" s="1327"/>
      <c r="I46" s="1327"/>
      <c r="J46" s="1327"/>
      <c r="K46" s="1327"/>
    </row>
    <row r="47" spans="2:31" ht="22.5" customHeight="1">
      <c r="B47" s="1327"/>
      <c r="C47" s="1327"/>
      <c r="D47" s="1327"/>
      <c r="E47" s="1327"/>
      <c r="F47" s="1328"/>
      <c r="G47" s="1327"/>
      <c r="H47" s="1327"/>
      <c r="I47" s="1327"/>
      <c r="J47" s="1327"/>
      <c r="K47" s="1327"/>
    </row>
    <row r="48" spans="2:31" ht="22.5" customHeight="1">
      <c r="B48" s="1327"/>
      <c r="C48" s="1327"/>
      <c r="D48" s="1327"/>
      <c r="E48" s="1327"/>
      <c r="F48" s="1328"/>
      <c r="G48" s="1327"/>
      <c r="H48" s="1327"/>
      <c r="I48" s="1327"/>
      <c r="J48" s="1327"/>
      <c r="K48" s="1327"/>
    </row>
    <row r="49" spans="1:11" ht="22.5" customHeight="1">
      <c r="B49" s="1327"/>
      <c r="C49" s="1327"/>
      <c r="D49" s="1327"/>
      <c r="E49" s="1327"/>
      <c r="F49" s="1328"/>
      <c r="G49" s="1327"/>
      <c r="H49" s="1327"/>
      <c r="I49" s="1327"/>
      <c r="J49" s="1327"/>
      <c r="K49" s="1327"/>
    </row>
    <row r="50" spans="1:11" ht="22.5" customHeight="1">
      <c r="B50" s="1327"/>
      <c r="C50" s="1327"/>
      <c r="D50" s="1327"/>
      <c r="E50" s="1327"/>
      <c r="F50" s="1328"/>
      <c r="G50" s="1327"/>
      <c r="H50" s="1327"/>
      <c r="I50" s="1327"/>
      <c r="J50" s="1327"/>
      <c r="K50" s="1327"/>
    </row>
    <row r="51" spans="1:11" ht="22.5" customHeight="1">
      <c r="B51" s="1326" t="s">
        <v>574</v>
      </c>
      <c r="C51" s="1327"/>
      <c r="D51" s="1327"/>
      <c r="E51" s="1327"/>
      <c r="F51" s="1328"/>
      <c r="G51" s="1326" t="s">
        <v>575</v>
      </c>
      <c r="H51" s="1327"/>
      <c r="I51" s="1327"/>
      <c r="J51" s="1327"/>
      <c r="K51" s="1327"/>
    </row>
    <row r="52" spans="1:11" ht="10.15" customHeight="1" thickBot="1">
      <c r="B52" s="336"/>
      <c r="C52" s="336"/>
      <c r="D52" s="336"/>
      <c r="E52" s="336"/>
      <c r="F52" s="337"/>
      <c r="G52" s="799"/>
      <c r="H52" s="336"/>
      <c r="I52" s="336"/>
      <c r="J52" s="336"/>
      <c r="K52" s="94"/>
    </row>
    <row r="53" spans="1:11" ht="22.5" customHeight="1">
      <c r="B53"/>
      <c r="C53"/>
      <c r="D53"/>
      <c r="E53"/>
      <c r="F53"/>
      <c r="G53"/>
      <c r="H53"/>
      <c r="I53"/>
      <c r="J53"/>
      <c r="K53"/>
    </row>
    <row r="54" spans="1:11" ht="18.75" customHeight="1">
      <c r="A54" s="221"/>
      <c r="B54"/>
      <c r="C54"/>
      <c r="D54"/>
      <c r="E54"/>
      <c r="F54"/>
      <c r="G54"/>
      <c r="H54"/>
      <c r="I54"/>
      <c r="J54"/>
      <c r="K54"/>
    </row>
    <row r="55" spans="1:11" ht="18.75" customHeight="1">
      <c r="A55" s="220"/>
      <c r="B55"/>
      <c r="C55"/>
      <c r="D55"/>
      <c r="E55"/>
      <c r="F55"/>
      <c r="G55"/>
      <c r="H55"/>
      <c r="I55"/>
      <c r="J55"/>
      <c r="K55"/>
    </row>
    <row r="56" spans="1:11" ht="18.75" customHeight="1">
      <c r="A56" s="220"/>
      <c r="B56"/>
      <c r="C56"/>
      <c r="D56"/>
      <c r="E56"/>
      <c r="F56"/>
      <c r="G56"/>
      <c r="H56"/>
      <c r="I56"/>
      <c r="J56"/>
      <c r="K56"/>
    </row>
    <row r="57" spans="1:11" ht="18.75" customHeight="1">
      <c r="A57" s="220"/>
      <c r="B57"/>
      <c r="C57"/>
      <c r="D57"/>
      <c r="E57"/>
      <c r="F57"/>
      <c r="G57"/>
      <c r="H57"/>
      <c r="I57"/>
      <c r="J57"/>
      <c r="K57"/>
    </row>
    <row r="58" spans="1:11" ht="18.75" customHeight="1">
      <c r="A58" s="220"/>
      <c r="B58"/>
      <c r="C58"/>
      <c r="D58"/>
      <c r="E58"/>
      <c r="F58"/>
      <c r="G58"/>
      <c r="H58"/>
      <c r="I58"/>
      <c r="J58"/>
      <c r="K58"/>
    </row>
  </sheetData>
  <mergeCells count="80">
    <mergeCell ref="K3:L3"/>
    <mergeCell ref="B51:F51"/>
    <mergeCell ref="G51:K51"/>
    <mergeCell ref="H41:K41"/>
    <mergeCell ref="B33:G33"/>
    <mergeCell ref="B44:F50"/>
    <mergeCell ref="G44:K50"/>
    <mergeCell ref="B41:C41"/>
    <mergeCell ref="B43:K43"/>
    <mergeCell ref="H33:K33"/>
    <mergeCell ref="H40:I40"/>
    <mergeCell ref="J40:K40"/>
    <mergeCell ref="H35:I35"/>
    <mergeCell ref="J35:K35"/>
    <mergeCell ref="H36:I36"/>
    <mergeCell ref="J36:K36"/>
    <mergeCell ref="B26:K26"/>
    <mergeCell ref="C16:D16"/>
    <mergeCell ref="C17:D17"/>
    <mergeCell ref="E17:F17"/>
    <mergeCell ref="G17:H17"/>
    <mergeCell ref="C21:D21"/>
    <mergeCell ref="C20:D20"/>
    <mergeCell ref="C22:D22"/>
    <mergeCell ref="C23:D23"/>
    <mergeCell ref="C24:D24"/>
    <mergeCell ref="E20:F20"/>
    <mergeCell ref="E21:F21"/>
    <mergeCell ref="E22:F22"/>
    <mergeCell ref="E23:F23"/>
    <mergeCell ref="E24:F24"/>
    <mergeCell ref="B27:C32"/>
    <mergeCell ref="D41:E41"/>
    <mergeCell ref="D27:E32"/>
    <mergeCell ref="F41:G41"/>
    <mergeCell ref="F27:G32"/>
    <mergeCell ref="B40:C40"/>
    <mergeCell ref="D40:E40"/>
    <mergeCell ref="F40:G40"/>
    <mergeCell ref="B35:C35"/>
    <mergeCell ref="D35:E35"/>
    <mergeCell ref="F35:G35"/>
    <mergeCell ref="B36:C36"/>
    <mergeCell ref="D36:E36"/>
    <mergeCell ref="F36:G36"/>
    <mergeCell ref="C5:D5"/>
    <mergeCell ref="E5:F5"/>
    <mergeCell ref="G14:H14"/>
    <mergeCell ref="G15:H15"/>
    <mergeCell ref="E15:F15"/>
    <mergeCell ref="G5:H5"/>
    <mergeCell ref="C6:D6"/>
    <mergeCell ref="C15:D15"/>
    <mergeCell ref="C14:D14"/>
    <mergeCell ref="E6:F6"/>
    <mergeCell ref="G6:H6"/>
    <mergeCell ref="I6:J6"/>
    <mergeCell ref="I17:J17"/>
    <mergeCell ref="E14:F14"/>
    <mergeCell ref="G16:H16"/>
    <mergeCell ref="I16:J16"/>
    <mergeCell ref="I14:J14"/>
    <mergeCell ref="I15:J15"/>
    <mergeCell ref="E16:F16"/>
    <mergeCell ref="G2:G3"/>
    <mergeCell ref="H2:J3"/>
    <mergeCell ref="H27:I32"/>
    <mergeCell ref="J27:K32"/>
    <mergeCell ref="K16:K17"/>
    <mergeCell ref="I5:J5"/>
    <mergeCell ref="I20:J20"/>
    <mergeCell ref="I21:J21"/>
    <mergeCell ref="I22:J22"/>
    <mergeCell ref="I23:J23"/>
    <mergeCell ref="I24:J24"/>
    <mergeCell ref="G20:H20"/>
    <mergeCell ref="G21:H21"/>
    <mergeCell ref="G22:H22"/>
    <mergeCell ref="G23:H23"/>
    <mergeCell ref="G24:H24"/>
  </mergeCells>
  <phoneticPr fontId="0" type="noConversion"/>
  <conditionalFormatting sqref="C22">
    <cfRule type="expression" dxfId="1757" priority="6">
      <formula>$C$16&gt;=$C$22</formula>
    </cfRule>
  </conditionalFormatting>
  <conditionalFormatting sqref="C23">
    <cfRule type="expression" dxfId="1756" priority="7">
      <formula>$C$16&gt;=$C$23</formula>
    </cfRule>
  </conditionalFormatting>
  <conditionalFormatting sqref="C24">
    <cfRule type="expression" dxfId="1755" priority="20">
      <formula>$C$16&gt;=$C$24</formula>
    </cfRule>
  </conditionalFormatting>
  <conditionalFormatting sqref="E20">
    <cfRule type="expression" dxfId="1754" priority="16">
      <formula>$E$16&gt;=$E$20</formula>
    </cfRule>
  </conditionalFormatting>
  <conditionalFormatting sqref="E21">
    <cfRule type="expression" dxfId="1753" priority="17">
      <formula>$E$16&gt;=$E$21</formula>
    </cfRule>
  </conditionalFormatting>
  <conditionalFormatting sqref="E22">
    <cfRule type="expression" dxfId="1752" priority="18">
      <formula>$E$16&gt;=$E$22</formula>
    </cfRule>
  </conditionalFormatting>
  <conditionalFormatting sqref="E23">
    <cfRule type="expression" dxfId="1751" priority="19">
      <formula>$E$16&gt;=$E$23</formula>
    </cfRule>
  </conditionalFormatting>
  <conditionalFormatting sqref="E24">
    <cfRule type="expression" dxfId="1750" priority="15">
      <formula>$E$16&gt;=$E$24</formula>
    </cfRule>
  </conditionalFormatting>
  <conditionalFormatting sqref="G23">
    <cfRule type="expression" dxfId="1749" priority="14">
      <formula>$G$16&gt;=$G$23</formula>
    </cfRule>
  </conditionalFormatting>
  <conditionalFormatting sqref="G22">
    <cfRule type="expression" dxfId="1748" priority="13">
      <formula>$G$16&gt;=$G$22</formula>
    </cfRule>
  </conditionalFormatting>
  <conditionalFormatting sqref="G20">
    <cfRule type="expression" dxfId="1747" priority="2">
      <formula>$G$16&gt;=$G$20</formula>
    </cfRule>
  </conditionalFormatting>
  <conditionalFormatting sqref="G21">
    <cfRule type="expression" dxfId="1746" priority="12">
      <formula>$G$16&gt;=$G$21</formula>
    </cfRule>
  </conditionalFormatting>
  <conditionalFormatting sqref="I20">
    <cfRule type="expression" dxfId="1745" priority="11">
      <formula>$I$16&gt;=$I$20</formula>
    </cfRule>
  </conditionalFormatting>
  <conditionalFormatting sqref="I24">
    <cfRule type="expression" dxfId="1744" priority="1">
      <formula>$I$16&gt;=$I$24</formula>
    </cfRule>
  </conditionalFormatting>
  <conditionalFormatting sqref="I21">
    <cfRule type="expression" dxfId="1743" priority="10">
      <formula>$I$16&gt;=$I$21</formula>
    </cfRule>
  </conditionalFormatting>
  <conditionalFormatting sqref="C20">
    <cfRule type="expression" dxfId="1742" priority="4">
      <formula>$C$16&gt;=$C$20</formula>
    </cfRule>
  </conditionalFormatting>
  <conditionalFormatting sqref="C21">
    <cfRule type="expression" dxfId="1741" priority="5">
      <formula>$C$16&gt;=$C$21</formula>
    </cfRule>
  </conditionalFormatting>
  <conditionalFormatting sqref="I23">
    <cfRule type="expression" dxfId="1740" priority="8">
      <formula>$I$16&gt;=$I$23</formula>
    </cfRule>
  </conditionalFormatting>
  <conditionalFormatting sqref="G24">
    <cfRule type="expression" dxfId="1739" priority="3">
      <formula>$G$16&gt;=$G$24</formula>
    </cfRule>
  </conditionalFormatting>
  <conditionalFormatting sqref="I22">
    <cfRule type="expression" dxfId="1738" priority="9">
      <formula>$I$16&gt;=$I$22</formula>
    </cfRule>
  </conditionalFormatting>
  <conditionalFormatting sqref="C24:J24">
    <cfRule type="expression" dxfId="1737" priority="21">
      <formula>$L$25=1</formula>
    </cfRule>
  </conditionalFormatting>
  <conditionalFormatting sqref="C23:J23">
    <cfRule type="expression" dxfId="1736" priority="25">
      <formula>$L$25=2</formula>
    </cfRule>
  </conditionalFormatting>
  <conditionalFormatting sqref="C22:J22">
    <cfRule type="expression" dxfId="1735" priority="24">
      <formula>$L$25=3</formula>
    </cfRule>
  </conditionalFormatting>
  <conditionalFormatting sqref="C21:J21">
    <cfRule type="expression" dxfId="1734" priority="23">
      <formula>$L$25=4</formula>
    </cfRule>
  </conditionalFormatting>
  <conditionalFormatting sqref="C20:J20">
    <cfRule type="expression" dxfId="1733" priority="22">
      <formula>$L$25=5</formula>
    </cfRule>
  </conditionalFormatting>
  <pageMargins left="0.74803149606299213" right="0.74803149606299213" top="1.9685039370078741" bottom="0.98425196850393704" header="0.51181102362204722" footer="0.51181102362204722"/>
  <pageSetup paperSize="9" scale="50" fitToWidth="0" orientation="portrait" r:id="rId1"/>
  <headerFooter alignWithMargins="0">
    <oddHeader>&amp;C&amp;G</oddHeader>
  </headerFooter>
  <ignoredErrors>
    <ignoredError sqref="A1:XFD1 A4:M4 A2:C2 D2:E2 A14:B14 A5:B5 A6:M6 AF8:XFD8 AF5:XFD7 A59:XFD1048576 A55:A58 L54:XFD58 A8:C9 A11:B11 F7:G7 A52:XFD52 A43 C43:XFD43 A53 A21:B21 A19 C19:M19 A44:B44 G44 L44:XFD44 A45:A50 L45:XFD50 A51 L51:XFD51 A13:B13 E13:F13 A26:M26 A24 A10:C10 F8:F9 A18:M18 A15:B15 F15 H2 A3:F3 L2 A23:B23 A22:B22 A20:B20 M21 M22 M23 M24 H15 J15:L15 F5 A25:B25 M25 H5:M5 A7:B7 E7 E11:F11 D25:K25 A16:B16 L16:M16 D15 D14 F14 H14 J14:M14 D16 F16 H16 J16 A17:B17 D17 F17 H17 J17:M17 AF9:XFD9 AF10:XFD10 AF11:XFD11 AF4:XFD4 AF16:XFD16 AF19:XFD19 AF22:XFD22 AF25:XFD25 AF26:XFD26 AF13:XFD13 AF14:XFD14 AF15:XFD15 AF17:XFD17 AF18:XFD18 AF20:XFD20 AF23:XFD23 AF21:XFD21 AF24:XFD24 AF2:XFD2 I13:J13 L53:XFD53 AF3:XFD3 M3 K3 E8:E9 E10:F10 D11 D10 D8:D9 D7 D12:D13 H7:H13 J7:J10" unlockedFormula="1"/>
  </ignoredError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F9B4D-90EC-4B53-9324-77EB0575F0DF}">
  <sheetPr codeName="Sheet22">
    <tabColor indexed="51"/>
    <pageSetUpPr fitToPage="1"/>
  </sheetPr>
  <dimension ref="A1:V1547"/>
  <sheetViews>
    <sheetView showGridLines="0" showOutlineSymbols="0" topLeftCell="A52" zoomScaleNormal="100" workbookViewId="0"/>
  </sheetViews>
  <sheetFormatPr defaultColWidth="8.7109375" defaultRowHeight="12.75"/>
  <cols>
    <col min="1" max="2" width="8.7109375" style="1"/>
    <col min="3" max="3" width="42.7109375" style="1" customWidth="1"/>
    <col min="4" max="5" width="10.5703125" style="1" customWidth="1"/>
    <col min="6" max="6" width="10.5703125" style="3" customWidth="1"/>
    <col min="7" max="7" width="10.5703125" style="1" customWidth="1"/>
    <col min="8" max="8" width="8.7109375" style="217" customWidth="1"/>
    <col min="9" max="14" width="10.5703125" style="1" customWidth="1"/>
    <col min="15" max="16384" width="8.7109375" style="1"/>
  </cols>
  <sheetData>
    <row r="1" spans="1:13" ht="13.5" thickBot="1">
      <c r="A1" s="251">
        <v>3</v>
      </c>
    </row>
    <row r="2" spans="1:13" s="4" customFormat="1" ht="12.75" customHeight="1">
      <c r="B2" s="1364" t="s">
        <v>721</v>
      </c>
      <c r="C2" s="1365"/>
      <c r="D2" s="1368" t="s">
        <v>49</v>
      </c>
      <c r="E2" s="1369"/>
      <c r="F2" s="1372" t="s">
        <v>55</v>
      </c>
      <c r="G2" s="1373"/>
      <c r="H2" s="218"/>
    </row>
    <row r="3" spans="1:13" s="4" customFormat="1" ht="15" customHeight="1">
      <c r="B3" s="1366"/>
      <c r="C3" s="1367"/>
      <c r="D3" s="1370"/>
      <c r="E3" s="1371"/>
      <c r="F3" s="1374"/>
      <c r="G3" s="1375"/>
      <c r="H3" s="218"/>
    </row>
    <row r="4" spans="1:13" ht="15" customHeight="1" thickBot="1">
      <c r="B4" s="1376" t="str">
        <f>'General Overview'!G4</f>
        <v/>
      </c>
      <c r="C4" s="1377"/>
      <c r="D4" s="260" t="s">
        <v>99</v>
      </c>
      <c r="E4" s="261" t="s">
        <v>40</v>
      </c>
      <c r="F4" s="262" t="s">
        <v>99</v>
      </c>
      <c r="G4" s="263" t="s">
        <v>40</v>
      </c>
    </row>
    <row r="5" spans="1:13" ht="15" customHeight="1">
      <c r="B5" s="152" t="s">
        <v>65</v>
      </c>
      <c r="C5" s="104"/>
      <c r="D5" s="166"/>
      <c r="E5" s="454"/>
      <c r="F5" s="154"/>
      <c r="G5" s="155"/>
    </row>
    <row r="6" spans="1:13" ht="15" customHeight="1">
      <c r="B6" s="106"/>
      <c r="C6" s="104" t="s">
        <v>66</v>
      </c>
      <c r="D6" s="864"/>
      <c r="E6" s="153"/>
      <c r="F6" s="154"/>
      <c r="G6" s="155"/>
    </row>
    <row r="7" spans="1:13" ht="15" customHeight="1">
      <c r="B7" s="106"/>
      <c r="C7" s="104" t="s">
        <v>67</v>
      </c>
      <c r="D7" s="865"/>
      <c r="E7" s="38" t="str">
        <f>IF(D6="Yes",IF(D7&lt;80,4,""),IF(D6="No",0,""))</f>
        <v/>
      </c>
      <c r="F7" s="867"/>
      <c r="G7" s="12">
        <f>IF(F7="",0,IF(F7&lt;80,4,""))</f>
        <v>0</v>
      </c>
    </row>
    <row r="8" spans="1:13" ht="15" customHeight="1">
      <c r="B8" s="106"/>
      <c r="C8" s="104" t="s">
        <v>368</v>
      </c>
      <c r="D8" s="866"/>
      <c r="E8" s="38">
        <f>IF(D6="Yes",IF(D7&lt;80,"",ROUND(Sliding_Scale(D8,500,700,4,0),Round)),0)</f>
        <v>0</v>
      </c>
      <c r="F8" s="867"/>
      <c r="G8" s="12" t="str">
        <f>IF(F7&lt;80,"",ROUND(Sliding_Scale(F8,500,700,4,0),Round))</f>
        <v/>
      </c>
    </row>
    <row r="9" spans="1:13" ht="15" customHeight="1">
      <c r="B9" s="106"/>
      <c r="C9" s="104" t="s">
        <v>68</v>
      </c>
      <c r="D9" s="866"/>
      <c r="E9" s="38" t="str">
        <f>IF(D6="Yes",IF(D7&lt;80,"",ROUND(Sliding_Scale(D9,72,80,4,0),Round)),IF(D6="No",0,""))</f>
        <v/>
      </c>
      <c r="F9" s="867"/>
      <c r="G9" s="12" t="str">
        <f>IF(F7&lt;80,"",ROUND(Sliding_Scale(F9,72,80,4,0),Round))</f>
        <v/>
      </c>
      <c r="I9" s="827"/>
      <c r="J9" s="827"/>
      <c r="K9" s="827"/>
      <c r="L9" s="827"/>
      <c r="M9" s="9"/>
    </row>
    <row r="10" spans="1:13" ht="15" customHeight="1">
      <c r="B10" s="106"/>
      <c r="C10" s="104" t="s">
        <v>2475</v>
      </c>
      <c r="D10" s="865"/>
      <c r="E10" s="38">
        <f>IF(D10&gt;=0.47,-2,IF(D10&gt;=0.42,-1,0))</f>
        <v>0</v>
      </c>
      <c r="F10" s="154"/>
      <c r="G10" s="12"/>
      <c r="I10" s="827"/>
      <c r="J10" s="827"/>
      <c r="K10" s="827"/>
      <c r="L10" s="827"/>
      <c r="M10" s="9"/>
    </row>
    <row r="11" spans="1:13" ht="15" customHeight="1">
      <c r="B11" s="106"/>
      <c r="C11" s="160" t="s">
        <v>997</v>
      </c>
      <c r="D11" s="106"/>
      <c r="E11" s="38"/>
      <c r="F11" s="154"/>
      <c r="G11" s="12"/>
      <c r="I11" s="827"/>
      <c r="J11" s="827"/>
      <c r="K11" s="827"/>
      <c r="L11" s="827"/>
      <c r="M11" s="9"/>
    </row>
    <row r="12" spans="1:13" ht="15" customHeight="1">
      <c r="B12" s="106"/>
      <c r="C12" s="677" t="s">
        <v>722</v>
      </c>
      <c r="D12" s="866"/>
      <c r="E12" s="158"/>
      <c r="F12" s="154"/>
      <c r="G12" s="159"/>
      <c r="I12" s="827"/>
      <c r="J12" s="827"/>
      <c r="K12" s="827"/>
      <c r="L12" s="827"/>
      <c r="M12" s="9"/>
    </row>
    <row r="13" spans="1:13" ht="15" customHeight="1">
      <c r="B13" s="106"/>
      <c r="C13" s="677" t="s">
        <v>723</v>
      </c>
      <c r="D13" s="865"/>
      <c r="E13" s="455"/>
      <c r="F13" s="154"/>
      <c r="G13" s="159"/>
      <c r="I13" s="9"/>
      <c r="J13" s="9"/>
      <c r="K13" s="9"/>
      <c r="L13" s="9"/>
      <c r="M13" s="629"/>
    </row>
    <row r="14" spans="1:13" ht="15" customHeight="1">
      <c r="B14" s="106"/>
      <c r="C14" s="677" t="s">
        <v>2421</v>
      </c>
      <c r="D14" s="865"/>
      <c r="E14" s="455"/>
      <c r="F14" s="154"/>
      <c r="G14" s="159"/>
      <c r="I14" s="9"/>
      <c r="J14" s="9"/>
      <c r="K14" s="9"/>
      <c r="L14" s="9"/>
      <c r="M14" s="9"/>
    </row>
    <row r="15" spans="1:13" ht="15" customHeight="1">
      <c r="B15" s="106"/>
      <c r="C15" s="677" t="s">
        <v>2474</v>
      </c>
      <c r="D15" s="865"/>
      <c r="E15" s="455"/>
      <c r="F15" s="154"/>
      <c r="G15" s="159"/>
      <c r="I15" s="9"/>
      <c r="J15" s="9"/>
      <c r="K15" s="9"/>
      <c r="L15" s="9"/>
      <c r="M15" s="9"/>
    </row>
    <row r="16" spans="1:13" ht="15" customHeight="1">
      <c r="B16" s="106"/>
      <c r="C16" s="677" t="s">
        <v>996</v>
      </c>
      <c r="D16" s="865"/>
      <c r="E16" s="455"/>
      <c r="F16" s="154"/>
      <c r="G16" s="159"/>
      <c r="I16" s="828"/>
      <c r="J16" s="828"/>
      <c r="K16" s="828"/>
      <c r="L16" s="828"/>
      <c r="M16" s="9"/>
    </row>
    <row r="17" spans="2:13" ht="15" customHeight="1">
      <c r="B17" s="106"/>
      <c r="C17" s="104" t="s">
        <v>98</v>
      </c>
      <c r="D17" s="868"/>
      <c r="E17" s="158">
        <f>D17</f>
        <v>0</v>
      </c>
      <c r="F17" s="869"/>
      <c r="G17" s="159">
        <f>F17</f>
        <v>0</v>
      </c>
      <c r="I17" s="828"/>
      <c r="J17" s="828"/>
      <c r="K17" s="828"/>
      <c r="L17" s="828"/>
      <c r="M17" s="9"/>
    </row>
    <row r="18" spans="2:13" ht="15" customHeight="1">
      <c r="B18" s="106"/>
      <c r="C18" s="104" t="s">
        <v>154</v>
      </c>
      <c r="D18" s="868"/>
      <c r="E18" s="158">
        <f>D18</f>
        <v>0</v>
      </c>
      <c r="F18" s="869"/>
      <c r="G18" s="159">
        <f>F18</f>
        <v>0</v>
      </c>
      <c r="I18" s="828"/>
      <c r="J18" s="828"/>
      <c r="K18" s="828"/>
      <c r="L18" s="828"/>
      <c r="M18" s="9"/>
    </row>
    <row r="19" spans="2:13" ht="15" customHeight="1">
      <c r="B19" s="106"/>
      <c r="C19" s="104" t="s">
        <v>106</v>
      </c>
      <c r="D19" s="868"/>
      <c r="E19" s="158">
        <f>D19</f>
        <v>0</v>
      </c>
      <c r="F19" s="869"/>
      <c r="G19" s="159">
        <f>F19</f>
        <v>0</v>
      </c>
      <c r="I19" s="828"/>
      <c r="J19" s="828"/>
      <c r="K19" s="828"/>
      <c r="L19" s="828"/>
      <c r="M19" s="9"/>
    </row>
    <row r="20" spans="2:13" ht="15" customHeight="1">
      <c r="B20" s="106"/>
      <c r="C20" s="456" t="s">
        <v>90</v>
      </c>
      <c r="D20" s="106"/>
      <c r="E20" s="158">
        <f>MIN(ROUND(Modifier_Sliding_Scale(D21,90,110,-1,0),Round),ROUND(Modifier_Sliding_Scale(D22,72,88,-1,0),Round),ROUND(Modifier_Sliding_Scale(ABS(D23),90,110,-1,0),Round))</f>
        <v>0</v>
      </c>
      <c r="F20" s="104"/>
      <c r="G20" s="159"/>
      <c r="I20" s="9"/>
      <c r="J20" s="9"/>
      <c r="K20" s="9"/>
      <c r="L20" s="9"/>
      <c r="M20" s="9"/>
    </row>
    <row r="21" spans="2:13" ht="15" customHeight="1">
      <c r="B21" s="106"/>
      <c r="C21" s="254" t="s">
        <v>63</v>
      </c>
      <c r="D21" s="870"/>
      <c r="E21" s="92" t="str">
        <f>IF(D21&gt;0,"rearward",IF(D21&lt;0,"forward",""))</f>
        <v/>
      </c>
      <c r="F21" s="104"/>
      <c r="G21" s="383"/>
      <c r="I21" s="9"/>
      <c r="J21" s="9"/>
      <c r="K21" s="9"/>
      <c r="L21" s="9"/>
      <c r="M21" s="9"/>
    </row>
    <row r="22" spans="2:13" ht="15" customHeight="1">
      <c r="B22" s="106"/>
      <c r="C22" s="254" t="s">
        <v>64</v>
      </c>
      <c r="D22" s="870"/>
      <c r="E22" s="92" t="str">
        <f>IF(D22&gt;0,"upward",IF(D22&lt;0,"downward",""))</f>
        <v/>
      </c>
      <c r="F22" s="104"/>
      <c r="G22" s="383"/>
      <c r="I22" s="9"/>
      <c r="J22" s="9"/>
      <c r="K22" s="9"/>
      <c r="L22" s="9"/>
      <c r="M22" s="9"/>
    </row>
    <row r="23" spans="2:13" ht="15" customHeight="1" thickBot="1">
      <c r="B23" s="170"/>
      <c r="C23" s="361" t="s">
        <v>87</v>
      </c>
      <c r="D23" s="871"/>
      <c r="E23" s="93" t="str">
        <f>IF(D23&gt;0,"left",IF(D23&lt;0,"right",""))</f>
        <v/>
      </c>
      <c r="F23" s="104"/>
      <c r="G23" s="383"/>
      <c r="I23" s="9"/>
      <c r="J23" s="9"/>
      <c r="K23" s="9"/>
      <c r="L23" s="9"/>
      <c r="M23" s="9"/>
    </row>
    <row r="24" spans="2:13" ht="15" customHeight="1" thickBot="1">
      <c r="B24" s="1378" t="s">
        <v>45</v>
      </c>
      <c r="C24" s="1379"/>
      <c r="D24" s="457"/>
      <c r="E24" s="428">
        <f>MAX(IF(D6="Yes",MIN(E7:E9)+SUM(E10,E17:E20),IF(D6="No",0)))</f>
        <v>0</v>
      </c>
      <c r="F24" s="458"/>
      <c r="G24" s="40">
        <f>MAX(MIN(G7:G9)+SUM(G17:G19),0)</f>
        <v>0</v>
      </c>
      <c r="I24" s="9"/>
      <c r="J24" s="9"/>
      <c r="K24" s="9"/>
      <c r="L24" s="9"/>
      <c r="M24" s="9"/>
    </row>
    <row r="25" spans="2:13" ht="15" customHeight="1">
      <c r="B25" s="166"/>
      <c r="C25" s="459"/>
      <c r="D25" s="166"/>
      <c r="E25" s="240"/>
      <c r="F25" s="173"/>
      <c r="G25" s="169"/>
      <c r="I25" s="9"/>
      <c r="J25" s="9"/>
      <c r="K25" s="9"/>
      <c r="L25" s="9"/>
      <c r="M25" s="9"/>
    </row>
    <row r="26" spans="2:13" ht="15" customHeight="1">
      <c r="B26" s="152" t="s">
        <v>27</v>
      </c>
      <c r="C26" s="104"/>
      <c r="D26" s="106"/>
      <c r="E26" s="158"/>
      <c r="F26" s="104"/>
      <c r="G26" s="159"/>
      <c r="I26" s="9"/>
      <c r="J26" s="9"/>
      <c r="K26" s="9"/>
      <c r="L26" s="9"/>
      <c r="M26" s="9"/>
    </row>
    <row r="27" spans="2:13" ht="15" customHeight="1">
      <c r="B27" s="106"/>
      <c r="C27" s="104" t="s">
        <v>28</v>
      </c>
      <c r="D27" s="866"/>
      <c r="E27" s="158">
        <f>ROUND(Sliding_Scale(D27,1.9,3.1,4,0),Round)</f>
        <v>0</v>
      </c>
      <c r="F27" s="867"/>
      <c r="G27" s="12">
        <f>ROUND(Sliding_Scale(F27,IF(F28&lt;25,1.9-0.7*(F28/25),(IF(F28&lt;35,1.2,IF(F28&lt;45,1.2-0.1*(F28-35)/10,1.1)))),IF(F28&lt;25,3.1-1.6*(F28/25),(IF(F28&lt;35,1.5,IF(F28&lt;45,1.5-0.4*(F28-35)/10,1.10000000000001)))),4,0),Round)</f>
        <v>0</v>
      </c>
      <c r="I27" s="9"/>
      <c r="J27" s="9"/>
      <c r="K27" s="9"/>
      <c r="L27" s="9"/>
      <c r="M27" s="9"/>
    </row>
    <row r="28" spans="2:13" ht="15" customHeight="1">
      <c r="B28" s="106"/>
      <c r="C28" s="254" t="s">
        <v>56</v>
      </c>
      <c r="D28" s="106"/>
      <c r="E28" s="460"/>
      <c r="F28" s="867"/>
      <c r="G28" s="12"/>
      <c r="I28" s="9"/>
      <c r="J28" s="9"/>
      <c r="K28" s="9"/>
      <c r="L28" s="9"/>
      <c r="M28" s="9"/>
    </row>
    <row r="29" spans="2:13" ht="15" customHeight="1">
      <c r="B29" s="106"/>
      <c r="C29" s="104" t="s">
        <v>57</v>
      </c>
      <c r="D29" s="866"/>
      <c r="E29" s="158">
        <f>ROUND(Sliding_Scale(D29,2.7,3.3,4,0),Round)</f>
        <v>0</v>
      </c>
      <c r="F29" s="867"/>
      <c r="G29" s="12">
        <f>ROUND(Sliding_Scale(F29,IF(F30&lt;35,2.7-0.4*(F30/35),(IF(F30&lt;60,2.3-1.2*(F30-35)/25,1.1))),IF(F30&lt;35,3.3-0.4*(F30/35),(IF(F30&lt;60,2.9-1.8*(F30-35)/25,1.10000000000001))),4,0),Round)</f>
        <v>0</v>
      </c>
      <c r="I29" s="9"/>
      <c r="J29" s="9"/>
      <c r="K29" s="9"/>
      <c r="L29" s="9"/>
      <c r="M29" s="9"/>
    </row>
    <row r="30" spans="2:13" ht="15" customHeight="1">
      <c r="B30" s="106"/>
      <c r="C30" s="254" t="s">
        <v>56</v>
      </c>
      <c r="D30" s="106"/>
      <c r="E30" s="460"/>
      <c r="F30" s="867"/>
      <c r="G30" s="12"/>
      <c r="I30" s="9"/>
      <c r="J30" s="9"/>
      <c r="K30" s="9"/>
      <c r="L30" s="9"/>
      <c r="M30" s="9"/>
    </row>
    <row r="31" spans="2:13" ht="15" customHeight="1" thickBot="1">
      <c r="B31" s="106"/>
      <c r="C31" s="104" t="s">
        <v>47</v>
      </c>
      <c r="D31" s="866"/>
      <c r="E31" s="241">
        <f>ROUND(Sliding_Scale(D31,42,57,4,0),Round)</f>
        <v>0</v>
      </c>
      <c r="F31" s="867"/>
      <c r="G31" s="43">
        <f>ROUND(Sliding_Scale(F31,42,57,4,0),Round)</f>
        <v>0</v>
      </c>
      <c r="I31" s="9"/>
      <c r="J31" s="9"/>
      <c r="K31" s="9"/>
      <c r="L31" s="9"/>
      <c r="M31" s="9"/>
    </row>
    <row r="32" spans="2:13" ht="15" customHeight="1" thickBot="1">
      <c r="B32" s="450" t="s">
        <v>107</v>
      </c>
      <c r="C32" s="451"/>
      <c r="D32" s="457"/>
      <c r="E32" s="428">
        <f>MIN(E27,E29,E31)</f>
        <v>0</v>
      </c>
      <c r="F32" s="458"/>
      <c r="G32" s="40">
        <f>MIN(G27,G29,G31)</f>
        <v>0</v>
      </c>
      <c r="I32" s="9"/>
      <c r="J32" s="9"/>
      <c r="K32" s="9"/>
      <c r="L32" s="9"/>
      <c r="M32" s="9"/>
    </row>
    <row r="33" spans="2:13" ht="15" customHeight="1" thickBot="1">
      <c r="B33" s="99"/>
      <c r="C33" s="462"/>
      <c r="D33" s="97"/>
      <c r="E33" s="244"/>
      <c r="F33" s="97"/>
      <c r="G33" s="463"/>
      <c r="I33" s="9"/>
      <c r="J33" s="9"/>
      <c r="K33" s="9"/>
      <c r="L33" s="9"/>
      <c r="M33" s="9"/>
    </row>
    <row r="34" spans="2:13" ht="15" customHeight="1" thickBot="1">
      <c r="B34" s="1358" t="s">
        <v>38</v>
      </c>
      <c r="C34" s="1359"/>
      <c r="D34" s="1360">
        <f>MIN(E24,E32)</f>
        <v>0</v>
      </c>
      <c r="E34" s="1361"/>
      <c r="F34" s="1362">
        <f>MIN(G24,G32)</f>
        <v>0</v>
      </c>
      <c r="G34" s="1363"/>
      <c r="I34" s="9"/>
      <c r="J34" s="9"/>
      <c r="K34" s="9"/>
      <c r="L34" s="9"/>
      <c r="M34" s="9"/>
    </row>
    <row r="35" spans="2:13" ht="15" customHeight="1" thickBot="1">
      <c r="I35" s="9"/>
      <c r="J35" s="9"/>
      <c r="K35" s="9"/>
      <c r="L35" s="9"/>
      <c r="M35" s="9"/>
    </row>
    <row r="36" spans="2:13" ht="15" customHeight="1">
      <c r="B36" s="164" t="s">
        <v>59</v>
      </c>
      <c r="C36" s="165"/>
      <c r="D36" s="166"/>
      <c r="E36" s="240"/>
      <c r="F36" s="173"/>
      <c r="G36" s="169"/>
      <c r="I36" s="9"/>
      <c r="J36" s="9"/>
      <c r="K36" s="9"/>
      <c r="L36" s="9"/>
      <c r="M36" s="9"/>
    </row>
    <row r="37" spans="2:13" ht="15" customHeight="1">
      <c r="B37" s="106"/>
      <c r="C37" s="105" t="s">
        <v>724</v>
      </c>
      <c r="D37" s="872"/>
      <c r="E37" s="158"/>
      <c r="F37" s="154"/>
      <c r="G37" s="12"/>
      <c r="I37" s="9"/>
      <c r="J37" s="9"/>
      <c r="K37" s="9"/>
      <c r="L37" s="9"/>
      <c r="M37" s="9"/>
    </row>
    <row r="38" spans="2:13" ht="15" customHeight="1">
      <c r="B38" s="106"/>
      <c r="C38" s="105" t="s">
        <v>725</v>
      </c>
      <c r="D38" s="872"/>
      <c r="E38" s="158"/>
      <c r="F38" s="154"/>
      <c r="G38" s="12"/>
      <c r="I38" s="9"/>
      <c r="J38" s="9"/>
      <c r="K38" s="9"/>
      <c r="L38" s="9"/>
      <c r="M38" s="9"/>
    </row>
    <row r="39" spans="2:13" ht="15" customHeight="1">
      <c r="B39" s="106"/>
      <c r="C39" s="105" t="s">
        <v>726</v>
      </c>
      <c r="D39" s="872"/>
      <c r="E39" s="158"/>
      <c r="F39" s="154"/>
      <c r="G39" s="159"/>
      <c r="I39" s="9"/>
      <c r="J39" s="9"/>
      <c r="K39" s="9"/>
      <c r="L39" s="9"/>
      <c r="M39" s="9"/>
    </row>
    <row r="40" spans="2:13" ht="15" customHeight="1">
      <c r="B40" s="106"/>
      <c r="C40" s="105" t="s">
        <v>727</v>
      </c>
      <c r="D40" s="872"/>
      <c r="E40" s="158"/>
      <c r="F40" s="154"/>
      <c r="G40" s="159"/>
      <c r="I40" s="9"/>
      <c r="J40" s="9"/>
      <c r="K40" s="9"/>
      <c r="L40" s="9"/>
      <c r="M40" s="9"/>
    </row>
    <row r="41" spans="2:13" ht="15" customHeight="1">
      <c r="B41" s="106"/>
      <c r="C41" s="105" t="s">
        <v>728</v>
      </c>
      <c r="D41" s="161">
        <f>MAX(D37:D40)</f>
        <v>0</v>
      </c>
      <c r="E41" s="158">
        <f>IF(D41=0,0,ROUND(Sliding_Scale(D41,35,60,4,0),Round))</f>
        <v>0</v>
      </c>
      <c r="F41" s="154"/>
      <c r="G41" s="159"/>
      <c r="I41" s="9"/>
      <c r="J41" s="9"/>
      <c r="K41" s="9"/>
      <c r="L41" s="9"/>
      <c r="M41" s="9"/>
    </row>
    <row r="42" spans="2:13" ht="15" customHeight="1">
      <c r="B42" s="106"/>
      <c r="C42" s="678" t="s">
        <v>2476</v>
      </c>
      <c r="D42" s="866"/>
      <c r="E42" s="464"/>
      <c r="F42" s="154"/>
      <c r="G42" s="159"/>
      <c r="I42" s="9"/>
      <c r="J42" s="9"/>
      <c r="K42" s="9"/>
      <c r="L42" s="9"/>
      <c r="M42" s="9"/>
    </row>
    <row r="43" spans="2:13" ht="15" customHeight="1">
      <c r="B43" s="106"/>
      <c r="C43" s="678" t="s">
        <v>2477</v>
      </c>
      <c r="D43" s="865"/>
      <c r="E43" s="464"/>
      <c r="F43" s="154"/>
      <c r="G43" s="159"/>
      <c r="I43" s="9"/>
      <c r="J43" s="9"/>
      <c r="K43" s="9"/>
      <c r="L43" s="9"/>
      <c r="M43" s="9"/>
    </row>
    <row r="44" spans="2:13" ht="15" customHeight="1">
      <c r="B44" s="106"/>
      <c r="C44" s="46" t="s">
        <v>60</v>
      </c>
      <c r="D44" s="161"/>
      <c r="E44" s="158"/>
      <c r="F44" s="872"/>
      <c r="G44" s="12">
        <f>ROUND(Sliding_Scale(F44,22,42,4,0),Round)</f>
        <v>0</v>
      </c>
      <c r="I44" s="9"/>
      <c r="J44" s="9"/>
      <c r="K44" s="9"/>
      <c r="L44" s="9"/>
      <c r="M44" s="9"/>
    </row>
    <row r="45" spans="2:13" ht="15" customHeight="1">
      <c r="B45" s="106"/>
      <c r="C45" s="46" t="s">
        <v>48</v>
      </c>
      <c r="D45" s="161"/>
      <c r="E45" s="158"/>
      <c r="F45" s="872"/>
      <c r="G45" s="12">
        <f>ROUND(Sliding_Scale(F45,0.5,1,4,0),Round)</f>
        <v>0</v>
      </c>
      <c r="I45" s="9"/>
      <c r="J45" s="9"/>
      <c r="K45" s="9"/>
      <c r="L45" s="9"/>
      <c r="M45" s="9"/>
    </row>
    <row r="46" spans="2:13" ht="15" customHeight="1">
      <c r="B46" s="106"/>
      <c r="C46" s="424" t="s">
        <v>88</v>
      </c>
      <c r="D46" s="866"/>
      <c r="E46" s="158">
        <f>IF(D46&gt;6,-2,0)</f>
        <v>0</v>
      </c>
      <c r="F46" s="867"/>
      <c r="G46" s="159">
        <f>IF(F46&gt;6,-2,0)</f>
        <v>0</v>
      </c>
    </row>
    <row r="47" spans="2:13" ht="15" customHeight="1">
      <c r="B47" s="106"/>
      <c r="C47" s="105" t="s">
        <v>106</v>
      </c>
      <c r="D47" s="868"/>
      <c r="E47" s="158">
        <f>D47</f>
        <v>0</v>
      </c>
      <c r="F47" s="869"/>
      <c r="G47" s="159">
        <f>F47</f>
        <v>0</v>
      </c>
    </row>
    <row r="48" spans="2:13" ht="15" customHeight="1">
      <c r="B48" s="106"/>
      <c r="C48" s="105" t="s">
        <v>83</v>
      </c>
      <c r="D48" s="868"/>
      <c r="E48" s="158">
        <f>D48</f>
        <v>0</v>
      </c>
      <c r="F48" s="154"/>
      <c r="G48" s="159"/>
    </row>
    <row r="49" spans="2:7" ht="15" customHeight="1">
      <c r="B49" s="106"/>
      <c r="C49" s="105" t="s">
        <v>89</v>
      </c>
      <c r="D49" s="865"/>
      <c r="E49" s="38">
        <f>ROUND(Modifier_Sliding_Scale(D49,100,200,-2,0),Round)</f>
        <v>0</v>
      </c>
      <c r="F49" s="154"/>
      <c r="G49" s="159"/>
    </row>
    <row r="50" spans="2:7" ht="15" customHeight="1" thickBot="1">
      <c r="B50" s="170"/>
      <c r="C50" s="108" t="s">
        <v>84</v>
      </c>
      <c r="D50" s="873"/>
      <c r="E50" s="241">
        <f>D50</f>
        <v>0</v>
      </c>
      <c r="F50" s="154"/>
      <c r="G50" s="159"/>
    </row>
    <row r="51" spans="2:7" ht="15" customHeight="1" thickBot="1">
      <c r="B51" s="1382" t="s">
        <v>51</v>
      </c>
      <c r="C51" s="1383"/>
      <c r="D51" s="465"/>
      <c r="E51" s="466">
        <f>MAX(E41+SUM(E46:E50),0)</f>
        <v>0</v>
      </c>
      <c r="F51" s="467"/>
      <c r="G51" s="468">
        <f>MAX(MIN(G44:G45)+SUM(G46:G47),0)</f>
        <v>0</v>
      </c>
    </row>
    <row r="52" spans="2:7" ht="15" customHeight="1">
      <c r="B52" s="164" t="s">
        <v>80</v>
      </c>
      <c r="C52" s="165"/>
      <c r="D52" s="166"/>
      <c r="E52" s="469"/>
      <c r="F52" s="452"/>
      <c r="G52" s="453"/>
    </row>
    <row r="53" spans="2:7" ht="15" customHeight="1">
      <c r="B53" s="106"/>
      <c r="C53" s="105" t="s">
        <v>729</v>
      </c>
      <c r="D53" s="874"/>
      <c r="E53" s="158">
        <f>IF(D53="",0,IF(D53&gt;=88,0,4))</f>
        <v>0</v>
      </c>
      <c r="F53" s="452"/>
      <c r="G53" s="453"/>
    </row>
    <row r="54" spans="2:7" ht="15" customHeight="1" thickBot="1">
      <c r="B54" s="106"/>
      <c r="C54" s="105" t="s">
        <v>730</v>
      </c>
      <c r="D54" s="874"/>
      <c r="E54" s="241">
        <f>IF(D54="",0,IF(D54&gt;=88,0,4))</f>
        <v>0</v>
      </c>
      <c r="F54" s="452"/>
      <c r="G54" s="453"/>
    </row>
    <row r="55" spans="2:7" ht="15" customHeight="1" thickBot="1">
      <c r="B55" s="450" t="s">
        <v>52</v>
      </c>
      <c r="C55" s="451"/>
      <c r="D55" s="461"/>
      <c r="E55" s="428">
        <f>MIN(E53:E54)</f>
        <v>0</v>
      </c>
      <c r="F55" s="1398"/>
      <c r="G55" s="1399"/>
    </row>
    <row r="56" spans="2:7" ht="15" customHeight="1" thickBot="1">
      <c r="B56" s="99"/>
      <c r="C56" s="462"/>
      <c r="D56" s="465"/>
      <c r="E56" s="244"/>
      <c r="F56" s="97"/>
      <c r="G56" s="463"/>
    </row>
    <row r="57" spans="2:7" ht="15" customHeight="1" thickBot="1">
      <c r="B57" s="1358" t="s">
        <v>731</v>
      </c>
      <c r="C57" s="1359"/>
      <c r="D57" s="1384">
        <f>MIN(E51:E54)</f>
        <v>0</v>
      </c>
      <c r="E57" s="1385"/>
      <c r="F57" s="1386">
        <f>G51</f>
        <v>0</v>
      </c>
      <c r="G57" s="1381"/>
    </row>
    <row r="58" spans="2:7" ht="15" customHeight="1" thickBot="1"/>
    <row r="59" spans="2:7" ht="15" customHeight="1">
      <c r="B59" s="164" t="s">
        <v>61</v>
      </c>
      <c r="C59" s="173"/>
      <c r="D59" s="166"/>
      <c r="E59" s="240"/>
      <c r="F59" s="173"/>
      <c r="G59" s="169"/>
    </row>
    <row r="60" spans="2:7" ht="15" customHeight="1">
      <c r="B60" s="106"/>
      <c r="C60" s="104" t="s">
        <v>69</v>
      </c>
      <c r="D60" s="1006"/>
      <c r="E60" s="38">
        <f>ROUND(Sliding_Scale(D60,6,15,4,0),Round)</f>
        <v>0</v>
      </c>
      <c r="F60" s="1007"/>
      <c r="G60" s="12">
        <f>ROUND(Sliding_Scale(F60,6,15,4,0),Round)</f>
        <v>0</v>
      </c>
    </row>
    <row r="61" spans="2:7" ht="15" customHeight="1">
      <c r="B61" s="106"/>
      <c r="C61" s="104" t="s">
        <v>70</v>
      </c>
      <c r="D61" s="1006"/>
      <c r="E61" s="38">
        <f>ROUND(Sliding_Scale(D61,3.8,IF(D62&lt;11,9.07-1.51*D62/10,7.56),4,0),Round)</f>
        <v>0</v>
      </c>
      <c r="F61" s="1007"/>
      <c r="G61" s="12">
        <f>ROUND(Sliding_Scale(F61,3.8,IF(F62&lt;11,9.07-1.51*F62/10,7.56),4,0),Round)</f>
        <v>0</v>
      </c>
    </row>
    <row r="62" spans="2:7" ht="15" customHeight="1">
      <c r="B62" s="106"/>
      <c r="C62" s="254" t="s">
        <v>56</v>
      </c>
      <c r="D62" s="1006"/>
      <c r="E62" s="38"/>
      <c r="F62" s="1007"/>
      <c r="G62" s="12"/>
    </row>
    <row r="63" spans="2:7" ht="15" customHeight="1">
      <c r="B63" s="106"/>
      <c r="C63" s="104" t="s">
        <v>85</v>
      </c>
      <c r="D63" s="875"/>
      <c r="E63" s="38">
        <f>D63</f>
        <v>0</v>
      </c>
      <c r="F63" s="876"/>
      <c r="G63" s="12">
        <f>F63</f>
        <v>0</v>
      </c>
    </row>
    <row r="64" spans="2:7" ht="15" customHeight="1">
      <c r="B64" s="106"/>
      <c r="C64" s="104" t="s">
        <v>86</v>
      </c>
      <c r="D64" s="875"/>
      <c r="E64" s="38">
        <f>D64</f>
        <v>0</v>
      </c>
      <c r="F64" s="876"/>
      <c r="G64" s="12">
        <f>F64</f>
        <v>0</v>
      </c>
    </row>
    <row r="65" spans="2:17" ht="15" customHeight="1" thickBot="1">
      <c r="B65" s="106"/>
      <c r="C65" s="104" t="s">
        <v>106</v>
      </c>
      <c r="D65" s="875"/>
      <c r="E65" s="38">
        <f>D65</f>
        <v>0</v>
      </c>
      <c r="F65" s="876"/>
      <c r="G65" s="12">
        <f>F65</f>
        <v>0</v>
      </c>
    </row>
    <row r="66" spans="2:17" ht="15" customHeight="1" thickBot="1">
      <c r="B66" s="450" t="s">
        <v>732</v>
      </c>
      <c r="C66" s="451"/>
      <c r="D66" s="457"/>
      <c r="E66" s="426">
        <f>MAX(MIN(E60:E61)+SUM(E63:E65),0)</f>
        <v>0</v>
      </c>
      <c r="F66" s="458"/>
      <c r="G66" s="21">
        <f>MAX(MIN(G60:G61)+SUM(G63:G65),0)</f>
        <v>0</v>
      </c>
    </row>
    <row r="67" spans="2:17" ht="15" customHeight="1">
      <c r="B67" s="106"/>
      <c r="C67" s="104" t="s">
        <v>71</v>
      </c>
      <c r="D67" s="1006"/>
      <c r="E67" s="38">
        <f>ROUND(Sliding_Scale(D67,6,15,4,0),Round)</f>
        <v>0</v>
      </c>
      <c r="F67" s="1007"/>
      <c r="G67" s="12">
        <f>ROUND(Sliding_Scale(F67,6,15,4,0),Round)</f>
        <v>0</v>
      </c>
    </row>
    <row r="68" spans="2:17" ht="15" customHeight="1">
      <c r="B68" s="106"/>
      <c r="C68" s="104" t="s">
        <v>72</v>
      </c>
      <c r="D68" s="1006"/>
      <c r="E68" s="38">
        <f>ROUND(Sliding_Scale(D68,3.8,IF(D69&lt;11,9.07-1.51*D69/10,7.56),4,0),Round)</f>
        <v>0</v>
      </c>
      <c r="F68" s="1007"/>
      <c r="G68" s="12">
        <f>ROUND(Sliding_Scale(F68,3.8,IF(F69&lt;11,9.07-1.51*F69/10,7.56),4,0),Round)</f>
        <v>0</v>
      </c>
    </row>
    <row r="69" spans="2:17" ht="15" customHeight="1">
      <c r="B69" s="106"/>
      <c r="C69" s="254" t="s">
        <v>56</v>
      </c>
      <c r="D69" s="1006"/>
      <c r="E69" s="38"/>
      <c r="F69" s="1007"/>
      <c r="G69" s="12"/>
    </row>
    <row r="70" spans="2:17" ht="15" customHeight="1">
      <c r="B70" s="106"/>
      <c r="C70" s="104" t="s">
        <v>85</v>
      </c>
      <c r="D70" s="875"/>
      <c r="E70" s="38">
        <f>D70</f>
        <v>0</v>
      </c>
      <c r="F70" s="876"/>
      <c r="G70" s="12">
        <f>F70</f>
        <v>0</v>
      </c>
    </row>
    <row r="71" spans="2:17" ht="15" customHeight="1">
      <c r="B71" s="106"/>
      <c r="C71" s="104" t="s">
        <v>86</v>
      </c>
      <c r="D71" s="875"/>
      <c r="E71" s="38">
        <f>D71</f>
        <v>0</v>
      </c>
      <c r="F71" s="876"/>
      <c r="G71" s="12">
        <f>F71</f>
        <v>0</v>
      </c>
    </row>
    <row r="72" spans="2:17" ht="15" customHeight="1" thickBot="1">
      <c r="B72" s="106"/>
      <c r="C72" s="104" t="s">
        <v>106</v>
      </c>
      <c r="D72" s="875"/>
      <c r="E72" s="58">
        <f>D72</f>
        <v>0</v>
      </c>
      <c r="F72" s="876"/>
      <c r="G72" s="12">
        <f>F72</f>
        <v>0</v>
      </c>
    </row>
    <row r="73" spans="2:17" ht="15" customHeight="1" thickBot="1">
      <c r="B73" s="450" t="s">
        <v>733</v>
      </c>
      <c r="C73" s="451"/>
      <c r="D73" s="457"/>
      <c r="E73" s="426">
        <f>MAX(MIN(E67:E68)+SUM(E70:E72),0)</f>
        <v>0</v>
      </c>
      <c r="F73" s="458"/>
      <c r="G73" s="21">
        <f>MAX(MIN(G67:G68)+SUM(G70:G72),0)</f>
        <v>0</v>
      </c>
    </row>
    <row r="74" spans="2:17" ht="15" customHeight="1">
      <c r="B74" s="166"/>
      <c r="C74" s="165" t="s">
        <v>734</v>
      </c>
      <c r="D74" s="1008"/>
      <c r="E74" s="55">
        <f>ROUND(Sliding_Scale(D74,3.28,4.1,4,0),Round)</f>
        <v>0</v>
      </c>
      <c r="F74" s="173"/>
      <c r="G74" s="169"/>
      <c r="H74" s="9"/>
      <c r="I74" s="9"/>
      <c r="J74" s="9"/>
      <c r="K74" s="9"/>
      <c r="L74" s="9"/>
      <c r="M74" s="9"/>
      <c r="N74" s="9"/>
      <c r="O74" s="9"/>
      <c r="P74" s="9"/>
      <c r="Q74" s="9"/>
    </row>
    <row r="75" spans="2:17" ht="15" customHeight="1">
      <c r="B75" s="106"/>
      <c r="C75" s="105" t="s">
        <v>735</v>
      </c>
      <c r="D75" s="1009"/>
      <c r="E75" s="38">
        <f>ROUND(Sliding_Scale(D75,3.28,4.1,4,0),Round)</f>
        <v>0</v>
      </c>
      <c r="F75" s="9"/>
      <c r="G75" s="46"/>
      <c r="H75" s="9"/>
      <c r="I75" s="829"/>
      <c r="J75" s="9"/>
      <c r="K75" s="9"/>
      <c r="L75" s="9"/>
      <c r="M75" s="9"/>
      <c r="N75" s="9"/>
      <c r="O75" s="9"/>
      <c r="P75" s="9"/>
      <c r="Q75" s="9"/>
    </row>
    <row r="76" spans="2:17" ht="15" customHeight="1" thickBot="1">
      <c r="B76" s="106"/>
      <c r="C76" s="105" t="s">
        <v>2676</v>
      </c>
      <c r="D76" s="1172"/>
      <c r="E76" s="1038">
        <f>IF(D76="Yes",-4,0)</f>
        <v>0</v>
      </c>
      <c r="F76" s="9"/>
      <c r="G76" s="49"/>
      <c r="H76" s="9"/>
      <c r="I76" s="9"/>
      <c r="J76" s="9"/>
      <c r="K76" s="9"/>
      <c r="L76" s="9"/>
      <c r="M76" s="9"/>
      <c r="N76" s="9"/>
      <c r="O76" s="9"/>
      <c r="P76" s="9"/>
      <c r="Q76" s="9"/>
    </row>
    <row r="77" spans="2:17" ht="15" customHeight="1" thickBot="1">
      <c r="B77" s="448" t="s">
        <v>53</v>
      </c>
      <c r="C77" s="449"/>
      <c r="D77" s="248"/>
      <c r="E77" s="773">
        <f>MAX(0,MIN(E74:E75)+E76)</f>
        <v>0</v>
      </c>
      <c r="F77" s="28"/>
      <c r="G77" s="43"/>
      <c r="H77" s="9"/>
      <c r="I77" s="9"/>
      <c r="J77" s="9"/>
      <c r="K77" s="629"/>
      <c r="L77" s="9"/>
      <c r="M77" s="9"/>
      <c r="N77" s="9"/>
      <c r="O77" s="9"/>
      <c r="P77" s="9"/>
      <c r="Q77" s="9"/>
    </row>
    <row r="78" spans="2:17" ht="15" customHeight="1" thickBot="1">
      <c r="B78" s="438"/>
      <c r="G78" s="470"/>
      <c r="H78" s="9"/>
      <c r="I78" s="9"/>
      <c r="J78" s="9"/>
      <c r="K78" s="9"/>
      <c r="L78" s="9"/>
      <c r="M78" s="9"/>
      <c r="N78" s="9"/>
      <c r="O78" s="9"/>
      <c r="P78" s="9"/>
      <c r="Q78" s="9"/>
    </row>
    <row r="79" spans="2:17" ht="15" customHeight="1" thickBot="1">
      <c r="B79" s="1387" t="s">
        <v>29</v>
      </c>
      <c r="C79" s="1388"/>
      <c r="D79" s="1389">
        <f>MIN(E66,E73,E77)</f>
        <v>0</v>
      </c>
      <c r="E79" s="1390"/>
      <c r="F79" s="1391">
        <f>MIN(G66,G73)</f>
        <v>0</v>
      </c>
      <c r="G79" s="1392"/>
      <c r="H79" s="9"/>
      <c r="I79" s="9"/>
      <c r="J79" s="9"/>
      <c r="K79" s="9"/>
      <c r="L79" s="9"/>
      <c r="M79" s="9"/>
      <c r="N79" s="9"/>
      <c r="O79" s="9"/>
      <c r="P79" s="9"/>
      <c r="Q79" s="9"/>
    </row>
    <row r="80" spans="2:17" ht="15" customHeight="1" thickBot="1"/>
    <row r="81" spans="2:7" ht="15" customHeight="1">
      <c r="B81" s="16" t="s">
        <v>73</v>
      </c>
      <c r="C81" s="17"/>
      <c r="D81" s="18"/>
      <c r="E81" s="55"/>
      <c r="F81" s="17"/>
      <c r="G81" s="19"/>
    </row>
    <row r="82" spans="2:7" ht="15" customHeight="1">
      <c r="B82" s="10"/>
      <c r="C82" s="9" t="s">
        <v>30</v>
      </c>
      <c r="D82" s="877"/>
      <c r="E82" s="38">
        <f>ROUND(Sliding_Scale(D82,2,8,4,0),Round)</f>
        <v>0</v>
      </c>
      <c r="F82" s="872"/>
      <c r="G82" s="12">
        <f>ROUND(Sliding_Scale(F82,2,8,4,0),Round)</f>
        <v>0</v>
      </c>
    </row>
    <row r="83" spans="2:7" ht="15" customHeight="1">
      <c r="B83" s="10"/>
      <c r="C83" s="9" t="s">
        <v>74</v>
      </c>
      <c r="D83" s="877"/>
      <c r="E83" s="38">
        <f>ROUND(Sliding_Scale(D83,0.4,1.3,4,0),Round)</f>
        <v>0</v>
      </c>
      <c r="F83" s="872"/>
      <c r="G83" s="12">
        <f>ROUND(Sliding_Scale(F83,0.4,1.3,4,0),Round)</f>
        <v>0</v>
      </c>
    </row>
    <row r="84" spans="2:7" ht="15" customHeight="1">
      <c r="B84" s="10"/>
      <c r="C84" s="9" t="s">
        <v>75</v>
      </c>
      <c r="D84" s="877"/>
      <c r="E84" s="38">
        <f>ROUND(Sliding_Scale(D84,0.4,1.3,4,0),Round)</f>
        <v>0</v>
      </c>
      <c r="F84" s="872"/>
      <c r="G84" s="12">
        <f>ROUND(Sliding_Scale(F84,0.4,1.3,4,0),Round)</f>
        <v>0</v>
      </c>
    </row>
    <row r="85" spans="2:7" ht="15" customHeight="1">
      <c r="B85" s="10"/>
      <c r="C85" s="9" t="s">
        <v>97</v>
      </c>
      <c r="D85" s="553">
        <f>MAX(D86:D88)</f>
        <v>0</v>
      </c>
      <c r="E85" s="38">
        <f>ROUND(Modifier_Sliding_Scale(D85,72,88,-1,0),Round)</f>
        <v>0</v>
      </c>
      <c r="F85" s="9"/>
      <c r="G85" s="46"/>
    </row>
    <row r="86" spans="2:7" ht="15" customHeight="1">
      <c r="B86" s="10"/>
      <c r="C86" s="24" t="s">
        <v>91</v>
      </c>
      <c r="D86" s="905"/>
      <c r="E86" s="92" t="str">
        <f>IF(D86="N/A","",IF(D86&gt;0,"upward",IF(D86&lt;0,"downward","")))</f>
        <v/>
      </c>
      <c r="F86" s="471" t="s">
        <v>184</v>
      </c>
      <c r="G86" s="46"/>
    </row>
    <row r="87" spans="2:7" ht="15" customHeight="1">
      <c r="B87" s="10"/>
      <c r="C87" s="24" t="s">
        <v>93</v>
      </c>
      <c r="D87" s="879"/>
      <c r="E87" s="92" t="str">
        <f>IF(D87="N/A","",IF(D87&gt;0,"upward",IF(D87&lt;0,"downward","")))</f>
        <v/>
      </c>
      <c r="F87" s="471" t="s">
        <v>185</v>
      </c>
      <c r="G87" s="46"/>
    </row>
    <row r="88" spans="2:7" ht="15" customHeight="1" thickBot="1">
      <c r="B88" s="10"/>
      <c r="C88" s="24" t="s">
        <v>95</v>
      </c>
      <c r="D88" s="878"/>
      <c r="E88" s="93" t="str">
        <f>IF(D88="N/A","",IF(D88&gt;0,"upward",IF(D88&lt;0,"downward","")))</f>
        <v/>
      </c>
      <c r="F88" s="472" t="s">
        <v>186</v>
      </c>
      <c r="G88" s="46"/>
    </row>
    <row r="89" spans="2:7" ht="15" customHeight="1" thickBot="1">
      <c r="B89" s="1393" t="s">
        <v>31</v>
      </c>
      <c r="C89" s="1394"/>
      <c r="D89" s="248"/>
      <c r="E89" s="428">
        <f>MAX(MIN(E82:E84)+E85,0)</f>
        <v>0</v>
      </c>
      <c r="F89" s="249"/>
      <c r="G89" s="47">
        <f>MIN(G82:G84)</f>
        <v>0</v>
      </c>
    </row>
    <row r="90" spans="2:7" ht="15" customHeight="1">
      <c r="B90" s="10"/>
      <c r="C90" s="9"/>
      <c r="D90" s="10"/>
      <c r="E90" s="38"/>
      <c r="F90" s="9"/>
      <c r="G90" s="12"/>
    </row>
    <row r="91" spans="2:7" ht="15" customHeight="1">
      <c r="B91" s="10"/>
      <c r="C91" s="9" t="s">
        <v>32</v>
      </c>
      <c r="D91" s="877"/>
      <c r="E91" s="38">
        <f>ROUND(Sliding_Scale(D91,2,8,4,0),Round)</f>
        <v>0</v>
      </c>
      <c r="F91" s="872"/>
      <c r="G91" s="12">
        <f>ROUND(Sliding_Scale(F91,2,8,4,0),Round)</f>
        <v>0</v>
      </c>
    </row>
    <row r="92" spans="2:7" ht="15" customHeight="1">
      <c r="B92" s="10"/>
      <c r="C92" s="9" t="s">
        <v>76</v>
      </c>
      <c r="D92" s="877"/>
      <c r="E92" s="38">
        <f>ROUND(Sliding_Scale(D92,0.4,1.3,4,0),Round)</f>
        <v>0</v>
      </c>
      <c r="F92" s="872"/>
      <c r="G92" s="12">
        <f>ROUND(Sliding_Scale(F92,0.4,1.3,4,0),Round)</f>
        <v>0</v>
      </c>
    </row>
    <row r="93" spans="2:7" ht="15" customHeight="1">
      <c r="B93" s="10"/>
      <c r="C93" s="9" t="s">
        <v>77</v>
      </c>
      <c r="D93" s="877"/>
      <c r="E93" s="38">
        <f>ROUND(Sliding_Scale(D93,0.4,1.3,4,0),Round)</f>
        <v>0</v>
      </c>
      <c r="F93" s="872"/>
      <c r="G93" s="12">
        <f>ROUND(Sliding_Scale(F93,0.4,1.3,4,0),Round)</f>
        <v>0</v>
      </c>
    </row>
    <row r="94" spans="2:7" ht="15" customHeight="1">
      <c r="B94" s="10"/>
      <c r="C94" s="9" t="s">
        <v>97</v>
      </c>
      <c r="D94" s="553">
        <f>D85</f>
        <v>0</v>
      </c>
      <c r="E94" s="38">
        <f>E85</f>
        <v>0</v>
      </c>
      <c r="F94" s="9"/>
      <c r="G94" s="46"/>
    </row>
    <row r="95" spans="2:7" ht="15" customHeight="1">
      <c r="B95" s="10"/>
      <c r="C95" s="24" t="s">
        <v>91</v>
      </c>
      <c r="D95" s="61" t="str">
        <f>IF(D86="","",D86)</f>
        <v/>
      </c>
      <c r="E95" s="92" t="str">
        <f>E86</f>
        <v/>
      </c>
      <c r="F95" s="9"/>
      <c r="G95" s="46"/>
    </row>
    <row r="96" spans="2:7" ht="15" customHeight="1">
      <c r="B96" s="10"/>
      <c r="C96" s="24" t="s">
        <v>93</v>
      </c>
      <c r="D96" s="10" t="str">
        <f>IF(D87="","",D87)</f>
        <v/>
      </c>
      <c r="E96" s="92" t="str">
        <f>E87</f>
        <v/>
      </c>
      <c r="F96" s="9"/>
      <c r="G96" s="46"/>
    </row>
    <row r="97" spans="2:22" ht="15" customHeight="1" thickBot="1">
      <c r="B97" s="31"/>
      <c r="C97" s="24" t="s">
        <v>95</v>
      </c>
      <c r="D97" s="10" t="str">
        <f>IF(D88="","",D88)</f>
        <v/>
      </c>
      <c r="E97" s="93" t="str">
        <f>E88</f>
        <v/>
      </c>
      <c r="F97" s="9"/>
      <c r="G97" s="46"/>
    </row>
    <row r="98" spans="2:22" ht="15" customHeight="1" thickBot="1">
      <c r="B98" s="1393" t="s">
        <v>33</v>
      </c>
      <c r="C98" s="1394"/>
      <c r="D98" s="248"/>
      <c r="E98" s="428">
        <f>MAX(MIN(E91:E93)+E94,0)</f>
        <v>0</v>
      </c>
      <c r="F98" s="249"/>
      <c r="G98" s="48">
        <f>MIN(G91:G93)</f>
        <v>0</v>
      </c>
      <c r="H98" s="377"/>
      <c r="V98" s="39"/>
    </row>
    <row r="99" spans="2:22" ht="15" customHeight="1">
      <c r="B99" s="10"/>
      <c r="C99" s="9"/>
      <c r="D99" s="10"/>
      <c r="E99" s="38"/>
      <c r="F99" s="17"/>
      <c r="G99" s="19"/>
    </row>
    <row r="100" spans="2:22" ht="15" customHeight="1">
      <c r="B100" s="8" t="s">
        <v>78</v>
      </c>
      <c r="C100" s="9"/>
      <c r="D100" s="10"/>
      <c r="E100" s="38"/>
      <c r="F100" s="9"/>
      <c r="G100" s="12"/>
    </row>
    <row r="101" spans="2:22" ht="15" customHeight="1">
      <c r="B101" s="10"/>
      <c r="C101" s="9" t="s">
        <v>96</v>
      </c>
      <c r="D101" s="10">
        <f>MAX(D102:D104)</f>
        <v>0</v>
      </c>
      <c r="E101" s="38">
        <f>IF(COUNTIF(D102:D104,"")=3,0,ROUND(Sliding_Scale(D101,100,200,4,0),Round))</f>
        <v>0</v>
      </c>
      <c r="F101" s="9"/>
      <c r="G101" s="46"/>
    </row>
    <row r="102" spans="2:22" ht="15" customHeight="1">
      <c r="B102" s="10"/>
      <c r="C102" s="24" t="s">
        <v>92</v>
      </c>
      <c r="D102" s="878"/>
      <c r="E102" s="92" t="str">
        <f>IF(D102="N/A","",IF(D102&gt;0,"rearward",IF(D102&lt;0,"forward","")))</f>
        <v/>
      </c>
      <c r="F102" s="471" t="s">
        <v>184</v>
      </c>
      <c r="G102" s="46"/>
    </row>
    <row r="103" spans="2:22" ht="15" customHeight="1">
      <c r="B103" s="10"/>
      <c r="C103" s="24" t="s">
        <v>94</v>
      </c>
      <c r="D103" s="879"/>
      <c r="E103" s="92" t="str">
        <f>IF(D103="N/A","",IF(D103&gt;0,"rearward",IF(D103&lt;0,"forward","")))</f>
        <v/>
      </c>
      <c r="F103" s="471" t="s">
        <v>185</v>
      </c>
      <c r="G103" s="46"/>
    </row>
    <row r="104" spans="2:22" ht="15" customHeight="1">
      <c r="B104" s="10"/>
      <c r="C104" s="24" t="s">
        <v>41</v>
      </c>
      <c r="D104" s="878"/>
      <c r="E104" s="92" t="str">
        <f>IF(D104="N/A","",IF(D104&gt;0,"rearward",IF(D104&lt;0,"forward","")))</f>
        <v/>
      </c>
      <c r="F104" s="471" t="s">
        <v>186</v>
      </c>
      <c r="G104" s="46"/>
    </row>
    <row r="105" spans="2:22" ht="15" customHeight="1">
      <c r="B105" s="10"/>
      <c r="C105" s="9" t="s">
        <v>34</v>
      </c>
      <c r="D105" s="1037"/>
      <c r="E105" s="535">
        <f>D105</f>
        <v>0</v>
      </c>
      <c r="F105" s="9"/>
      <c r="G105" s="46"/>
      <c r="H105" s="378"/>
    </row>
    <row r="106" spans="2:22" ht="15" customHeight="1" thickBot="1">
      <c r="B106" s="31"/>
      <c r="C106" s="42" t="s">
        <v>50</v>
      </c>
      <c r="D106" s="878"/>
      <c r="E106" s="38">
        <f>ROUND(Sliding_Scale(D106,50,175,0,-1),Round)</f>
        <v>0</v>
      </c>
      <c r="F106" s="9"/>
      <c r="G106" s="49"/>
    </row>
    <row r="107" spans="2:22" ht="15" customHeight="1" thickBot="1">
      <c r="B107" s="1393" t="s">
        <v>35</v>
      </c>
      <c r="C107" s="1394"/>
      <c r="D107" s="248"/>
      <c r="E107" s="428">
        <f>MAX(E101+E105+E106,0)</f>
        <v>0</v>
      </c>
      <c r="F107" s="28"/>
      <c r="G107" s="43"/>
    </row>
    <row r="108" spans="2:22" ht="15" customHeight="1" thickBot="1">
      <c r="B108" s="44"/>
      <c r="C108" s="26"/>
      <c r="E108" s="15"/>
      <c r="F108" s="25"/>
      <c r="G108" s="50"/>
    </row>
    <row r="109" spans="2:22" ht="15" customHeight="1" thickBot="1">
      <c r="B109" s="1395" t="s">
        <v>36</v>
      </c>
      <c r="C109" s="1396"/>
      <c r="D109" s="1397">
        <f>MIN(E89,E98,E107)</f>
        <v>0</v>
      </c>
      <c r="E109" s="1363"/>
      <c r="F109" s="1380">
        <f>MIN(G89,G98)</f>
        <v>0</v>
      </c>
      <c r="G109" s="1381"/>
    </row>
    <row r="110" spans="2:22" ht="13.5" thickBot="1"/>
    <row r="111" spans="2:22" ht="15.75" thickBot="1">
      <c r="B111" s="1395" t="s">
        <v>37</v>
      </c>
      <c r="C111" s="1403"/>
      <c r="D111" s="20"/>
      <c r="E111" s="427"/>
      <c r="F111" s="28"/>
      <c r="G111" s="29"/>
    </row>
    <row r="112" spans="2:22">
      <c r="B112" s="10"/>
      <c r="C112" s="30" t="s">
        <v>38</v>
      </c>
      <c r="D112" s="1404">
        <f>D34</f>
        <v>0</v>
      </c>
      <c r="E112" s="1405"/>
      <c r="F112" s="1406">
        <f>F34</f>
        <v>0</v>
      </c>
      <c r="G112" s="1405"/>
    </row>
    <row r="113" spans="2:13">
      <c r="B113" s="10"/>
      <c r="C113" s="30" t="s">
        <v>51</v>
      </c>
      <c r="D113" s="1407">
        <f>D57</f>
        <v>0</v>
      </c>
      <c r="E113" s="1408"/>
      <c r="F113" s="1409">
        <f>F57</f>
        <v>0</v>
      </c>
      <c r="G113" s="1408"/>
    </row>
    <row r="114" spans="2:13">
      <c r="B114" s="10"/>
      <c r="C114" s="30" t="s">
        <v>29</v>
      </c>
      <c r="D114" s="1410">
        <f>D79</f>
        <v>0</v>
      </c>
      <c r="E114" s="1411"/>
      <c r="F114" s="1412">
        <f>F79</f>
        <v>0</v>
      </c>
      <c r="G114" s="1411"/>
    </row>
    <row r="115" spans="2:13" ht="13.5" thickBot="1">
      <c r="B115" s="31"/>
      <c r="C115" s="32" t="s">
        <v>39</v>
      </c>
      <c r="D115" s="1413">
        <f>D109</f>
        <v>0</v>
      </c>
      <c r="E115" s="1414"/>
      <c r="F115" s="1415">
        <f>F109</f>
        <v>0</v>
      </c>
      <c r="G115" s="1414"/>
    </row>
    <row r="116" spans="2:13" ht="15.75" thickBot="1">
      <c r="B116" s="1395" t="s">
        <v>781</v>
      </c>
      <c r="C116" s="1396"/>
      <c r="D116" s="1416">
        <f>SUM(D112:E115)</f>
        <v>0</v>
      </c>
      <c r="E116" s="1417"/>
      <c r="F116" s="1418">
        <f>SUM(F112:G115)</f>
        <v>0</v>
      </c>
      <c r="G116" s="1419"/>
    </row>
    <row r="117" spans="2:13" ht="13.5" thickBot="1"/>
    <row r="118" spans="2:13" ht="15.75" thickBot="1">
      <c r="B118" s="1395" t="s">
        <v>54</v>
      </c>
      <c r="C118" s="1396"/>
      <c r="D118" s="1400">
        <v>0</v>
      </c>
      <c r="E118" s="1401"/>
      <c r="F118" s="1401"/>
      <c r="G118" s="1402"/>
    </row>
    <row r="119" spans="2:13" ht="13.5" thickBot="1"/>
    <row r="120" spans="2:13">
      <c r="B120" s="16" t="s">
        <v>736</v>
      </c>
      <c r="C120" s="34"/>
      <c r="D120" s="1425"/>
      <c r="E120" s="1426"/>
      <c r="F120" s="1426"/>
      <c r="G120" s="1427"/>
      <c r="H120" s="9"/>
      <c r="I120" s="9"/>
      <c r="J120" s="9"/>
      <c r="K120" s="9"/>
      <c r="L120" s="9"/>
      <c r="M120" s="9"/>
    </row>
    <row r="121" spans="2:13">
      <c r="B121" s="10"/>
      <c r="C121" s="46" t="s">
        <v>737</v>
      </c>
      <c r="D121" s="1004" t="str">
        <f>IF(COUNTIF(M148:M1547,"")&gt;0,"",STDEV(N148:N1547))</f>
        <v/>
      </c>
      <c r="E121" s="1428" t="str">
        <f>IF(COUNTIF(M148:M1547,"")&gt;0,"Enter X-deformation",((IF((8-2-2)*(25-D122)/(25-40)+2&lt;2,2,IF((8-2-2)*(25-D122)/(25-40)+2&gt;8-2,8-2,(8-2-2)*(25-D122)/(25-40)+2)))*-1)*(IF((1)*(50-D121)/(50-150)&lt;0,0,IF((1)*(50-D121)/(-100)+0&gt;1,1,(1)*(50-D121)/(-100)))))</f>
        <v>Enter X-deformation</v>
      </c>
      <c r="F121" s="1428"/>
      <c r="G121" s="1337"/>
      <c r="H121" s="9"/>
      <c r="I121" s="9"/>
      <c r="J121" s="9"/>
      <c r="K121" s="9"/>
      <c r="L121" s="9"/>
      <c r="M121" s="9"/>
    </row>
    <row r="122" spans="2:13">
      <c r="B122" s="10"/>
      <c r="C122" s="46" t="s">
        <v>2673</v>
      </c>
      <c r="D122" s="880"/>
      <c r="E122" s="1428">
        <f>ROUND(Sliding_Scale(D122,25,40,0,-2),Round)</f>
        <v>0</v>
      </c>
      <c r="F122" s="1428"/>
      <c r="G122" s="1337"/>
      <c r="H122" s="9"/>
      <c r="I122" s="9"/>
      <c r="J122" s="9"/>
      <c r="K122" s="9"/>
      <c r="L122" s="9"/>
      <c r="M122" s="9"/>
    </row>
    <row r="123" spans="2:13">
      <c r="B123" s="10"/>
      <c r="C123" s="46" t="s">
        <v>738</v>
      </c>
      <c r="D123" s="1171" t="str">
        <f>IF(COUNTIF(N148:N1547,"&gt;630")&gt;4,"Yes","No")</f>
        <v>No</v>
      </c>
      <c r="E123" s="1428">
        <f>IF(D123="Yes", -2,0)</f>
        <v>0</v>
      </c>
      <c r="F123" s="1428"/>
      <c r="G123" s="1337"/>
      <c r="H123" s="9"/>
      <c r="I123" s="829"/>
      <c r="J123" s="9"/>
      <c r="K123" s="9"/>
      <c r="L123" s="9"/>
      <c r="M123" s="9"/>
    </row>
    <row r="124" spans="2:13">
      <c r="B124" s="10"/>
      <c r="C124" s="46" t="s">
        <v>2674</v>
      </c>
      <c r="D124" s="880"/>
      <c r="E124" s="621"/>
      <c r="F124" s="621"/>
      <c r="G124" s="622"/>
      <c r="H124" s="829"/>
      <c r="I124" s="9"/>
      <c r="J124" s="9"/>
      <c r="K124" s="9"/>
      <c r="L124" s="9"/>
      <c r="M124" s="9"/>
    </row>
    <row r="125" spans="2:13">
      <c r="B125" s="10"/>
      <c r="C125" s="46" t="s">
        <v>2675</v>
      </c>
      <c r="D125" s="880"/>
      <c r="E125" s="621"/>
      <c r="F125" s="621"/>
      <c r="G125" s="622"/>
      <c r="H125" s="9"/>
      <c r="I125" s="9"/>
      <c r="J125" s="9"/>
      <c r="K125" s="9"/>
      <c r="L125" s="9"/>
      <c r="M125" s="9"/>
    </row>
    <row r="126" spans="2:13" ht="13.5" thickBot="1">
      <c r="B126" s="10"/>
      <c r="C126" s="46"/>
      <c r="D126" s="1429"/>
      <c r="E126" s="1430"/>
      <c r="F126" s="1430"/>
      <c r="G126" s="1431"/>
      <c r="H126" s="9"/>
      <c r="I126" s="9"/>
      <c r="J126" s="9"/>
      <c r="K126" s="9"/>
      <c r="L126" s="9"/>
      <c r="M126" s="9"/>
    </row>
    <row r="127" spans="2:13" ht="15.75" thickBot="1">
      <c r="B127" s="1395" t="s">
        <v>784</v>
      </c>
      <c r="C127" s="1403"/>
      <c r="D127" s="1432">
        <f>MAX(-8,SUM(E121:E123))</f>
        <v>0</v>
      </c>
      <c r="E127" s="1433"/>
      <c r="F127" s="1433"/>
      <c r="G127" s="1434"/>
      <c r="H127" s="9"/>
      <c r="I127" s="830"/>
      <c r="J127" s="9"/>
      <c r="K127" s="9"/>
      <c r="L127" s="9"/>
      <c r="M127" s="9"/>
    </row>
    <row r="128" spans="2:13" ht="13.5" thickBot="1">
      <c r="D128" s="1435" t="b">
        <f>IF(OR(D112=0,F112=0,D113=0,F113=0,'COP Dynamic'!E22=0,'COP Dynamic'!G22=0,'COP Dynamic'!E35=0,'COP Dynamic'!G31=0),TRUE,FALSE)</f>
        <v>1</v>
      </c>
      <c r="E128" s="1435"/>
      <c r="F128" s="1435"/>
      <c r="G128" s="1435"/>
      <c r="H128" s="9"/>
      <c r="I128" s="9"/>
      <c r="J128" s="629"/>
      <c r="K128" s="9"/>
      <c r="L128" s="9"/>
      <c r="M128" s="9"/>
    </row>
    <row r="129" spans="2:14" ht="21.75" thickBot="1">
      <c r="B129" s="1420" t="s">
        <v>739</v>
      </c>
      <c r="C129" s="1421"/>
      <c r="D129" s="1422">
        <f>MAX(IF(OR(E7=0,E8=0,E9=0,G7=0,G8=0,G9=0,E27=0,E31=0,E29=0,G27=0,G29=0,G31=0,E41=0,G44=0,G45=0),0,(MIN(D112,F112)+MIN(D113,F113)+MIN(D114,F114)+MIN(D115,F115)+D118+D127)/2),0)</f>
        <v>0</v>
      </c>
      <c r="E129" s="1423"/>
      <c r="F129" s="1423"/>
      <c r="G129" s="1424"/>
      <c r="H129" s="9"/>
      <c r="I129" s="9"/>
      <c r="J129" s="9"/>
      <c r="K129" s="9"/>
      <c r="L129" s="9"/>
      <c r="M129" s="9"/>
    </row>
    <row r="133" spans="2:14" ht="13.5" thickBot="1"/>
    <row r="134" spans="2:14" ht="16.5" thickBot="1">
      <c r="B134" s="1348" t="s">
        <v>390</v>
      </c>
      <c r="C134" s="1349"/>
      <c r="D134" s="1349"/>
      <c r="E134" s="1349"/>
      <c r="F134" s="1349"/>
      <c r="G134" s="1350"/>
      <c r="I134" s="1348" t="s">
        <v>1005</v>
      </c>
      <c r="J134" s="1349"/>
      <c r="K134" s="1349"/>
      <c r="L134" s="1349"/>
      <c r="M134" s="1349"/>
      <c r="N134" s="1350"/>
    </row>
    <row r="135" spans="2:14">
      <c r="B135" s="16" t="s">
        <v>363</v>
      </c>
      <c r="C135" s="34"/>
      <c r="D135" s="182"/>
      <c r="E135" s="60"/>
      <c r="F135" s="60"/>
      <c r="G135" s="33"/>
      <c r="I135" s="1351" t="s">
        <v>434</v>
      </c>
      <c r="J135" s="1352"/>
      <c r="K135" s="1352"/>
      <c r="L135" s="1353"/>
      <c r="M135" s="1354"/>
      <c r="N135" s="1335"/>
    </row>
    <row r="136" spans="2:14">
      <c r="B136" s="183" t="s">
        <v>387</v>
      </c>
      <c r="C136" s="184" t="s">
        <v>380</v>
      </c>
      <c r="D136" s="877"/>
      <c r="E136" s="881"/>
      <c r="F136" s="872"/>
      <c r="G136" s="533"/>
      <c r="I136" s="1355" t="s">
        <v>1006</v>
      </c>
      <c r="J136" s="1356"/>
      <c r="K136" s="1356"/>
      <c r="L136" s="1357"/>
      <c r="M136" s="1340"/>
      <c r="N136" s="1341"/>
    </row>
    <row r="137" spans="2:14">
      <c r="B137" s="183"/>
      <c r="C137" s="184" t="s">
        <v>381</v>
      </c>
      <c r="D137" s="877"/>
      <c r="E137" s="881"/>
      <c r="F137" s="872"/>
      <c r="G137" s="533"/>
      <c r="I137" s="1331" t="s">
        <v>1007</v>
      </c>
      <c r="J137" s="1332"/>
      <c r="K137" s="1332"/>
      <c r="L137" s="1333"/>
      <c r="M137" s="1340"/>
      <c r="N137" s="1341"/>
    </row>
    <row r="138" spans="2:14">
      <c r="B138" s="183" t="s">
        <v>388</v>
      </c>
      <c r="C138" s="184" t="s">
        <v>380</v>
      </c>
      <c r="D138" s="877"/>
      <c r="E138" s="881"/>
      <c r="F138" s="872"/>
      <c r="G138" s="533"/>
      <c r="I138" s="1342"/>
      <c r="J138" s="1343"/>
      <c r="K138" s="1343"/>
      <c r="L138" s="1344"/>
      <c r="M138" s="1338"/>
      <c r="N138" s="1339"/>
    </row>
    <row r="139" spans="2:14">
      <c r="B139" s="183"/>
      <c r="C139" s="184" t="s">
        <v>381</v>
      </c>
      <c r="D139" s="877"/>
      <c r="E139" s="881"/>
      <c r="F139" s="872"/>
      <c r="G139" s="533"/>
      <c r="I139" s="1345" t="s">
        <v>1008</v>
      </c>
      <c r="J139" s="1346"/>
      <c r="K139" s="1346"/>
      <c r="L139" s="1347"/>
      <c r="M139" s="1336"/>
      <c r="N139" s="1337"/>
    </row>
    <row r="140" spans="2:14">
      <c r="B140" s="183" t="s">
        <v>389</v>
      </c>
      <c r="C140" s="184" t="s">
        <v>380</v>
      </c>
      <c r="D140" s="877"/>
      <c r="E140" s="881"/>
      <c r="F140" s="872"/>
      <c r="G140" s="533"/>
      <c r="I140" s="1331" t="s">
        <v>1006</v>
      </c>
      <c r="J140" s="1332"/>
      <c r="K140" s="1332"/>
      <c r="L140" s="1333"/>
      <c r="M140" s="1336">
        <f>M136*0.45</f>
        <v>0</v>
      </c>
      <c r="N140" s="1337"/>
    </row>
    <row r="141" spans="2:14">
      <c r="B141" s="183"/>
      <c r="C141" s="184" t="s">
        <v>381</v>
      </c>
      <c r="D141" s="877"/>
      <c r="E141" s="881"/>
      <c r="F141" s="872"/>
      <c r="G141" s="533"/>
      <c r="I141" s="1331" t="s">
        <v>1009</v>
      </c>
      <c r="J141" s="1332"/>
      <c r="K141" s="1332"/>
      <c r="L141" s="1333"/>
      <c r="M141" s="1336">
        <f>FLOOR(M140/20,1)-10</f>
        <v>-10</v>
      </c>
      <c r="N141" s="1337"/>
    </row>
    <row r="142" spans="2:14" ht="13.5" thickBot="1">
      <c r="B142" s="183" t="s">
        <v>740</v>
      </c>
      <c r="C142" s="184" t="s">
        <v>380</v>
      </c>
      <c r="D142" s="877"/>
      <c r="E142" s="881"/>
      <c r="F142" s="872"/>
      <c r="G142" s="533"/>
      <c r="I142" s="1331"/>
      <c r="J142" s="1332"/>
      <c r="K142" s="1332"/>
      <c r="L142" s="1333"/>
      <c r="M142" s="1338"/>
      <c r="N142" s="1339"/>
    </row>
    <row r="143" spans="2:14">
      <c r="B143" s="183"/>
      <c r="C143" s="184" t="s">
        <v>381</v>
      </c>
      <c r="D143" s="877"/>
      <c r="E143" s="881"/>
      <c r="F143" s="872"/>
      <c r="G143" s="533"/>
      <c r="I143" s="1331" t="s">
        <v>1010</v>
      </c>
      <c r="J143" s="1332"/>
      <c r="K143" s="1332"/>
      <c r="L143" s="1333"/>
      <c r="M143" s="641">
        <f>IF(M137="RHD",11,50-10-M141+1)</f>
        <v>51</v>
      </c>
      <c r="N143" s="642">
        <f>M143+M141-1</f>
        <v>40</v>
      </c>
    </row>
    <row r="144" spans="2:14">
      <c r="B144" s="183" t="s">
        <v>741</v>
      </c>
      <c r="C144" s="184" t="s">
        <v>380</v>
      </c>
      <c r="D144" s="877"/>
      <c r="E144" s="881"/>
      <c r="F144" s="872"/>
      <c r="G144" s="533"/>
      <c r="I144" s="1331">
        <v>25</v>
      </c>
      <c r="J144" s="1332"/>
      <c r="K144" s="1332"/>
      <c r="L144" s="1333"/>
      <c r="M144" s="643" t="str">
        <f>CONCATENATE((I144-1)*20+10," , ",-(M143-1)*20-10)</f>
        <v>490 , -1010</v>
      </c>
      <c r="N144" s="644" t="str">
        <f>CONCATENATE((I144-1)*20+10," , ",-(N143-1)*20-10)</f>
        <v>490 , -790</v>
      </c>
    </row>
    <row r="145" spans="2:14" ht="13.5" thickBot="1">
      <c r="B145" s="183"/>
      <c r="C145" s="184" t="s">
        <v>381</v>
      </c>
      <c r="D145" s="877"/>
      <c r="E145" s="881"/>
      <c r="F145" s="872"/>
      <c r="G145" s="533"/>
      <c r="I145" s="1331">
        <v>6</v>
      </c>
      <c r="J145" s="1332"/>
      <c r="K145" s="1332"/>
      <c r="L145" s="1333"/>
      <c r="M145" s="645" t="str">
        <f>CONCATENATE((I145-1)*20+10," , ",-(M143-1)*20-10)</f>
        <v>110 , -1010</v>
      </c>
      <c r="N145" s="646" t="str">
        <f>CONCATENATE((I145-1)*20+10," , ",-(N143-1)*20-10)</f>
        <v>110 , -790</v>
      </c>
    </row>
    <row r="146" spans="2:14">
      <c r="B146" s="183" t="s">
        <v>742</v>
      </c>
      <c r="C146" s="184" t="s">
        <v>380</v>
      </c>
      <c r="D146" s="877"/>
      <c r="E146" s="881"/>
      <c r="F146" s="872"/>
      <c r="G146" s="533"/>
      <c r="I146" s="16" t="s">
        <v>1011</v>
      </c>
      <c r="J146" s="480"/>
      <c r="K146" s="480"/>
      <c r="L146" s="647"/>
      <c r="M146" s="1334" t="s">
        <v>1012</v>
      </c>
      <c r="N146" s="1335"/>
    </row>
    <row r="147" spans="2:14" ht="13.5" thickBot="1">
      <c r="B147" s="183"/>
      <c r="C147" s="184" t="s">
        <v>381</v>
      </c>
      <c r="D147" s="877"/>
      <c r="E147" s="881"/>
      <c r="F147" s="872"/>
      <c r="G147" s="533"/>
      <c r="I147" s="626" t="s">
        <v>1010</v>
      </c>
      <c r="J147" s="628"/>
      <c r="K147" s="628" t="s">
        <v>1013</v>
      </c>
      <c r="L147" s="627" t="s">
        <v>1014</v>
      </c>
      <c r="M147" s="630" t="s">
        <v>1015</v>
      </c>
      <c r="N147" s="625" t="s">
        <v>1016</v>
      </c>
    </row>
    <row r="148" spans="2:14">
      <c r="B148" s="16" t="s">
        <v>743</v>
      </c>
      <c r="C148" s="34"/>
      <c r="D148" s="882"/>
      <c r="E148" s="883"/>
      <c r="F148" s="884"/>
      <c r="G148" s="533"/>
      <c r="I148" s="362" t="s">
        <v>1017</v>
      </c>
      <c r="J148" s="621"/>
      <c r="K148" s="648">
        <f>1+(RIGHT(I148,LEN(I148)-FIND(",",I148))-10)/20</f>
        <v>28</v>
      </c>
      <c r="L148" s="649">
        <f>1+((LEFT(I148,FIND(",",I148)-1)*-1)-10)/20</f>
        <v>1</v>
      </c>
      <c r="M148" s="903"/>
      <c r="N148" s="622" t="str">
        <f>IF(AND(K148&lt;=$I$144,K148&gt;=$I$145,L148&gt;=$M$143,L148&lt;=$N$143),MIN(ROUND(M148,2),633),"")</f>
        <v/>
      </c>
    </row>
    <row r="149" spans="2:14">
      <c r="B149" s="183" t="s">
        <v>744</v>
      </c>
      <c r="C149" s="184" t="s">
        <v>380</v>
      </c>
      <c r="D149" s="877"/>
      <c r="E149" s="881"/>
      <c r="F149" s="872"/>
      <c r="G149" s="533"/>
      <c r="I149" s="362" t="s">
        <v>1018</v>
      </c>
      <c r="J149" s="621"/>
      <c r="K149" s="648">
        <f t="shared" ref="K149:K212" si="0">1+(RIGHT(I149,LEN(I149)-FIND(",",I149))-10)/20</f>
        <v>27</v>
      </c>
      <c r="L149" s="649">
        <f t="shared" ref="L149:L212" si="1">1+((LEFT(I149,FIND(",",I149)-1)*-1)-10)/20</f>
        <v>1</v>
      </c>
      <c r="M149" s="903"/>
      <c r="N149" s="622" t="str">
        <f t="shared" ref="N149:N212" si="2">IF(AND(K149&lt;=$I$144,K149&gt;=$I$145,L149&gt;=$M$143,L149&lt;=$N$143),MIN(ROUND(M149,2),633),"")</f>
        <v/>
      </c>
    </row>
    <row r="150" spans="2:14">
      <c r="B150" s="10"/>
      <c r="C150" s="184" t="s">
        <v>381</v>
      </c>
      <c r="D150" s="877"/>
      <c r="E150" s="881"/>
      <c r="F150" s="872"/>
      <c r="G150" s="533"/>
      <c r="I150" s="362" t="s">
        <v>1019</v>
      </c>
      <c r="J150" s="621"/>
      <c r="K150" s="648">
        <f t="shared" si="0"/>
        <v>26</v>
      </c>
      <c r="L150" s="649">
        <f t="shared" si="1"/>
        <v>1</v>
      </c>
      <c r="M150" s="903"/>
      <c r="N150" s="622" t="str">
        <f t="shared" si="2"/>
        <v/>
      </c>
    </row>
    <row r="151" spans="2:14">
      <c r="B151" s="183" t="s">
        <v>745</v>
      </c>
      <c r="C151" s="184" t="s">
        <v>380</v>
      </c>
      <c r="D151" s="877"/>
      <c r="E151" s="881"/>
      <c r="F151" s="872"/>
      <c r="G151" s="533"/>
      <c r="I151" s="631" t="s">
        <v>1020</v>
      </c>
      <c r="J151" s="629"/>
      <c r="K151" s="648">
        <f t="shared" si="0"/>
        <v>25</v>
      </c>
      <c r="L151" s="649">
        <f t="shared" si="1"/>
        <v>1</v>
      </c>
      <c r="M151" s="903"/>
      <c r="N151" s="622" t="str">
        <f t="shared" si="2"/>
        <v/>
      </c>
    </row>
    <row r="152" spans="2:14" ht="13.5" thickBot="1">
      <c r="B152" s="31"/>
      <c r="C152" s="191" t="s">
        <v>381</v>
      </c>
      <c r="D152" s="885"/>
      <c r="E152" s="886"/>
      <c r="F152" s="887"/>
      <c r="G152" s="533"/>
      <c r="I152" s="631" t="s">
        <v>1021</v>
      </c>
      <c r="J152" s="629"/>
      <c r="K152" s="648">
        <f t="shared" si="0"/>
        <v>24</v>
      </c>
      <c r="L152" s="649">
        <f t="shared" si="1"/>
        <v>1</v>
      </c>
      <c r="M152" s="903"/>
      <c r="N152" s="622" t="str">
        <f t="shared" si="2"/>
        <v/>
      </c>
    </row>
    <row r="153" spans="2:14">
      <c r="B153" s="188" t="s">
        <v>722</v>
      </c>
      <c r="C153" s="195" t="s">
        <v>746</v>
      </c>
      <c r="D153" s="888"/>
      <c r="E153" s="889"/>
      <c r="F153" s="890"/>
      <c r="G153" s="533"/>
      <c r="I153" s="631" t="s">
        <v>1022</v>
      </c>
      <c r="J153" s="629"/>
      <c r="K153" s="648">
        <f t="shared" si="0"/>
        <v>23</v>
      </c>
      <c r="L153" s="649">
        <f t="shared" si="1"/>
        <v>1</v>
      </c>
      <c r="M153" s="903"/>
      <c r="N153" s="622" t="str">
        <f t="shared" si="2"/>
        <v/>
      </c>
    </row>
    <row r="154" spans="2:14" ht="13.5" thickBot="1">
      <c r="B154" s="473" t="s">
        <v>723</v>
      </c>
      <c r="C154" s="474" t="s">
        <v>746</v>
      </c>
      <c r="D154" s="885"/>
      <c r="E154" s="886"/>
      <c r="F154" s="887"/>
      <c r="G154" s="533"/>
      <c r="I154" s="631" t="s">
        <v>1023</v>
      </c>
      <c r="J154" s="629"/>
      <c r="K154" s="648">
        <f t="shared" si="0"/>
        <v>22</v>
      </c>
      <c r="L154" s="649">
        <f t="shared" si="1"/>
        <v>1</v>
      </c>
      <c r="M154" s="903"/>
      <c r="N154" s="622" t="str">
        <f t="shared" si="2"/>
        <v/>
      </c>
    </row>
    <row r="155" spans="2:14">
      <c r="B155" s="16" t="s">
        <v>354</v>
      </c>
      <c r="C155" s="186"/>
      <c r="D155" s="891"/>
      <c r="E155" s="889"/>
      <c r="F155" s="889"/>
      <c r="G155" s="533"/>
      <c r="I155" s="631" t="s">
        <v>1024</v>
      </c>
      <c r="J155" s="629"/>
      <c r="K155" s="648">
        <f t="shared" si="0"/>
        <v>21</v>
      </c>
      <c r="L155" s="649">
        <f t="shared" si="1"/>
        <v>1</v>
      </c>
      <c r="M155" s="903"/>
      <c r="N155" s="622" t="str">
        <f t="shared" si="2"/>
        <v/>
      </c>
    </row>
    <row r="156" spans="2:14">
      <c r="B156" s="183" t="s">
        <v>379</v>
      </c>
      <c r="C156" s="184" t="s">
        <v>380</v>
      </c>
      <c r="D156" s="877"/>
      <c r="E156" s="881"/>
      <c r="F156" s="872"/>
      <c r="G156" s="533"/>
      <c r="I156" s="631" t="s">
        <v>1025</v>
      </c>
      <c r="J156" s="629"/>
      <c r="K156" s="648">
        <f t="shared" si="0"/>
        <v>20</v>
      </c>
      <c r="L156" s="649">
        <f t="shared" si="1"/>
        <v>1</v>
      </c>
      <c r="M156" s="903"/>
      <c r="N156" s="622" t="str">
        <f t="shared" si="2"/>
        <v/>
      </c>
    </row>
    <row r="157" spans="2:14">
      <c r="B157" s="183"/>
      <c r="C157" s="184" t="s">
        <v>381</v>
      </c>
      <c r="D157" s="877"/>
      <c r="E157" s="881"/>
      <c r="F157" s="872"/>
      <c r="G157" s="533"/>
      <c r="I157" s="631" t="s">
        <v>1026</v>
      </c>
      <c r="J157" s="629"/>
      <c r="K157" s="648">
        <f t="shared" si="0"/>
        <v>19</v>
      </c>
      <c r="L157" s="649">
        <f t="shared" si="1"/>
        <v>1</v>
      </c>
      <c r="M157" s="903"/>
      <c r="N157" s="622" t="str">
        <f t="shared" si="2"/>
        <v/>
      </c>
    </row>
    <row r="158" spans="2:14">
      <c r="B158" s="183" t="s">
        <v>382</v>
      </c>
      <c r="C158" s="184" t="s">
        <v>380</v>
      </c>
      <c r="D158" s="877"/>
      <c r="E158" s="881"/>
      <c r="F158" s="872"/>
      <c r="G158" s="533"/>
      <c r="I158" s="631" t="s">
        <v>1027</v>
      </c>
      <c r="J158" s="629"/>
      <c r="K158" s="648">
        <f t="shared" si="0"/>
        <v>18</v>
      </c>
      <c r="L158" s="649">
        <f t="shared" si="1"/>
        <v>1</v>
      </c>
      <c r="M158" s="903"/>
      <c r="N158" s="622" t="str">
        <f t="shared" si="2"/>
        <v/>
      </c>
    </row>
    <row r="159" spans="2:14">
      <c r="B159" s="183"/>
      <c r="C159" s="184" t="s">
        <v>381</v>
      </c>
      <c r="D159" s="877"/>
      <c r="E159" s="881"/>
      <c r="F159" s="872"/>
      <c r="G159" s="533"/>
      <c r="I159" s="631" t="s">
        <v>1028</v>
      </c>
      <c r="J159" s="629"/>
      <c r="K159" s="648">
        <f t="shared" si="0"/>
        <v>17</v>
      </c>
      <c r="L159" s="649">
        <f t="shared" si="1"/>
        <v>1</v>
      </c>
      <c r="M159" s="903"/>
      <c r="N159" s="622" t="str">
        <f t="shared" si="2"/>
        <v/>
      </c>
    </row>
    <row r="160" spans="2:14">
      <c r="B160" s="183" t="s">
        <v>386</v>
      </c>
      <c r="C160" s="184" t="s">
        <v>380</v>
      </c>
      <c r="D160" s="877"/>
      <c r="E160" s="881"/>
      <c r="F160" s="872"/>
      <c r="G160" s="533"/>
      <c r="I160" s="631" t="s">
        <v>1029</v>
      </c>
      <c r="J160" s="629"/>
      <c r="K160" s="648">
        <f t="shared" si="0"/>
        <v>16</v>
      </c>
      <c r="L160" s="649">
        <f t="shared" si="1"/>
        <v>1</v>
      </c>
      <c r="M160" s="903"/>
      <c r="N160" s="622" t="str">
        <f t="shared" si="2"/>
        <v/>
      </c>
    </row>
    <row r="161" spans="2:14">
      <c r="B161" s="183"/>
      <c r="C161" s="184" t="s">
        <v>381</v>
      </c>
      <c r="D161" s="877"/>
      <c r="E161" s="881"/>
      <c r="F161" s="872"/>
      <c r="G161" s="533"/>
      <c r="I161" s="631" t="s">
        <v>1030</v>
      </c>
      <c r="J161" s="629"/>
      <c r="K161" s="648">
        <f t="shared" si="0"/>
        <v>15</v>
      </c>
      <c r="L161" s="649">
        <f t="shared" si="1"/>
        <v>1</v>
      </c>
      <c r="M161" s="903"/>
      <c r="N161" s="622" t="str">
        <f t="shared" si="2"/>
        <v/>
      </c>
    </row>
    <row r="162" spans="2:14">
      <c r="B162" s="183" t="s">
        <v>385</v>
      </c>
      <c r="C162" s="184" t="s">
        <v>380</v>
      </c>
      <c r="D162" s="877"/>
      <c r="E162" s="881"/>
      <c r="F162" s="872"/>
      <c r="G162" s="533"/>
      <c r="I162" s="631" t="s">
        <v>1031</v>
      </c>
      <c r="J162" s="629"/>
      <c r="K162" s="648">
        <f t="shared" si="0"/>
        <v>14</v>
      </c>
      <c r="L162" s="649">
        <f t="shared" si="1"/>
        <v>1</v>
      </c>
      <c r="M162" s="903"/>
      <c r="N162" s="622" t="str">
        <f t="shared" si="2"/>
        <v/>
      </c>
    </row>
    <row r="163" spans="2:14">
      <c r="B163" s="183"/>
      <c r="C163" s="184" t="s">
        <v>381</v>
      </c>
      <c r="D163" s="877"/>
      <c r="E163" s="881"/>
      <c r="F163" s="872"/>
      <c r="G163" s="533"/>
      <c r="I163" s="631" t="s">
        <v>1032</v>
      </c>
      <c r="J163" s="629"/>
      <c r="K163" s="648">
        <f t="shared" si="0"/>
        <v>13</v>
      </c>
      <c r="L163" s="649">
        <f t="shared" si="1"/>
        <v>1</v>
      </c>
      <c r="M163" s="903"/>
      <c r="N163" s="622" t="str">
        <f t="shared" si="2"/>
        <v/>
      </c>
    </row>
    <row r="164" spans="2:14">
      <c r="B164" s="183" t="s">
        <v>383</v>
      </c>
      <c r="C164" s="184" t="s">
        <v>380</v>
      </c>
      <c r="D164" s="877"/>
      <c r="E164" s="881"/>
      <c r="F164" s="872"/>
      <c r="G164" s="533"/>
      <c r="I164" s="631" t="s">
        <v>1033</v>
      </c>
      <c r="J164" s="629"/>
      <c r="K164" s="648">
        <f t="shared" si="0"/>
        <v>12</v>
      </c>
      <c r="L164" s="649">
        <f t="shared" si="1"/>
        <v>1</v>
      </c>
      <c r="M164" s="903"/>
      <c r="N164" s="622" t="str">
        <f t="shared" si="2"/>
        <v/>
      </c>
    </row>
    <row r="165" spans="2:14">
      <c r="B165" s="183"/>
      <c r="C165" s="184" t="s">
        <v>381</v>
      </c>
      <c r="D165" s="877"/>
      <c r="E165" s="881"/>
      <c r="F165" s="872"/>
      <c r="G165" s="533"/>
      <c r="I165" s="631" t="s">
        <v>1034</v>
      </c>
      <c r="J165" s="629"/>
      <c r="K165" s="648">
        <f t="shared" si="0"/>
        <v>11</v>
      </c>
      <c r="L165" s="649">
        <f t="shared" si="1"/>
        <v>1</v>
      </c>
      <c r="M165" s="903"/>
      <c r="N165" s="622" t="str">
        <f t="shared" si="2"/>
        <v/>
      </c>
    </row>
    <row r="166" spans="2:14">
      <c r="B166" s="183" t="s">
        <v>384</v>
      </c>
      <c r="C166" s="184" t="s">
        <v>380</v>
      </c>
      <c r="D166" s="877"/>
      <c r="E166" s="881"/>
      <c r="F166" s="872"/>
      <c r="G166" s="533"/>
      <c r="I166" s="631" t="s">
        <v>1035</v>
      </c>
      <c r="J166" s="629"/>
      <c r="K166" s="648">
        <f t="shared" si="0"/>
        <v>10</v>
      </c>
      <c r="L166" s="649">
        <f t="shared" si="1"/>
        <v>1</v>
      </c>
      <c r="M166" s="903"/>
      <c r="N166" s="622" t="str">
        <f t="shared" si="2"/>
        <v/>
      </c>
    </row>
    <row r="167" spans="2:14" ht="13.5" thickBot="1">
      <c r="B167" s="187"/>
      <c r="C167" s="191" t="s">
        <v>381</v>
      </c>
      <c r="D167" s="887"/>
      <c r="E167" s="886"/>
      <c r="F167" s="887"/>
      <c r="G167" s="533"/>
      <c r="I167" s="631" t="s">
        <v>1036</v>
      </c>
      <c r="J167" s="629"/>
      <c r="K167" s="648">
        <f t="shared" si="0"/>
        <v>9</v>
      </c>
      <c r="L167" s="649">
        <f t="shared" si="1"/>
        <v>1</v>
      </c>
      <c r="M167" s="903"/>
      <c r="N167" s="622" t="str">
        <f t="shared" si="2"/>
        <v/>
      </c>
    </row>
    <row r="168" spans="2:14">
      <c r="B168" s="16" t="s">
        <v>747</v>
      </c>
      <c r="C168" s="186"/>
      <c r="D168" s="891"/>
      <c r="E168" s="889"/>
      <c r="F168" s="889"/>
      <c r="G168" s="533"/>
      <c r="I168" s="631" t="s">
        <v>1037</v>
      </c>
      <c r="J168" s="629"/>
      <c r="K168" s="648">
        <f t="shared" si="0"/>
        <v>8</v>
      </c>
      <c r="L168" s="649">
        <f t="shared" si="1"/>
        <v>1</v>
      </c>
      <c r="M168" s="903"/>
      <c r="N168" s="622" t="str">
        <f t="shared" si="2"/>
        <v/>
      </c>
    </row>
    <row r="169" spans="2:14">
      <c r="B169" s="183" t="s">
        <v>379</v>
      </c>
      <c r="C169" s="184" t="s">
        <v>380</v>
      </c>
      <c r="D169" s="877"/>
      <c r="E169" s="881"/>
      <c r="F169" s="872"/>
      <c r="G169" s="533"/>
      <c r="I169" s="631" t="s">
        <v>1038</v>
      </c>
      <c r="J169" s="629"/>
      <c r="K169" s="648">
        <f t="shared" si="0"/>
        <v>7</v>
      </c>
      <c r="L169" s="649">
        <f t="shared" si="1"/>
        <v>1</v>
      </c>
      <c r="M169" s="903"/>
      <c r="N169" s="622" t="str">
        <f t="shared" si="2"/>
        <v/>
      </c>
    </row>
    <row r="170" spans="2:14">
      <c r="B170" s="183"/>
      <c r="C170" s="184" t="s">
        <v>381</v>
      </c>
      <c r="D170" s="877"/>
      <c r="E170" s="881"/>
      <c r="F170" s="872"/>
      <c r="G170" s="533"/>
      <c r="I170" s="631" t="s">
        <v>1039</v>
      </c>
      <c r="J170" s="629"/>
      <c r="K170" s="648">
        <f t="shared" si="0"/>
        <v>6</v>
      </c>
      <c r="L170" s="649">
        <f t="shared" si="1"/>
        <v>1</v>
      </c>
      <c r="M170" s="903"/>
      <c r="N170" s="622" t="str">
        <f t="shared" si="2"/>
        <v/>
      </c>
    </row>
    <row r="171" spans="2:14">
      <c r="B171" s="183" t="s">
        <v>382</v>
      </c>
      <c r="C171" s="184" t="s">
        <v>380</v>
      </c>
      <c r="D171" s="877"/>
      <c r="E171" s="881"/>
      <c r="F171" s="872"/>
      <c r="G171" s="533"/>
      <c r="I171" s="631" t="s">
        <v>1040</v>
      </c>
      <c r="J171" s="629"/>
      <c r="K171" s="648">
        <f t="shared" si="0"/>
        <v>5</v>
      </c>
      <c r="L171" s="649">
        <f t="shared" si="1"/>
        <v>1</v>
      </c>
      <c r="M171" s="903"/>
      <c r="N171" s="622" t="str">
        <f t="shared" si="2"/>
        <v/>
      </c>
    </row>
    <row r="172" spans="2:14">
      <c r="B172" s="183"/>
      <c r="C172" s="184" t="s">
        <v>381</v>
      </c>
      <c r="D172" s="877"/>
      <c r="E172" s="881"/>
      <c r="F172" s="872"/>
      <c r="G172" s="533"/>
      <c r="I172" s="631" t="s">
        <v>1041</v>
      </c>
      <c r="J172" s="629"/>
      <c r="K172" s="648">
        <f t="shared" si="0"/>
        <v>4</v>
      </c>
      <c r="L172" s="649">
        <f t="shared" si="1"/>
        <v>1</v>
      </c>
      <c r="M172" s="903"/>
      <c r="N172" s="622" t="str">
        <f t="shared" si="2"/>
        <v/>
      </c>
    </row>
    <row r="173" spans="2:14">
      <c r="B173" s="183" t="s">
        <v>386</v>
      </c>
      <c r="C173" s="184" t="s">
        <v>380</v>
      </c>
      <c r="D173" s="877"/>
      <c r="E173" s="881"/>
      <c r="F173" s="872"/>
      <c r="G173" s="533"/>
      <c r="I173" s="631" t="s">
        <v>1042</v>
      </c>
      <c r="J173" s="629"/>
      <c r="K173" s="648">
        <f t="shared" si="0"/>
        <v>3</v>
      </c>
      <c r="L173" s="649">
        <f t="shared" si="1"/>
        <v>1</v>
      </c>
      <c r="M173" s="903"/>
      <c r="N173" s="622" t="str">
        <f t="shared" si="2"/>
        <v/>
      </c>
    </row>
    <row r="174" spans="2:14">
      <c r="B174" s="8" t="s">
        <v>748</v>
      </c>
      <c r="C174" s="184"/>
      <c r="D174" s="892"/>
      <c r="E174" s="881"/>
      <c r="F174" s="881"/>
      <c r="G174" s="533"/>
      <c r="I174" s="631" t="s">
        <v>1043</v>
      </c>
      <c r="J174" s="629"/>
      <c r="K174" s="648">
        <f t="shared" si="0"/>
        <v>2</v>
      </c>
      <c r="L174" s="649">
        <f t="shared" si="1"/>
        <v>1</v>
      </c>
      <c r="M174" s="903"/>
      <c r="N174" s="622" t="str">
        <f t="shared" si="2"/>
        <v/>
      </c>
    </row>
    <row r="175" spans="2:14">
      <c r="B175" s="183" t="s">
        <v>379</v>
      </c>
      <c r="C175" s="184" t="s">
        <v>380</v>
      </c>
      <c r="D175" s="877"/>
      <c r="E175" s="881"/>
      <c r="F175" s="872"/>
      <c r="G175" s="533"/>
      <c r="I175" s="631" t="s">
        <v>1044</v>
      </c>
      <c r="J175" s="629"/>
      <c r="K175" s="648">
        <f t="shared" si="0"/>
        <v>1</v>
      </c>
      <c r="L175" s="649">
        <f t="shared" si="1"/>
        <v>1</v>
      </c>
      <c r="M175" s="903"/>
      <c r="N175" s="622" t="str">
        <f t="shared" si="2"/>
        <v/>
      </c>
    </row>
    <row r="176" spans="2:14">
      <c r="B176" s="183"/>
      <c r="C176" s="184" t="s">
        <v>381</v>
      </c>
      <c r="D176" s="877"/>
      <c r="E176" s="881"/>
      <c r="F176" s="872"/>
      <c r="G176" s="533"/>
      <c r="I176" s="631" t="s">
        <v>1045</v>
      </c>
      <c r="J176" s="629"/>
      <c r="K176" s="648">
        <f t="shared" si="0"/>
        <v>28</v>
      </c>
      <c r="L176" s="649">
        <f t="shared" si="1"/>
        <v>2</v>
      </c>
      <c r="M176" s="903"/>
      <c r="N176" s="622" t="str">
        <f t="shared" si="2"/>
        <v/>
      </c>
    </row>
    <row r="177" spans="2:14">
      <c r="B177" s="183" t="s">
        <v>382</v>
      </c>
      <c r="C177" s="184" t="s">
        <v>380</v>
      </c>
      <c r="D177" s="877"/>
      <c r="E177" s="881"/>
      <c r="F177" s="872"/>
      <c r="G177" s="533"/>
      <c r="I177" s="631" t="s">
        <v>1046</v>
      </c>
      <c r="J177" s="629"/>
      <c r="K177" s="648">
        <f t="shared" si="0"/>
        <v>27</v>
      </c>
      <c r="L177" s="649">
        <f t="shared" si="1"/>
        <v>2</v>
      </c>
      <c r="M177" s="903"/>
      <c r="N177" s="622" t="str">
        <f t="shared" si="2"/>
        <v/>
      </c>
    </row>
    <row r="178" spans="2:14">
      <c r="B178" s="183"/>
      <c r="C178" s="184" t="s">
        <v>381</v>
      </c>
      <c r="D178" s="877"/>
      <c r="E178" s="881"/>
      <c r="F178" s="872"/>
      <c r="G178" s="533"/>
      <c r="I178" s="631" t="s">
        <v>1047</v>
      </c>
      <c r="J178" s="629"/>
      <c r="K178" s="648">
        <f t="shared" si="0"/>
        <v>26</v>
      </c>
      <c r="L178" s="649">
        <f t="shared" si="1"/>
        <v>2</v>
      </c>
      <c r="M178" s="903"/>
      <c r="N178" s="622" t="str">
        <f t="shared" si="2"/>
        <v/>
      </c>
    </row>
    <row r="179" spans="2:14" ht="13.5" thickBot="1">
      <c r="B179" s="183" t="s">
        <v>386</v>
      </c>
      <c r="C179" s="184" t="s">
        <v>380</v>
      </c>
      <c r="D179" s="877"/>
      <c r="E179" s="881"/>
      <c r="F179" s="872"/>
      <c r="G179" s="533"/>
      <c r="I179" s="631" t="s">
        <v>1048</v>
      </c>
      <c r="J179" s="629"/>
      <c r="K179" s="648">
        <f t="shared" si="0"/>
        <v>25</v>
      </c>
      <c r="L179" s="649">
        <f t="shared" si="1"/>
        <v>2</v>
      </c>
      <c r="M179" s="903"/>
      <c r="N179" s="622" t="str">
        <f t="shared" si="2"/>
        <v/>
      </c>
    </row>
    <row r="180" spans="2:14">
      <c r="B180" s="16" t="s">
        <v>749</v>
      </c>
      <c r="C180" s="186"/>
      <c r="D180" s="891"/>
      <c r="E180" s="889"/>
      <c r="F180" s="889"/>
      <c r="G180" s="533"/>
      <c r="I180" s="631" t="s">
        <v>1049</v>
      </c>
      <c r="J180" s="629"/>
      <c r="K180" s="648">
        <f t="shared" si="0"/>
        <v>24</v>
      </c>
      <c r="L180" s="649">
        <f t="shared" si="1"/>
        <v>2</v>
      </c>
      <c r="M180" s="903"/>
      <c r="N180" s="622" t="str">
        <f t="shared" si="2"/>
        <v/>
      </c>
    </row>
    <row r="181" spans="2:14">
      <c r="B181" s="183" t="s">
        <v>379</v>
      </c>
      <c r="C181" s="184" t="s">
        <v>380</v>
      </c>
      <c r="D181" s="877"/>
      <c r="E181" s="881"/>
      <c r="F181" s="872"/>
      <c r="G181" s="533"/>
      <c r="I181" s="631" t="s">
        <v>1050</v>
      </c>
      <c r="J181" s="629"/>
      <c r="K181" s="648">
        <f t="shared" si="0"/>
        <v>23</v>
      </c>
      <c r="L181" s="649">
        <f t="shared" si="1"/>
        <v>2</v>
      </c>
      <c r="M181" s="903"/>
      <c r="N181" s="622" t="str">
        <f t="shared" si="2"/>
        <v/>
      </c>
    </row>
    <row r="182" spans="2:14">
      <c r="B182" s="183"/>
      <c r="C182" s="184" t="s">
        <v>381</v>
      </c>
      <c r="D182" s="877"/>
      <c r="E182" s="881"/>
      <c r="F182" s="872"/>
      <c r="G182" s="533"/>
      <c r="I182" s="631" t="s">
        <v>1051</v>
      </c>
      <c r="J182" s="629"/>
      <c r="K182" s="648">
        <f t="shared" si="0"/>
        <v>22</v>
      </c>
      <c r="L182" s="649">
        <f t="shared" si="1"/>
        <v>2</v>
      </c>
      <c r="M182" s="903"/>
      <c r="N182" s="622" t="str">
        <f t="shared" si="2"/>
        <v/>
      </c>
    </row>
    <row r="183" spans="2:14">
      <c r="B183" s="183" t="s">
        <v>382</v>
      </c>
      <c r="C183" s="184" t="s">
        <v>380</v>
      </c>
      <c r="D183" s="877"/>
      <c r="E183" s="881"/>
      <c r="F183" s="872"/>
      <c r="G183" s="533"/>
      <c r="I183" s="631" t="s">
        <v>1052</v>
      </c>
      <c r="J183" s="629"/>
      <c r="K183" s="648">
        <f t="shared" si="0"/>
        <v>21</v>
      </c>
      <c r="L183" s="649">
        <f t="shared" si="1"/>
        <v>2</v>
      </c>
      <c r="M183" s="903"/>
      <c r="N183" s="622" t="str">
        <f t="shared" si="2"/>
        <v/>
      </c>
    </row>
    <row r="184" spans="2:14">
      <c r="B184" s="183"/>
      <c r="C184" s="184" t="s">
        <v>381</v>
      </c>
      <c r="D184" s="877"/>
      <c r="E184" s="881"/>
      <c r="F184" s="872"/>
      <c r="G184" s="533"/>
      <c r="I184" s="631" t="s">
        <v>1053</v>
      </c>
      <c r="J184" s="629"/>
      <c r="K184" s="648">
        <f t="shared" si="0"/>
        <v>20</v>
      </c>
      <c r="L184" s="649">
        <f t="shared" si="1"/>
        <v>2</v>
      </c>
      <c r="M184" s="903"/>
      <c r="N184" s="622" t="str">
        <f t="shared" si="2"/>
        <v/>
      </c>
    </row>
    <row r="185" spans="2:14">
      <c r="B185" s="183" t="s">
        <v>386</v>
      </c>
      <c r="C185" s="184" t="s">
        <v>380</v>
      </c>
      <c r="D185" s="877"/>
      <c r="E185" s="881"/>
      <c r="F185" s="872"/>
      <c r="G185" s="533"/>
      <c r="I185" s="631" t="s">
        <v>1054</v>
      </c>
      <c r="J185" s="629"/>
      <c r="K185" s="648">
        <f t="shared" si="0"/>
        <v>19</v>
      </c>
      <c r="L185" s="649">
        <f t="shared" si="1"/>
        <v>2</v>
      </c>
      <c r="M185" s="903"/>
      <c r="N185" s="622" t="str">
        <f t="shared" si="2"/>
        <v/>
      </c>
    </row>
    <row r="186" spans="2:14">
      <c r="B186" s="8" t="s">
        <v>750</v>
      </c>
      <c r="C186" s="184"/>
      <c r="D186" s="892"/>
      <c r="E186" s="881"/>
      <c r="F186" s="881"/>
      <c r="G186" s="533"/>
      <c r="I186" s="631" t="s">
        <v>1055</v>
      </c>
      <c r="J186" s="629"/>
      <c r="K186" s="648">
        <f t="shared" si="0"/>
        <v>18</v>
      </c>
      <c r="L186" s="649">
        <f t="shared" si="1"/>
        <v>2</v>
      </c>
      <c r="M186" s="903"/>
      <c r="N186" s="622" t="str">
        <f t="shared" si="2"/>
        <v/>
      </c>
    </row>
    <row r="187" spans="2:14">
      <c r="B187" s="183" t="s">
        <v>379</v>
      </c>
      <c r="C187" s="184" t="s">
        <v>380</v>
      </c>
      <c r="D187" s="877"/>
      <c r="E187" s="881"/>
      <c r="F187" s="872"/>
      <c r="G187" s="533"/>
      <c r="I187" s="631" t="s">
        <v>1056</v>
      </c>
      <c r="J187" s="629"/>
      <c r="K187" s="648">
        <f t="shared" si="0"/>
        <v>17</v>
      </c>
      <c r="L187" s="649">
        <f t="shared" si="1"/>
        <v>2</v>
      </c>
      <c r="M187" s="903"/>
      <c r="N187" s="622" t="str">
        <f t="shared" si="2"/>
        <v/>
      </c>
    </row>
    <row r="188" spans="2:14">
      <c r="B188" s="183"/>
      <c r="C188" s="184" t="s">
        <v>381</v>
      </c>
      <c r="D188" s="877"/>
      <c r="E188" s="881"/>
      <c r="F188" s="872"/>
      <c r="G188" s="533"/>
      <c r="I188" s="631" t="s">
        <v>1057</v>
      </c>
      <c r="J188" s="629"/>
      <c r="K188" s="648">
        <f t="shared" si="0"/>
        <v>16</v>
      </c>
      <c r="L188" s="649">
        <f t="shared" si="1"/>
        <v>2</v>
      </c>
      <c r="M188" s="903"/>
      <c r="N188" s="622" t="str">
        <f t="shared" si="2"/>
        <v/>
      </c>
    </row>
    <row r="189" spans="2:14">
      <c r="B189" s="183" t="s">
        <v>382</v>
      </c>
      <c r="C189" s="184" t="s">
        <v>380</v>
      </c>
      <c r="D189" s="877"/>
      <c r="E189" s="881"/>
      <c r="F189" s="872"/>
      <c r="G189" s="533"/>
      <c r="I189" s="631" t="s">
        <v>1058</v>
      </c>
      <c r="J189" s="629"/>
      <c r="K189" s="648">
        <f t="shared" si="0"/>
        <v>15</v>
      </c>
      <c r="L189" s="649">
        <f t="shared" si="1"/>
        <v>2</v>
      </c>
      <c r="M189" s="903"/>
      <c r="N189" s="622" t="str">
        <f t="shared" si="2"/>
        <v/>
      </c>
    </row>
    <row r="190" spans="2:14">
      <c r="B190" s="183"/>
      <c r="C190" s="184" t="s">
        <v>381</v>
      </c>
      <c r="D190" s="877"/>
      <c r="E190" s="881"/>
      <c r="F190" s="872"/>
      <c r="G190" s="533"/>
      <c r="I190" s="631" t="s">
        <v>1059</v>
      </c>
      <c r="J190" s="629"/>
      <c r="K190" s="648">
        <f t="shared" si="0"/>
        <v>14</v>
      </c>
      <c r="L190" s="649">
        <f t="shared" si="1"/>
        <v>2</v>
      </c>
      <c r="M190" s="903"/>
      <c r="N190" s="622" t="str">
        <f t="shared" si="2"/>
        <v/>
      </c>
    </row>
    <row r="191" spans="2:14" ht="13.5" thickBot="1">
      <c r="B191" s="187" t="s">
        <v>386</v>
      </c>
      <c r="C191" s="191" t="s">
        <v>380</v>
      </c>
      <c r="D191" s="885"/>
      <c r="E191" s="886"/>
      <c r="F191" s="887"/>
      <c r="G191" s="533"/>
      <c r="I191" s="631" t="s">
        <v>1060</v>
      </c>
      <c r="J191" s="629"/>
      <c r="K191" s="648">
        <f t="shared" si="0"/>
        <v>13</v>
      </c>
      <c r="L191" s="649">
        <f t="shared" si="1"/>
        <v>2</v>
      </c>
      <c r="M191" s="903"/>
      <c r="N191" s="622" t="str">
        <f t="shared" si="2"/>
        <v/>
      </c>
    </row>
    <row r="192" spans="2:14">
      <c r="B192" s="16" t="s">
        <v>751</v>
      </c>
      <c r="C192" s="34"/>
      <c r="D192" s="891"/>
      <c r="E192" s="889"/>
      <c r="F192" s="889"/>
      <c r="G192" s="533"/>
      <c r="I192" s="631" t="s">
        <v>1061</v>
      </c>
      <c r="J192" s="629"/>
      <c r="K192" s="648">
        <f t="shared" si="0"/>
        <v>12</v>
      </c>
      <c r="L192" s="649">
        <f t="shared" si="1"/>
        <v>2</v>
      </c>
      <c r="M192" s="903"/>
      <c r="N192" s="622" t="str">
        <f t="shared" si="2"/>
        <v/>
      </c>
    </row>
    <row r="193" spans="2:14">
      <c r="B193" s="183" t="s">
        <v>752</v>
      </c>
      <c r="C193" s="184" t="s">
        <v>380</v>
      </c>
      <c r="D193" s="877"/>
      <c r="E193" s="881"/>
      <c r="F193" s="872"/>
      <c r="G193" s="533"/>
      <c r="I193" s="631" t="s">
        <v>1062</v>
      </c>
      <c r="J193" s="629"/>
      <c r="K193" s="648">
        <f t="shared" si="0"/>
        <v>11</v>
      </c>
      <c r="L193" s="649">
        <f t="shared" si="1"/>
        <v>2</v>
      </c>
      <c r="M193" s="903"/>
      <c r="N193" s="622" t="str">
        <f t="shared" si="2"/>
        <v/>
      </c>
    </row>
    <row r="194" spans="2:14">
      <c r="B194" s="183"/>
      <c r="C194" s="184" t="s">
        <v>381</v>
      </c>
      <c r="D194" s="877"/>
      <c r="E194" s="881"/>
      <c r="F194" s="872"/>
      <c r="G194" s="533"/>
      <c r="I194" s="631" t="s">
        <v>1063</v>
      </c>
      <c r="J194" s="629"/>
      <c r="K194" s="648">
        <f t="shared" si="0"/>
        <v>10</v>
      </c>
      <c r="L194" s="649">
        <f t="shared" si="1"/>
        <v>2</v>
      </c>
      <c r="M194" s="903"/>
      <c r="N194" s="622" t="str">
        <f t="shared" si="2"/>
        <v/>
      </c>
    </row>
    <row r="195" spans="2:14">
      <c r="B195" s="183" t="s">
        <v>753</v>
      </c>
      <c r="C195" s="184" t="s">
        <v>380</v>
      </c>
      <c r="D195" s="877"/>
      <c r="E195" s="881"/>
      <c r="F195" s="872"/>
      <c r="G195" s="533"/>
      <c r="I195" s="631" t="s">
        <v>1064</v>
      </c>
      <c r="J195" s="629"/>
      <c r="K195" s="648">
        <f t="shared" si="0"/>
        <v>9</v>
      </c>
      <c r="L195" s="649">
        <f t="shared" si="1"/>
        <v>2</v>
      </c>
      <c r="M195" s="903"/>
      <c r="N195" s="622" t="str">
        <f t="shared" si="2"/>
        <v/>
      </c>
    </row>
    <row r="196" spans="2:14">
      <c r="B196" s="183"/>
      <c r="C196" s="184" t="s">
        <v>381</v>
      </c>
      <c r="D196" s="877"/>
      <c r="E196" s="881"/>
      <c r="F196" s="872"/>
      <c r="G196" s="533"/>
      <c r="I196" s="631" t="s">
        <v>1065</v>
      </c>
      <c r="J196" s="629"/>
      <c r="K196" s="648">
        <f t="shared" si="0"/>
        <v>8</v>
      </c>
      <c r="L196" s="649">
        <f t="shared" si="1"/>
        <v>2</v>
      </c>
      <c r="M196" s="903"/>
      <c r="N196" s="622" t="str">
        <f t="shared" si="2"/>
        <v/>
      </c>
    </row>
    <row r="197" spans="2:14">
      <c r="B197" s="183" t="s">
        <v>754</v>
      </c>
      <c r="C197" s="184" t="s">
        <v>380</v>
      </c>
      <c r="D197" s="877"/>
      <c r="E197" s="881"/>
      <c r="F197" s="872"/>
      <c r="G197" s="533"/>
      <c r="I197" s="631" t="s">
        <v>1066</v>
      </c>
      <c r="J197" s="629"/>
      <c r="K197" s="648">
        <f t="shared" si="0"/>
        <v>7</v>
      </c>
      <c r="L197" s="649">
        <f t="shared" si="1"/>
        <v>2</v>
      </c>
      <c r="M197" s="903"/>
      <c r="N197" s="622" t="str">
        <f t="shared" si="2"/>
        <v/>
      </c>
    </row>
    <row r="198" spans="2:14">
      <c r="B198" s="183"/>
      <c r="C198" s="184" t="s">
        <v>381</v>
      </c>
      <c r="D198" s="877"/>
      <c r="E198" s="881"/>
      <c r="F198" s="872"/>
      <c r="G198" s="533"/>
      <c r="I198" s="631" t="s">
        <v>1067</v>
      </c>
      <c r="J198" s="629"/>
      <c r="K198" s="648">
        <f t="shared" si="0"/>
        <v>6</v>
      </c>
      <c r="L198" s="649">
        <f t="shared" si="1"/>
        <v>2</v>
      </c>
      <c r="M198" s="903"/>
      <c r="N198" s="622" t="str">
        <f t="shared" si="2"/>
        <v/>
      </c>
    </row>
    <row r="199" spans="2:14">
      <c r="B199" s="183" t="s">
        <v>392</v>
      </c>
      <c r="C199" s="184" t="s">
        <v>380</v>
      </c>
      <c r="D199" s="893"/>
      <c r="E199" s="894"/>
      <c r="F199" s="895"/>
      <c r="G199" s="533"/>
      <c r="I199" s="631" t="s">
        <v>1068</v>
      </c>
      <c r="J199" s="629"/>
      <c r="K199" s="648">
        <f t="shared" si="0"/>
        <v>5</v>
      </c>
      <c r="L199" s="649">
        <f t="shared" si="1"/>
        <v>2</v>
      </c>
      <c r="M199" s="903"/>
      <c r="N199" s="622" t="str">
        <f t="shared" si="2"/>
        <v/>
      </c>
    </row>
    <row r="200" spans="2:14">
      <c r="B200" s="183"/>
      <c r="C200" s="184" t="s">
        <v>381</v>
      </c>
      <c r="D200" s="893"/>
      <c r="E200" s="894"/>
      <c r="F200" s="895"/>
      <c r="G200" s="533"/>
      <c r="I200" s="631" t="s">
        <v>1069</v>
      </c>
      <c r="J200" s="629"/>
      <c r="K200" s="648">
        <f t="shared" si="0"/>
        <v>4</v>
      </c>
      <c r="L200" s="649">
        <f t="shared" si="1"/>
        <v>2</v>
      </c>
      <c r="M200" s="903"/>
      <c r="N200" s="622" t="str">
        <f t="shared" si="2"/>
        <v/>
      </c>
    </row>
    <row r="201" spans="2:14">
      <c r="B201" s="183" t="s">
        <v>755</v>
      </c>
      <c r="C201" s="184" t="s">
        <v>380</v>
      </c>
      <c r="D201" s="877"/>
      <c r="E201" s="78"/>
      <c r="F201" s="872"/>
      <c r="G201" s="533"/>
      <c r="I201" s="631" t="s">
        <v>1070</v>
      </c>
      <c r="J201" s="629"/>
      <c r="K201" s="648">
        <f t="shared" si="0"/>
        <v>3</v>
      </c>
      <c r="L201" s="649">
        <f t="shared" si="1"/>
        <v>2</v>
      </c>
      <c r="M201" s="903"/>
      <c r="N201" s="622" t="str">
        <f t="shared" si="2"/>
        <v/>
      </c>
    </row>
    <row r="202" spans="2:14">
      <c r="B202" s="183"/>
      <c r="C202" s="184" t="s">
        <v>381</v>
      </c>
      <c r="D202" s="877"/>
      <c r="E202" s="78"/>
      <c r="F202" s="872"/>
      <c r="G202" s="533"/>
      <c r="I202" s="631" t="s">
        <v>1071</v>
      </c>
      <c r="J202" s="629"/>
      <c r="K202" s="648">
        <f t="shared" si="0"/>
        <v>2</v>
      </c>
      <c r="L202" s="649">
        <f t="shared" si="1"/>
        <v>2</v>
      </c>
      <c r="M202" s="903"/>
      <c r="N202" s="622" t="str">
        <f t="shared" si="2"/>
        <v/>
      </c>
    </row>
    <row r="203" spans="2:14">
      <c r="B203" s="183" t="s">
        <v>756</v>
      </c>
      <c r="C203" s="184" t="s">
        <v>380</v>
      </c>
      <c r="D203" s="877"/>
      <c r="E203" s="78"/>
      <c r="F203" s="872"/>
      <c r="G203" s="533"/>
      <c r="I203" s="631" t="s">
        <v>1072</v>
      </c>
      <c r="J203" s="629"/>
      <c r="K203" s="648">
        <f t="shared" si="0"/>
        <v>1</v>
      </c>
      <c r="L203" s="649">
        <f t="shared" si="1"/>
        <v>2</v>
      </c>
      <c r="M203" s="903"/>
      <c r="N203" s="622" t="str">
        <f t="shared" si="2"/>
        <v/>
      </c>
    </row>
    <row r="204" spans="2:14" ht="13.5" thickBot="1">
      <c r="B204" s="183"/>
      <c r="C204" s="184" t="s">
        <v>381</v>
      </c>
      <c r="D204" s="877"/>
      <c r="E204" s="78"/>
      <c r="F204" s="872"/>
      <c r="G204" s="533"/>
      <c r="I204" s="631" t="s">
        <v>1073</v>
      </c>
      <c r="J204" s="629"/>
      <c r="K204" s="648">
        <f t="shared" si="0"/>
        <v>28</v>
      </c>
      <c r="L204" s="649">
        <f t="shared" si="1"/>
        <v>3</v>
      </c>
      <c r="M204" s="903"/>
      <c r="N204" s="622" t="str">
        <f t="shared" si="2"/>
        <v/>
      </c>
    </row>
    <row r="205" spans="2:14">
      <c r="B205" s="16" t="s">
        <v>757</v>
      </c>
      <c r="C205" s="34"/>
      <c r="D205" s="891"/>
      <c r="E205" s="889"/>
      <c r="F205" s="889"/>
      <c r="G205" s="533"/>
      <c r="I205" s="631" t="s">
        <v>1074</v>
      </c>
      <c r="J205" s="629"/>
      <c r="K205" s="648">
        <f t="shared" si="0"/>
        <v>27</v>
      </c>
      <c r="L205" s="649">
        <f t="shared" si="1"/>
        <v>3</v>
      </c>
      <c r="M205" s="903"/>
      <c r="N205" s="622" t="str">
        <f t="shared" si="2"/>
        <v/>
      </c>
    </row>
    <row r="206" spans="2:14">
      <c r="B206" s="183" t="s">
        <v>752</v>
      </c>
      <c r="C206" s="184" t="s">
        <v>380</v>
      </c>
      <c r="D206" s="877"/>
      <c r="E206" s="881"/>
      <c r="F206" s="872"/>
      <c r="G206" s="533"/>
      <c r="I206" s="631" t="s">
        <v>1075</v>
      </c>
      <c r="J206" s="629"/>
      <c r="K206" s="648">
        <f t="shared" si="0"/>
        <v>26</v>
      </c>
      <c r="L206" s="649">
        <f t="shared" si="1"/>
        <v>3</v>
      </c>
      <c r="M206" s="903"/>
      <c r="N206" s="622" t="str">
        <f t="shared" si="2"/>
        <v/>
      </c>
    </row>
    <row r="207" spans="2:14">
      <c r="B207" s="183"/>
      <c r="C207" s="184" t="s">
        <v>381</v>
      </c>
      <c r="D207" s="877"/>
      <c r="E207" s="881"/>
      <c r="F207" s="872"/>
      <c r="G207" s="533"/>
      <c r="I207" s="631" t="s">
        <v>1076</v>
      </c>
      <c r="J207" s="629"/>
      <c r="K207" s="648">
        <f t="shared" si="0"/>
        <v>25</v>
      </c>
      <c r="L207" s="649">
        <f t="shared" si="1"/>
        <v>3</v>
      </c>
      <c r="M207" s="903"/>
      <c r="N207" s="622" t="str">
        <f t="shared" si="2"/>
        <v/>
      </c>
    </row>
    <row r="208" spans="2:14">
      <c r="B208" s="183" t="s">
        <v>753</v>
      </c>
      <c r="C208" s="184" t="s">
        <v>380</v>
      </c>
      <c r="D208" s="877"/>
      <c r="E208" s="881"/>
      <c r="F208" s="872"/>
      <c r="G208" s="533"/>
      <c r="I208" s="631" t="s">
        <v>1077</v>
      </c>
      <c r="J208" s="629"/>
      <c r="K208" s="648">
        <f t="shared" si="0"/>
        <v>24</v>
      </c>
      <c r="L208" s="649">
        <f t="shared" si="1"/>
        <v>3</v>
      </c>
      <c r="M208" s="903"/>
      <c r="N208" s="622" t="str">
        <f t="shared" si="2"/>
        <v/>
      </c>
    </row>
    <row r="209" spans="2:14">
      <c r="B209" s="183"/>
      <c r="C209" s="184" t="s">
        <v>381</v>
      </c>
      <c r="D209" s="877"/>
      <c r="E209" s="881"/>
      <c r="F209" s="872"/>
      <c r="G209" s="533"/>
      <c r="I209" s="631" t="s">
        <v>1078</v>
      </c>
      <c r="J209" s="629"/>
      <c r="K209" s="648">
        <f t="shared" si="0"/>
        <v>23</v>
      </c>
      <c r="L209" s="649">
        <f t="shared" si="1"/>
        <v>3</v>
      </c>
      <c r="M209" s="903"/>
      <c r="N209" s="622" t="str">
        <f t="shared" si="2"/>
        <v/>
      </c>
    </row>
    <row r="210" spans="2:14">
      <c r="B210" s="183" t="s">
        <v>754</v>
      </c>
      <c r="C210" s="184" t="s">
        <v>380</v>
      </c>
      <c r="D210" s="877"/>
      <c r="E210" s="881"/>
      <c r="F210" s="872"/>
      <c r="G210" s="533"/>
      <c r="I210" s="631" t="s">
        <v>1079</v>
      </c>
      <c r="J210" s="629"/>
      <c r="K210" s="648">
        <f t="shared" si="0"/>
        <v>22</v>
      </c>
      <c r="L210" s="649">
        <f t="shared" si="1"/>
        <v>3</v>
      </c>
      <c r="M210" s="903"/>
      <c r="N210" s="622" t="str">
        <f t="shared" si="2"/>
        <v/>
      </c>
    </row>
    <row r="211" spans="2:14">
      <c r="B211" s="183"/>
      <c r="C211" s="184" t="s">
        <v>381</v>
      </c>
      <c r="D211" s="877"/>
      <c r="E211" s="881"/>
      <c r="F211" s="872"/>
      <c r="G211" s="533"/>
      <c r="I211" s="631" t="s">
        <v>1080</v>
      </c>
      <c r="J211" s="629"/>
      <c r="K211" s="648">
        <f t="shared" si="0"/>
        <v>21</v>
      </c>
      <c r="L211" s="649">
        <f t="shared" si="1"/>
        <v>3</v>
      </c>
      <c r="M211" s="903"/>
      <c r="N211" s="622" t="str">
        <f t="shared" si="2"/>
        <v/>
      </c>
    </row>
    <row r="212" spans="2:14">
      <c r="B212" s="183" t="s">
        <v>392</v>
      </c>
      <c r="C212" s="184" t="s">
        <v>380</v>
      </c>
      <c r="D212" s="893"/>
      <c r="E212" s="894"/>
      <c r="F212" s="895"/>
      <c r="G212" s="533"/>
      <c r="I212" s="631" t="s">
        <v>1081</v>
      </c>
      <c r="J212" s="629"/>
      <c r="K212" s="648">
        <f t="shared" si="0"/>
        <v>20</v>
      </c>
      <c r="L212" s="649">
        <f t="shared" si="1"/>
        <v>3</v>
      </c>
      <c r="M212" s="903"/>
      <c r="N212" s="622" t="str">
        <f t="shared" si="2"/>
        <v/>
      </c>
    </row>
    <row r="213" spans="2:14">
      <c r="B213" s="183"/>
      <c r="C213" s="184" t="s">
        <v>381</v>
      </c>
      <c r="D213" s="893"/>
      <c r="E213" s="894"/>
      <c r="F213" s="895"/>
      <c r="G213" s="533"/>
      <c r="I213" s="631" t="s">
        <v>1082</v>
      </c>
      <c r="J213" s="629"/>
      <c r="K213" s="648">
        <f t="shared" ref="K213:K276" si="3">1+(RIGHT(I213,LEN(I213)-FIND(",",I213))-10)/20</f>
        <v>19</v>
      </c>
      <c r="L213" s="649">
        <f t="shared" ref="L213:L276" si="4">1+((LEFT(I213,FIND(",",I213)-1)*-1)-10)/20</f>
        <v>3</v>
      </c>
      <c r="M213" s="903"/>
      <c r="N213" s="622" t="str">
        <f t="shared" ref="N213:N276" si="5">IF(AND(K213&lt;=$I$144,K213&gt;=$I$145,L213&gt;=$M$143,L213&lt;=$N$143),MIN(ROUND(M213,2),633),"")</f>
        <v/>
      </c>
    </row>
    <row r="214" spans="2:14">
      <c r="B214" s="183" t="s">
        <v>755</v>
      </c>
      <c r="C214" s="184" t="s">
        <v>380</v>
      </c>
      <c r="D214" s="877"/>
      <c r="E214" s="78"/>
      <c r="F214" s="872"/>
      <c r="G214" s="533"/>
      <c r="I214" s="631" t="s">
        <v>1083</v>
      </c>
      <c r="J214" s="629"/>
      <c r="K214" s="648">
        <f t="shared" si="3"/>
        <v>18</v>
      </c>
      <c r="L214" s="649">
        <f t="shared" si="4"/>
        <v>3</v>
      </c>
      <c r="M214" s="903"/>
      <c r="N214" s="622" t="str">
        <f t="shared" si="5"/>
        <v/>
      </c>
    </row>
    <row r="215" spans="2:14">
      <c r="B215" s="183"/>
      <c r="C215" s="184" t="s">
        <v>381</v>
      </c>
      <c r="D215" s="877"/>
      <c r="E215" s="78"/>
      <c r="F215" s="872"/>
      <c r="G215" s="533"/>
      <c r="I215" s="631" t="s">
        <v>1084</v>
      </c>
      <c r="J215" s="629"/>
      <c r="K215" s="648">
        <f t="shared" si="3"/>
        <v>17</v>
      </c>
      <c r="L215" s="649">
        <f t="shared" si="4"/>
        <v>3</v>
      </c>
      <c r="M215" s="903"/>
      <c r="N215" s="622" t="str">
        <f t="shared" si="5"/>
        <v/>
      </c>
    </row>
    <row r="216" spans="2:14">
      <c r="B216" s="183" t="s">
        <v>756</v>
      </c>
      <c r="C216" s="184" t="s">
        <v>380</v>
      </c>
      <c r="D216" s="877"/>
      <c r="E216" s="78"/>
      <c r="F216" s="872"/>
      <c r="G216" s="533"/>
      <c r="I216" s="631" t="s">
        <v>1085</v>
      </c>
      <c r="J216" s="629"/>
      <c r="K216" s="648">
        <f t="shared" si="3"/>
        <v>16</v>
      </c>
      <c r="L216" s="649">
        <f t="shared" si="4"/>
        <v>3</v>
      </c>
      <c r="M216" s="903"/>
      <c r="N216" s="622" t="str">
        <f t="shared" si="5"/>
        <v/>
      </c>
    </row>
    <row r="217" spans="2:14" ht="13.5" thickBot="1">
      <c r="B217" s="183"/>
      <c r="C217" s="184" t="s">
        <v>381</v>
      </c>
      <c r="D217" s="877"/>
      <c r="E217" s="78"/>
      <c r="F217" s="872"/>
      <c r="G217" s="533"/>
      <c r="I217" s="631" t="s">
        <v>1086</v>
      </c>
      <c r="J217" s="629"/>
      <c r="K217" s="648">
        <f t="shared" si="3"/>
        <v>15</v>
      </c>
      <c r="L217" s="649">
        <f t="shared" si="4"/>
        <v>3</v>
      </c>
      <c r="M217" s="903"/>
      <c r="N217" s="622" t="str">
        <f t="shared" si="5"/>
        <v/>
      </c>
    </row>
    <row r="218" spans="2:14">
      <c r="B218" s="16" t="s">
        <v>758</v>
      </c>
      <c r="C218" s="34"/>
      <c r="D218" s="891"/>
      <c r="E218" s="889"/>
      <c r="F218" s="889"/>
      <c r="G218" s="533"/>
      <c r="I218" s="631" t="s">
        <v>1087</v>
      </c>
      <c r="J218" s="629"/>
      <c r="K218" s="648">
        <f t="shared" si="3"/>
        <v>14</v>
      </c>
      <c r="L218" s="649">
        <f t="shared" si="4"/>
        <v>3</v>
      </c>
      <c r="M218" s="903"/>
      <c r="N218" s="622" t="str">
        <f t="shared" si="5"/>
        <v/>
      </c>
    </row>
    <row r="219" spans="2:14">
      <c r="B219" s="183" t="s">
        <v>752</v>
      </c>
      <c r="C219" s="184" t="s">
        <v>380</v>
      </c>
      <c r="D219" s="877"/>
      <c r="E219" s="881"/>
      <c r="F219" s="872"/>
      <c r="G219" s="533"/>
      <c r="I219" s="631" t="s">
        <v>1088</v>
      </c>
      <c r="J219" s="629"/>
      <c r="K219" s="648">
        <f t="shared" si="3"/>
        <v>13</v>
      </c>
      <c r="L219" s="649">
        <f t="shared" si="4"/>
        <v>3</v>
      </c>
      <c r="M219" s="903"/>
      <c r="N219" s="622" t="str">
        <f t="shared" si="5"/>
        <v/>
      </c>
    </row>
    <row r="220" spans="2:14">
      <c r="B220" s="183"/>
      <c r="C220" s="184" t="s">
        <v>381</v>
      </c>
      <c r="D220" s="877"/>
      <c r="E220" s="881"/>
      <c r="F220" s="872"/>
      <c r="G220" s="533"/>
      <c r="I220" s="631" t="s">
        <v>1089</v>
      </c>
      <c r="J220" s="629"/>
      <c r="K220" s="648">
        <f t="shared" si="3"/>
        <v>12</v>
      </c>
      <c r="L220" s="649">
        <f t="shared" si="4"/>
        <v>3</v>
      </c>
      <c r="M220" s="903"/>
      <c r="N220" s="622" t="str">
        <f t="shared" si="5"/>
        <v/>
      </c>
    </row>
    <row r="221" spans="2:14">
      <c r="B221" s="183" t="s">
        <v>753</v>
      </c>
      <c r="C221" s="184" t="s">
        <v>380</v>
      </c>
      <c r="D221" s="877"/>
      <c r="E221" s="881"/>
      <c r="F221" s="872"/>
      <c r="G221" s="533"/>
      <c r="I221" s="631" t="s">
        <v>1090</v>
      </c>
      <c r="J221" s="629"/>
      <c r="K221" s="648">
        <f t="shared" si="3"/>
        <v>11</v>
      </c>
      <c r="L221" s="649">
        <f t="shared" si="4"/>
        <v>3</v>
      </c>
      <c r="M221" s="903"/>
      <c r="N221" s="622" t="str">
        <f t="shared" si="5"/>
        <v/>
      </c>
    </row>
    <row r="222" spans="2:14">
      <c r="B222" s="183"/>
      <c r="C222" s="184" t="s">
        <v>381</v>
      </c>
      <c r="D222" s="877"/>
      <c r="E222" s="881"/>
      <c r="F222" s="872"/>
      <c r="G222" s="533"/>
      <c r="I222" s="631" t="s">
        <v>1091</v>
      </c>
      <c r="J222" s="629"/>
      <c r="K222" s="648">
        <f t="shared" si="3"/>
        <v>10</v>
      </c>
      <c r="L222" s="649">
        <f t="shared" si="4"/>
        <v>3</v>
      </c>
      <c r="M222" s="903"/>
      <c r="N222" s="622" t="str">
        <f t="shared" si="5"/>
        <v/>
      </c>
    </row>
    <row r="223" spans="2:14">
      <c r="B223" s="183" t="s">
        <v>754</v>
      </c>
      <c r="C223" s="184" t="s">
        <v>380</v>
      </c>
      <c r="D223" s="877"/>
      <c r="E223" s="881"/>
      <c r="F223" s="872"/>
      <c r="G223" s="533"/>
      <c r="I223" s="631" t="s">
        <v>1092</v>
      </c>
      <c r="J223" s="629"/>
      <c r="K223" s="648">
        <f t="shared" si="3"/>
        <v>9</v>
      </c>
      <c r="L223" s="649">
        <f t="shared" si="4"/>
        <v>3</v>
      </c>
      <c r="M223" s="903"/>
      <c r="N223" s="622" t="str">
        <f t="shared" si="5"/>
        <v/>
      </c>
    </row>
    <row r="224" spans="2:14">
      <c r="B224" s="183"/>
      <c r="C224" s="184" t="s">
        <v>381</v>
      </c>
      <c r="D224" s="877"/>
      <c r="E224" s="881"/>
      <c r="F224" s="872"/>
      <c r="G224" s="533"/>
      <c r="I224" s="631" t="s">
        <v>1093</v>
      </c>
      <c r="J224" s="629"/>
      <c r="K224" s="648">
        <f t="shared" si="3"/>
        <v>8</v>
      </c>
      <c r="L224" s="649">
        <f t="shared" si="4"/>
        <v>3</v>
      </c>
      <c r="M224" s="903"/>
      <c r="N224" s="622" t="str">
        <f t="shared" si="5"/>
        <v/>
      </c>
    </row>
    <row r="225" spans="2:14">
      <c r="B225" s="183" t="s">
        <v>392</v>
      </c>
      <c r="C225" s="184" t="s">
        <v>380</v>
      </c>
      <c r="D225" s="893"/>
      <c r="E225" s="894"/>
      <c r="F225" s="895"/>
      <c r="G225" s="533"/>
      <c r="I225" s="631" t="s">
        <v>1094</v>
      </c>
      <c r="J225" s="629"/>
      <c r="K225" s="648">
        <f t="shared" si="3"/>
        <v>7</v>
      </c>
      <c r="L225" s="649">
        <f t="shared" si="4"/>
        <v>3</v>
      </c>
      <c r="M225" s="903"/>
      <c r="N225" s="622" t="str">
        <f t="shared" si="5"/>
        <v/>
      </c>
    </row>
    <row r="226" spans="2:14">
      <c r="B226" s="183"/>
      <c r="C226" s="184" t="s">
        <v>381</v>
      </c>
      <c r="D226" s="893"/>
      <c r="E226" s="894"/>
      <c r="F226" s="895"/>
      <c r="G226" s="533"/>
      <c r="I226" s="631" t="s">
        <v>1095</v>
      </c>
      <c r="J226" s="629"/>
      <c r="K226" s="648">
        <f t="shared" si="3"/>
        <v>6</v>
      </c>
      <c r="L226" s="649">
        <f t="shared" si="4"/>
        <v>3</v>
      </c>
      <c r="M226" s="903"/>
      <c r="N226" s="622" t="str">
        <f t="shared" si="5"/>
        <v/>
      </c>
    </row>
    <row r="227" spans="2:14">
      <c r="B227" s="183" t="s">
        <v>755</v>
      </c>
      <c r="C227" s="184" t="s">
        <v>380</v>
      </c>
      <c r="D227" s="877"/>
      <c r="E227" s="78"/>
      <c r="F227" s="872"/>
      <c r="G227" s="533"/>
      <c r="I227" s="631" t="s">
        <v>1096</v>
      </c>
      <c r="J227" s="629"/>
      <c r="K227" s="648">
        <f t="shared" si="3"/>
        <v>5</v>
      </c>
      <c r="L227" s="649">
        <f t="shared" si="4"/>
        <v>3</v>
      </c>
      <c r="M227" s="903"/>
      <c r="N227" s="622" t="str">
        <f t="shared" si="5"/>
        <v/>
      </c>
    </row>
    <row r="228" spans="2:14">
      <c r="B228" s="183"/>
      <c r="C228" s="184" t="s">
        <v>381</v>
      </c>
      <c r="D228" s="877"/>
      <c r="E228" s="78"/>
      <c r="F228" s="872"/>
      <c r="G228" s="533"/>
      <c r="I228" s="631" t="s">
        <v>1097</v>
      </c>
      <c r="J228" s="629"/>
      <c r="K228" s="648">
        <f t="shared" si="3"/>
        <v>4</v>
      </c>
      <c r="L228" s="649">
        <f t="shared" si="4"/>
        <v>3</v>
      </c>
      <c r="M228" s="903"/>
      <c r="N228" s="622" t="str">
        <f t="shared" si="5"/>
        <v/>
      </c>
    </row>
    <row r="229" spans="2:14">
      <c r="B229" s="183" t="s">
        <v>756</v>
      </c>
      <c r="C229" s="184" t="s">
        <v>380</v>
      </c>
      <c r="D229" s="877"/>
      <c r="E229" s="78"/>
      <c r="F229" s="872"/>
      <c r="G229" s="533"/>
      <c r="I229" s="631" t="s">
        <v>1098</v>
      </c>
      <c r="J229" s="629"/>
      <c r="K229" s="648">
        <f t="shared" si="3"/>
        <v>3</v>
      </c>
      <c r="L229" s="649">
        <f t="shared" si="4"/>
        <v>3</v>
      </c>
      <c r="M229" s="903"/>
      <c r="N229" s="622" t="str">
        <f t="shared" si="5"/>
        <v/>
      </c>
    </row>
    <row r="230" spans="2:14" ht="13.5" thickBot="1">
      <c r="B230" s="183"/>
      <c r="C230" s="184" t="s">
        <v>381</v>
      </c>
      <c r="D230" s="877"/>
      <c r="E230" s="78"/>
      <c r="F230" s="872"/>
      <c r="G230" s="533"/>
      <c r="I230" s="631" t="s">
        <v>1099</v>
      </c>
      <c r="J230" s="629"/>
      <c r="K230" s="648">
        <f t="shared" si="3"/>
        <v>2</v>
      </c>
      <c r="L230" s="649">
        <f t="shared" si="4"/>
        <v>3</v>
      </c>
      <c r="M230" s="903"/>
      <c r="N230" s="622" t="str">
        <f t="shared" si="5"/>
        <v/>
      </c>
    </row>
    <row r="231" spans="2:14">
      <c r="B231" s="16" t="s">
        <v>759</v>
      </c>
      <c r="C231" s="34"/>
      <c r="D231" s="891"/>
      <c r="E231" s="889"/>
      <c r="F231" s="889"/>
      <c r="G231" s="533"/>
      <c r="I231" s="631" t="s">
        <v>1100</v>
      </c>
      <c r="J231" s="629"/>
      <c r="K231" s="648">
        <f t="shared" si="3"/>
        <v>1</v>
      </c>
      <c r="L231" s="649">
        <f t="shared" si="4"/>
        <v>3</v>
      </c>
      <c r="M231" s="903"/>
      <c r="N231" s="622" t="str">
        <f t="shared" si="5"/>
        <v/>
      </c>
    </row>
    <row r="232" spans="2:14">
      <c r="B232" s="183" t="s">
        <v>752</v>
      </c>
      <c r="C232" s="184" t="s">
        <v>380</v>
      </c>
      <c r="D232" s="877"/>
      <c r="E232" s="881"/>
      <c r="F232" s="872"/>
      <c r="G232" s="533"/>
      <c r="I232" s="631" t="s">
        <v>1101</v>
      </c>
      <c r="J232" s="629"/>
      <c r="K232" s="648">
        <f t="shared" si="3"/>
        <v>28</v>
      </c>
      <c r="L232" s="649">
        <f t="shared" si="4"/>
        <v>4</v>
      </c>
      <c r="M232" s="903"/>
      <c r="N232" s="622" t="str">
        <f t="shared" si="5"/>
        <v/>
      </c>
    </row>
    <row r="233" spans="2:14">
      <c r="B233" s="183"/>
      <c r="C233" s="184" t="s">
        <v>381</v>
      </c>
      <c r="D233" s="877"/>
      <c r="E233" s="881"/>
      <c r="F233" s="872"/>
      <c r="G233" s="533"/>
      <c r="I233" s="631" t="s">
        <v>1102</v>
      </c>
      <c r="J233" s="629"/>
      <c r="K233" s="648">
        <f t="shared" si="3"/>
        <v>27</v>
      </c>
      <c r="L233" s="649">
        <f t="shared" si="4"/>
        <v>4</v>
      </c>
      <c r="M233" s="903"/>
      <c r="N233" s="622" t="str">
        <f t="shared" si="5"/>
        <v/>
      </c>
    </row>
    <row r="234" spans="2:14">
      <c r="B234" s="183" t="s">
        <v>753</v>
      </c>
      <c r="C234" s="184" t="s">
        <v>380</v>
      </c>
      <c r="D234" s="877"/>
      <c r="E234" s="881"/>
      <c r="F234" s="872"/>
      <c r="G234" s="533"/>
      <c r="I234" s="631" t="s">
        <v>1103</v>
      </c>
      <c r="J234" s="629"/>
      <c r="K234" s="648">
        <f t="shared" si="3"/>
        <v>26</v>
      </c>
      <c r="L234" s="649">
        <f t="shared" si="4"/>
        <v>4</v>
      </c>
      <c r="M234" s="903"/>
      <c r="N234" s="622" t="str">
        <f t="shared" si="5"/>
        <v/>
      </c>
    </row>
    <row r="235" spans="2:14">
      <c r="B235" s="183"/>
      <c r="C235" s="184" t="s">
        <v>381</v>
      </c>
      <c r="D235" s="877"/>
      <c r="E235" s="881"/>
      <c r="F235" s="872"/>
      <c r="G235" s="533"/>
      <c r="I235" s="631" t="s">
        <v>1104</v>
      </c>
      <c r="J235" s="629"/>
      <c r="K235" s="648">
        <f t="shared" si="3"/>
        <v>25</v>
      </c>
      <c r="L235" s="649">
        <f t="shared" si="4"/>
        <v>4</v>
      </c>
      <c r="M235" s="903"/>
      <c r="N235" s="622" t="str">
        <f t="shared" si="5"/>
        <v/>
      </c>
    </row>
    <row r="236" spans="2:14">
      <c r="B236" s="183" t="s">
        <v>754</v>
      </c>
      <c r="C236" s="184" t="s">
        <v>380</v>
      </c>
      <c r="D236" s="877"/>
      <c r="E236" s="881"/>
      <c r="F236" s="872"/>
      <c r="G236" s="533"/>
      <c r="I236" s="631" t="s">
        <v>1105</v>
      </c>
      <c r="J236" s="629"/>
      <c r="K236" s="648">
        <f t="shared" si="3"/>
        <v>24</v>
      </c>
      <c r="L236" s="649">
        <f t="shared" si="4"/>
        <v>4</v>
      </c>
      <c r="M236" s="903"/>
      <c r="N236" s="622" t="str">
        <f t="shared" si="5"/>
        <v/>
      </c>
    </row>
    <row r="237" spans="2:14">
      <c r="B237" s="183"/>
      <c r="C237" s="184" t="s">
        <v>381</v>
      </c>
      <c r="D237" s="877"/>
      <c r="E237" s="881"/>
      <c r="F237" s="872"/>
      <c r="G237" s="533"/>
      <c r="I237" s="631" t="s">
        <v>1106</v>
      </c>
      <c r="J237" s="629"/>
      <c r="K237" s="648">
        <f t="shared" si="3"/>
        <v>23</v>
      </c>
      <c r="L237" s="649">
        <f t="shared" si="4"/>
        <v>4</v>
      </c>
      <c r="M237" s="903"/>
      <c r="N237" s="622" t="str">
        <f t="shared" si="5"/>
        <v/>
      </c>
    </row>
    <row r="238" spans="2:14">
      <c r="B238" s="183" t="s">
        <v>392</v>
      </c>
      <c r="C238" s="184" t="s">
        <v>380</v>
      </c>
      <c r="D238" s="893"/>
      <c r="E238" s="894"/>
      <c r="F238" s="895"/>
      <c r="G238" s="533"/>
      <c r="I238" s="631" t="s">
        <v>1107</v>
      </c>
      <c r="J238" s="629"/>
      <c r="K238" s="648">
        <f t="shared" si="3"/>
        <v>22</v>
      </c>
      <c r="L238" s="649">
        <f t="shared" si="4"/>
        <v>4</v>
      </c>
      <c r="M238" s="903"/>
      <c r="N238" s="622" t="str">
        <f t="shared" si="5"/>
        <v/>
      </c>
    </row>
    <row r="239" spans="2:14">
      <c r="B239" s="183"/>
      <c r="C239" s="184" t="s">
        <v>381</v>
      </c>
      <c r="D239" s="893"/>
      <c r="E239" s="894"/>
      <c r="F239" s="895"/>
      <c r="G239" s="533"/>
      <c r="I239" s="631" t="s">
        <v>1108</v>
      </c>
      <c r="J239" s="629"/>
      <c r="K239" s="648">
        <f t="shared" si="3"/>
        <v>21</v>
      </c>
      <c r="L239" s="649">
        <f t="shared" si="4"/>
        <v>4</v>
      </c>
      <c r="M239" s="903"/>
      <c r="N239" s="622" t="str">
        <f t="shared" si="5"/>
        <v/>
      </c>
    </row>
    <row r="240" spans="2:14">
      <c r="B240" s="183" t="s">
        <v>755</v>
      </c>
      <c r="C240" s="184" t="s">
        <v>380</v>
      </c>
      <c r="D240" s="877"/>
      <c r="E240" s="78"/>
      <c r="F240" s="872"/>
      <c r="G240" s="533"/>
      <c r="I240" s="631" t="s">
        <v>1109</v>
      </c>
      <c r="J240" s="629"/>
      <c r="K240" s="648">
        <f t="shared" si="3"/>
        <v>20</v>
      </c>
      <c r="L240" s="649">
        <f t="shared" si="4"/>
        <v>4</v>
      </c>
      <c r="M240" s="903"/>
      <c r="N240" s="622" t="str">
        <f t="shared" si="5"/>
        <v/>
      </c>
    </row>
    <row r="241" spans="2:14">
      <c r="B241" s="183"/>
      <c r="C241" s="184" t="s">
        <v>381</v>
      </c>
      <c r="D241" s="877"/>
      <c r="E241" s="78"/>
      <c r="F241" s="872"/>
      <c r="G241" s="533"/>
      <c r="I241" s="631" t="s">
        <v>1110</v>
      </c>
      <c r="J241" s="629"/>
      <c r="K241" s="648">
        <f t="shared" si="3"/>
        <v>19</v>
      </c>
      <c r="L241" s="649">
        <f t="shared" si="4"/>
        <v>4</v>
      </c>
      <c r="M241" s="903"/>
      <c r="N241" s="622" t="str">
        <f t="shared" si="5"/>
        <v/>
      </c>
    </row>
    <row r="242" spans="2:14">
      <c r="B242" s="183" t="s">
        <v>756</v>
      </c>
      <c r="C242" s="184" t="s">
        <v>380</v>
      </c>
      <c r="D242" s="877"/>
      <c r="E242" s="78"/>
      <c r="F242" s="872"/>
      <c r="G242" s="533"/>
      <c r="I242" s="631" t="s">
        <v>1111</v>
      </c>
      <c r="J242" s="629"/>
      <c r="K242" s="648">
        <f t="shared" si="3"/>
        <v>18</v>
      </c>
      <c r="L242" s="649">
        <f t="shared" si="4"/>
        <v>4</v>
      </c>
      <c r="M242" s="903"/>
      <c r="N242" s="622" t="str">
        <f t="shared" si="5"/>
        <v/>
      </c>
    </row>
    <row r="243" spans="2:14" ht="13.5" thickBot="1">
      <c r="B243" s="187"/>
      <c r="C243" s="191" t="s">
        <v>381</v>
      </c>
      <c r="D243" s="885"/>
      <c r="E243" s="78"/>
      <c r="F243" s="887"/>
      <c r="G243" s="533"/>
      <c r="I243" s="631" t="s">
        <v>1112</v>
      </c>
      <c r="J243" s="629"/>
      <c r="K243" s="648">
        <f t="shared" si="3"/>
        <v>17</v>
      </c>
      <c r="L243" s="649">
        <f t="shared" si="4"/>
        <v>4</v>
      </c>
      <c r="M243" s="903"/>
      <c r="N243" s="622" t="str">
        <f t="shared" si="5"/>
        <v/>
      </c>
    </row>
    <row r="244" spans="2:14">
      <c r="B244" s="16" t="s">
        <v>760</v>
      </c>
      <c r="C244" s="34"/>
      <c r="D244" s="891"/>
      <c r="E244" s="889"/>
      <c r="F244" s="889"/>
      <c r="G244" s="533"/>
      <c r="I244" s="631" t="s">
        <v>1113</v>
      </c>
      <c r="J244" s="629"/>
      <c r="K244" s="648">
        <f t="shared" si="3"/>
        <v>16</v>
      </c>
      <c r="L244" s="649">
        <f t="shared" si="4"/>
        <v>4</v>
      </c>
      <c r="M244" s="903"/>
      <c r="N244" s="622" t="str">
        <f t="shared" si="5"/>
        <v/>
      </c>
    </row>
    <row r="245" spans="2:14">
      <c r="B245" s="183" t="s">
        <v>387</v>
      </c>
      <c r="C245" s="184" t="s">
        <v>380</v>
      </c>
      <c r="D245" s="877"/>
      <c r="E245" s="881"/>
      <c r="F245" s="872"/>
      <c r="G245" s="533"/>
      <c r="I245" s="631" t="s">
        <v>1114</v>
      </c>
      <c r="J245" s="629"/>
      <c r="K245" s="648">
        <f t="shared" si="3"/>
        <v>15</v>
      </c>
      <c r="L245" s="649">
        <f t="shared" si="4"/>
        <v>4</v>
      </c>
      <c r="M245" s="903"/>
      <c r="N245" s="622" t="str">
        <f t="shared" si="5"/>
        <v/>
      </c>
    </row>
    <row r="246" spans="2:14" ht="13.5" thickBot="1">
      <c r="B246" s="183"/>
      <c r="C246" s="184" t="s">
        <v>381</v>
      </c>
      <c r="D246" s="877"/>
      <c r="E246" s="881"/>
      <c r="F246" s="872"/>
      <c r="G246" s="533"/>
      <c r="I246" s="631" t="s">
        <v>1115</v>
      </c>
      <c r="J246" s="629"/>
      <c r="K246" s="648">
        <f t="shared" si="3"/>
        <v>14</v>
      </c>
      <c r="L246" s="649">
        <f t="shared" si="4"/>
        <v>4</v>
      </c>
      <c r="M246" s="903"/>
      <c r="N246" s="622" t="str">
        <f t="shared" si="5"/>
        <v/>
      </c>
    </row>
    <row r="247" spans="2:14">
      <c r="B247" s="16" t="s">
        <v>761</v>
      </c>
      <c r="C247" s="34"/>
      <c r="D247" s="896"/>
      <c r="E247" s="897"/>
      <c r="F247" s="897"/>
      <c r="G247" s="533"/>
      <c r="I247" s="631" t="s">
        <v>1116</v>
      </c>
      <c r="J247" s="629"/>
      <c r="K247" s="648">
        <f t="shared" si="3"/>
        <v>13</v>
      </c>
      <c r="L247" s="649">
        <f t="shared" si="4"/>
        <v>4</v>
      </c>
      <c r="M247" s="903"/>
      <c r="N247" s="622" t="str">
        <f t="shared" si="5"/>
        <v/>
      </c>
    </row>
    <row r="248" spans="2:14">
      <c r="B248" s="183" t="s">
        <v>387</v>
      </c>
      <c r="C248" s="184" t="s">
        <v>380</v>
      </c>
      <c r="D248" s="877"/>
      <c r="E248" s="881"/>
      <c r="F248" s="872"/>
      <c r="G248" s="533"/>
      <c r="I248" s="631" t="s">
        <v>1117</v>
      </c>
      <c r="J248" s="629"/>
      <c r="K248" s="648">
        <f t="shared" si="3"/>
        <v>12</v>
      </c>
      <c r="L248" s="649">
        <f t="shared" si="4"/>
        <v>4</v>
      </c>
      <c r="M248" s="903"/>
      <c r="N248" s="622" t="str">
        <f t="shared" si="5"/>
        <v/>
      </c>
    </row>
    <row r="249" spans="2:14">
      <c r="B249" s="183"/>
      <c r="C249" s="184" t="s">
        <v>381</v>
      </c>
      <c r="D249" s="877"/>
      <c r="E249" s="881"/>
      <c r="F249" s="872"/>
      <c r="G249" s="533"/>
      <c r="I249" s="631" t="s">
        <v>1118</v>
      </c>
      <c r="J249" s="629"/>
      <c r="K249" s="648">
        <f t="shared" si="3"/>
        <v>11</v>
      </c>
      <c r="L249" s="649">
        <f t="shared" si="4"/>
        <v>4</v>
      </c>
      <c r="M249" s="903"/>
      <c r="N249" s="622" t="str">
        <f t="shared" si="5"/>
        <v/>
      </c>
    </row>
    <row r="250" spans="2:14">
      <c r="B250" s="183" t="s">
        <v>388</v>
      </c>
      <c r="C250" s="184" t="s">
        <v>380</v>
      </c>
      <c r="D250" s="877"/>
      <c r="E250" s="881"/>
      <c r="F250" s="872"/>
      <c r="G250" s="533"/>
      <c r="I250" s="631" t="s">
        <v>1119</v>
      </c>
      <c r="J250" s="629"/>
      <c r="K250" s="648">
        <f t="shared" si="3"/>
        <v>10</v>
      </c>
      <c r="L250" s="649">
        <f t="shared" si="4"/>
        <v>4</v>
      </c>
      <c r="M250" s="903"/>
      <c r="N250" s="622" t="str">
        <f t="shared" si="5"/>
        <v/>
      </c>
    </row>
    <row r="251" spans="2:14">
      <c r="B251" s="183"/>
      <c r="C251" s="184" t="s">
        <v>381</v>
      </c>
      <c r="D251" s="877"/>
      <c r="E251" s="881"/>
      <c r="F251" s="872"/>
      <c r="G251" s="533"/>
      <c r="I251" s="631" t="s">
        <v>1120</v>
      </c>
      <c r="J251" s="629"/>
      <c r="K251" s="648">
        <f t="shared" si="3"/>
        <v>9</v>
      </c>
      <c r="L251" s="649">
        <f t="shared" si="4"/>
        <v>4</v>
      </c>
      <c r="M251" s="903"/>
      <c r="N251" s="622" t="str">
        <f t="shared" si="5"/>
        <v/>
      </c>
    </row>
    <row r="252" spans="2:14">
      <c r="B252" s="183" t="s">
        <v>389</v>
      </c>
      <c r="C252" s="184" t="s">
        <v>380</v>
      </c>
      <c r="D252" s="877"/>
      <c r="E252" s="881"/>
      <c r="F252" s="872"/>
      <c r="G252" s="533"/>
      <c r="I252" s="631" t="s">
        <v>1121</v>
      </c>
      <c r="J252" s="629"/>
      <c r="K252" s="648">
        <f t="shared" si="3"/>
        <v>8</v>
      </c>
      <c r="L252" s="649">
        <f t="shared" si="4"/>
        <v>4</v>
      </c>
      <c r="M252" s="903"/>
      <c r="N252" s="622" t="str">
        <f t="shared" si="5"/>
        <v/>
      </c>
    </row>
    <row r="253" spans="2:14">
      <c r="B253" s="183"/>
      <c r="C253" s="184" t="s">
        <v>381</v>
      </c>
      <c r="D253" s="877"/>
      <c r="E253" s="881"/>
      <c r="F253" s="872"/>
      <c r="G253" s="533"/>
      <c r="I253" s="631" t="s">
        <v>1122</v>
      </c>
      <c r="J253" s="629"/>
      <c r="K253" s="648">
        <f t="shared" si="3"/>
        <v>7</v>
      </c>
      <c r="L253" s="649">
        <f t="shared" si="4"/>
        <v>4</v>
      </c>
      <c r="M253" s="903"/>
      <c r="N253" s="622" t="str">
        <f t="shared" si="5"/>
        <v/>
      </c>
    </row>
    <row r="254" spans="2:14">
      <c r="B254" s="183" t="s">
        <v>762</v>
      </c>
      <c r="C254" s="184" t="s">
        <v>380</v>
      </c>
      <c r="D254" s="877"/>
      <c r="E254" s="881"/>
      <c r="F254" s="872"/>
      <c r="G254" s="533"/>
      <c r="I254" s="631" t="s">
        <v>1123</v>
      </c>
      <c r="J254" s="629"/>
      <c r="K254" s="648">
        <f t="shared" si="3"/>
        <v>6</v>
      </c>
      <c r="L254" s="649">
        <f t="shared" si="4"/>
        <v>4</v>
      </c>
      <c r="M254" s="903"/>
      <c r="N254" s="622" t="str">
        <f t="shared" si="5"/>
        <v/>
      </c>
    </row>
    <row r="255" spans="2:14" ht="13.5" thickBot="1">
      <c r="B255" s="187"/>
      <c r="C255" s="191" t="s">
        <v>381</v>
      </c>
      <c r="D255" s="885"/>
      <c r="E255" s="886"/>
      <c r="F255" s="887"/>
      <c r="G255" s="533"/>
      <c r="I255" s="631" t="s">
        <v>1124</v>
      </c>
      <c r="J255" s="629"/>
      <c r="K255" s="648">
        <f t="shared" si="3"/>
        <v>5</v>
      </c>
      <c r="L255" s="649">
        <f t="shared" si="4"/>
        <v>4</v>
      </c>
      <c r="M255" s="903"/>
      <c r="N255" s="622" t="str">
        <f t="shared" si="5"/>
        <v/>
      </c>
    </row>
    <row r="256" spans="2:14">
      <c r="B256" s="16" t="s">
        <v>329</v>
      </c>
      <c r="C256" s="34"/>
      <c r="D256" s="896"/>
      <c r="E256" s="897"/>
      <c r="F256" s="897"/>
      <c r="G256" s="533"/>
      <c r="I256" s="631" t="s">
        <v>1125</v>
      </c>
      <c r="J256" s="629"/>
      <c r="K256" s="648">
        <f t="shared" si="3"/>
        <v>4</v>
      </c>
      <c r="L256" s="649">
        <f t="shared" si="4"/>
        <v>4</v>
      </c>
      <c r="M256" s="903"/>
      <c r="N256" s="622" t="str">
        <f t="shared" si="5"/>
        <v/>
      </c>
    </row>
    <row r="257" spans="2:14">
      <c r="B257" s="183" t="s">
        <v>387</v>
      </c>
      <c r="C257" s="184" t="s">
        <v>380</v>
      </c>
      <c r="D257" s="877"/>
      <c r="E257" s="881"/>
      <c r="F257" s="872"/>
      <c r="G257" s="533"/>
      <c r="I257" s="631" t="s">
        <v>1126</v>
      </c>
      <c r="J257" s="629"/>
      <c r="K257" s="648">
        <f t="shared" si="3"/>
        <v>3</v>
      </c>
      <c r="L257" s="649">
        <f t="shared" si="4"/>
        <v>4</v>
      </c>
      <c r="M257" s="903"/>
      <c r="N257" s="622" t="str">
        <f t="shared" si="5"/>
        <v/>
      </c>
    </row>
    <row r="258" spans="2:14">
      <c r="B258" s="183"/>
      <c r="C258" s="184" t="s">
        <v>381</v>
      </c>
      <c r="D258" s="877"/>
      <c r="E258" s="881"/>
      <c r="F258" s="872"/>
      <c r="G258" s="533"/>
      <c r="I258" s="631" t="s">
        <v>1127</v>
      </c>
      <c r="J258" s="629"/>
      <c r="K258" s="648">
        <f t="shared" si="3"/>
        <v>2</v>
      </c>
      <c r="L258" s="649">
        <f t="shared" si="4"/>
        <v>4</v>
      </c>
      <c r="M258" s="903"/>
      <c r="N258" s="622" t="str">
        <f t="shared" si="5"/>
        <v/>
      </c>
    </row>
    <row r="259" spans="2:14">
      <c r="B259" s="183" t="s">
        <v>388</v>
      </c>
      <c r="C259" s="184" t="s">
        <v>380</v>
      </c>
      <c r="D259" s="877"/>
      <c r="E259" s="881"/>
      <c r="F259" s="872"/>
      <c r="G259" s="533"/>
      <c r="I259" s="631" t="s">
        <v>1128</v>
      </c>
      <c r="J259" s="629"/>
      <c r="K259" s="648">
        <f t="shared" si="3"/>
        <v>1</v>
      </c>
      <c r="L259" s="649">
        <f t="shared" si="4"/>
        <v>4</v>
      </c>
      <c r="M259" s="903"/>
      <c r="N259" s="622" t="str">
        <f t="shared" si="5"/>
        <v/>
      </c>
    </row>
    <row r="260" spans="2:14">
      <c r="B260" s="183"/>
      <c r="C260" s="184" t="s">
        <v>381</v>
      </c>
      <c r="D260" s="877"/>
      <c r="E260" s="881"/>
      <c r="F260" s="872"/>
      <c r="G260" s="533"/>
      <c r="I260" s="631" t="s">
        <v>1129</v>
      </c>
      <c r="J260" s="629"/>
      <c r="K260" s="648">
        <f t="shared" si="3"/>
        <v>28</v>
      </c>
      <c r="L260" s="649">
        <f t="shared" si="4"/>
        <v>5</v>
      </c>
      <c r="M260" s="903"/>
      <c r="N260" s="622" t="str">
        <f t="shared" si="5"/>
        <v/>
      </c>
    </row>
    <row r="261" spans="2:14">
      <c r="B261" s="183" t="s">
        <v>389</v>
      </c>
      <c r="C261" s="184" t="s">
        <v>380</v>
      </c>
      <c r="D261" s="877"/>
      <c r="E261" s="881"/>
      <c r="F261" s="872"/>
      <c r="G261" s="533"/>
      <c r="I261" s="631" t="s">
        <v>1130</v>
      </c>
      <c r="J261" s="629"/>
      <c r="K261" s="648">
        <f t="shared" si="3"/>
        <v>27</v>
      </c>
      <c r="L261" s="649">
        <f t="shared" si="4"/>
        <v>5</v>
      </c>
      <c r="M261" s="903"/>
      <c r="N261" s="622" t="str">
        <f t="shared" si="5"/>
        <v/>
      </c>
    </row>
    <row r="262" spans="2:14">
      <c r="B262" s="183"/>
      <c r="C262" s="184" t="s">
        <v>381</v>
      </c>
      <c r="D262" s="877"/>
      <c r="E262" s="881"/>
      <c r="F262" s="872"/>
      <c r="G262" s="533"/>
      <c r="I262" s="631" t="s">
        <v>1131</v>
      </c>
      <c r="J262" s="629"/>
      <c r="K262" s="648">
        <f t="shared" si="3"/>
        <v>26</v>
      </c>
      <c r="L262" s="649">
        <f t="shared" si="4"/>
        <v>5</v>
      </c>
      <c r="M262" s="903"/>
      <c r="N262" s="622" t="str">
        <f t="shared" si="5"/>
        <v/>
      </c>
    </row>
    <row r="263" spans="2:14">
      <c r="B263" s="183" t="s">
        <v>762</v>
      </c>
      <c r="C263" s="184" t="s">
        <v>380</v>
      </c>
      <c r="D263" s="877"/>
      <c r="E263" s="881"/>
      <c r="F263" s="872"/>
      <c r="G263" s="533"/>
      <c r="I263" s="631" t="s">
        <v>1132</v>
      </c>
      <c r="J263" s="629"/>
      <c r="K263" s="648">
        <f t="shared" si="3"/>
        <v>25</v>
      </c>
      <c r="L263" s="649">
        <f t="shared" si="4"/>
        <v>5</v>
      </c>
      <c r="M263" s="903"/>
      <c r="N263" s="622" t="str">
        <f t="shared" si="5"/>
        <v/>
      </c>
    </row>
    <row r="264" spans="2:14" ht="13.5" thickBot="1">
      <c r="B264" s="187"/>
      <c r="C264" s="191" t="s">
        <v>381</v>
      </c>
      <c r="D264" s="885"/>
      <c r="E264" s="886"/>
      <c r="F264" s="887"/>
      <c r="G264" s="533"/>
      <c r="I264" s="631" t="s">
        <v>1133</v>
      </c>
      <c r="J264" s="629"/>
      <c r="K264" s="648">
        <f t="shared" si="3"/>
        <v>24</v>
      </c>
      <c r="L264" s="649">
        <f t="shared" si="4"/>
        <v>5</v>
      </c>
      <c r="M264" s="903"/>
      <c r="N264" s="622" t="str">
        <f t="shared" si="5"/>
        <v/>
      </c>
    </row>
    <row r="265" spans="2:14">
      <c r="B265" s="16" t="s">
        <v>416</v>
      </c>
      <c r="C265" s="34"/>
      <c r="D265" s="896"/>
      <c r="E265" s="897"/>
      <c r="F265" s="897"/>
      <c r="G265" s="533"/>
      <c r="I265" s="631" t="s">
        <v>1134</v>
      </c>
      <c r="J265" s="629"/>
      <c r="K265" s="648">
        <f t="shared" si="3"/>
        <v>23</v>
      </c>
      <c r="L265" s="649">
        <f t="shared" si="4"/>
        <v>5</v>
      </c>
      <c r="M265" s="903"/>
      <c r="N265" s="622" t="str">
        <f t="shared" si="5"/>
        <v/>
      </c>
    </row>
    <row r="266" spans="2:14">
      <c r="B266" s="183" t="s">
        <v>387</v>
      </c>
      <c r="C266" s="184" t="s">
        <v>380</v>
      </c>
      <c r="D266" s="877"/>
      <c r="E266" s="881"/>
      <c r="F266" s="872"/>
      <c r="G266" s="533"/>
      <c r="I266" s="631" t="s">
        <v>1135</v>
      </c>
      <c r="J266" s="629"/>
      <c r="K266" s="648">
        <f t="shared" si="3"/>
        <v>22</v>
      </c>
      <c r="L266" s="649">
        <f t="shared" si="4"/>
        <v>5</v>
      </c>
      <c r="M266" s="903"/>
      <c r="N266" s="622" t="str">
        <f t="shared" si="5"/>
        <v/>
      </c>
    </row>
    <row r="267" spans="2:14">
      <c r="B267" s="183"/>
      <c r="C267" s="184" t="s">
        <v>381</v>
      </c>
      <c r="D267" s="877"/>
      <c r="E267" s="881"/>
      <c r="F267" s="872"/>
      <c r="G267" s="533"/>
      <c r="I267" s="631" t="s">
        <v>1136</v>
      </c>
      <c r="J267" s="629"/>
      <c r="K267" s="648">
        <f t="shared" si="3"/>
        <v>21</v>
      </c>
      <c r="L267" s="649">
        <f t="shared" si="4"/>
        <v>5</v>
      </c>
      <c r="M267" s="903"/>
      <c r="N267" s="622" t="str">
        <f t="shared" si="5"/>
        <v/>
      </c>
    </row>
    <row r="268" spans="2:14">
      <c r="B268" s="183" t="s">
        <v>388</v>
      </c>
      <c r="C268" s="184" t="s">
        <v>380</v>
      </c>
      <c r="D268" s="877"/>
      <c r="E268" s="881"/>
      <c r="F268" s="872"/>
      <c r="G268" s="533"/>
      <c r="I268" s="631" t="s">
        <v>1137</v>
      </c>
      <c r="J268" s="629"/>
      <c r="K268" s="648">
        <f t="shared" si="3"/>
        <v>20</v>
      </c>
      <c r="L268" s="649">
        <f t="shared" si="4"/>
        <v>5</v>
      </c>
      <c r="M268" s="903"/>
      <c r="N268" s="622" t="str">
        <f t="shared" si="5"/>
        <v/>
      </c>
    </row>
    <row r="269" spans="2:14">
      <c r="B269" s="183"/>
      <c r="C269" s="184" t="s">
        <v>381</v>
      </c>
      <c r="D269" s="877"/>
      <c r="E269" s="881"/>
      <c r="F269" s="872"/>
      <c r="G269" s="533"/>
      <c r="I269" s="631" t="s">
        <v>1138</v>
      </c>
      <c r="J269" s="629"/>
      <c r="K269" s="648">
        <f t="shared" si="3"/>
        <v>19</v>
      </c>
      <c r="L269" s="649">
        <f t="shared" si="4"/>
        <v>5</v>
      </c>
      <c r="M269" s="903"/>
      <c r="N269" s="622" t="str">
        <f t="shared" si="5"/>
        <v/>
      </c>
    </row>
    <row r="270" spans="2:14">
      <c r="B270" s="183" t="s">
        <v>389</v>
      </c>
      <c r="C270" s="184" t="s">
        <v>380</v>
      </c>
      <c r="D270" s="877"/>
      <c r="E270" s="881"/>
      <c r="F270" s="872"/>
      <c r="G270" s="533"/>
      <c r="I270" s="631" t="s">
        <v>1139</v>
      </c>
      <c r="J270" s="629"/>
      <c r="K270" s="648">
        <f t="shared" si="3"/>
        <v>18</v>
      </c>
      <c r="L270" s="649">
        <f t="shared" si="4"/>
        <v>5</v>
      </c>
      <c r="M270" s="903"/>
      <c r="N270" s="622" t="str">
        <f t="shared" si="5"/>
        <v/>
      </c>
    </row>
    <row r="271" spans="2:14">
      <c r="B271" s="183"/>
      <c r="C271" s="184" t="s">
        <v>381</v>
      </c>
      <c r="D271" s="877"/>
      <c r="E271" s="881"/>
      <c r="F271" s="872"/>
      <c r="G271" s="533"/>
      <c r="I271" s="631" t="s">
        <v>1140</v>
      </c>
      <c r="J271" s="629"/>
      <c r="K271" s="648">
        <f t="shared" si="3"/>
        <v>17</v>
      </c>
      <c r="L271" s="649">
        <f t="shared" si="4"/>
        <v>5</v>
      </c>
      <c r="M271" s="903"/>
      <c r="N271" s="622" t="str">
        <f t="shared" si="5"/>
        <v/>
      </c>
    </row>
    <row r="272" spans="2:14">
      <c r="B272" s="183" t="s">
        <v>762</v>
      </c>
      <c r="C272" s="184" t="s">
        <v>380</v>
      </c>
      <c r="D272" s="877"/>
      <c r="E272" s="881"/>
      <c r="F272" s="872"/>
      <c r="G272" s="533"/>
      <c r="I272" s="631" t="s">
        <v>1141</v>
      </c>
      <c r="J272" s="629"/>
      <c r="K272" s="648">
        <f t="shared" si="3"/>
        <v>16</v>
      </c>
      <c r="L272" s="649">
        <f t="shared" si="4"/>
        <v>5</v>
      </c>
      <c r="M272" s="903"/>
      <c r="N272" s="622" t="str">
        <f t="shared" si="5"/>
        <v/>
      </c>
    </row>
    <row r="273" spans="2:14">
      <c r="B273" s="183"/>
      <c r="C273" s="184" t="s">
        <v>381</v>
      </c>
      <c r="D273" s="877"/>
      <c r="E273" s="881"/>
      <c r="F273" s="872"/>
      <c r="G273" s="533"/>
      <c r="I273" s="631" t="s">
        <v>1142</v>
      </c>
      <c r="J273" s="629"/>
      <c r="K273" s="648">
        <f t="shared" si="3"/>
        <v>15</v>
      </c>
      <c r="L273" s="649">
        <f t="shared" si="4"/>
        <v>5</v>
      </c>
      <c r="M273" s="903"/>
      <c r="N273" s="622" t="str">
        <f t="shared" si="5"/>
        <v/>
      </c>
    </row>
    <row r="274" spans="2:14">
      <c r="B274" s="183" t="s">
        <v>379</v>
      </c>
      <c r="C274" s="184" t="s">
        <v>380</v>
      </c>
      <c r="D274" s="877"/>
      <c r="E274" s="881"/>
      <c r="F274" s="872"/>
      <c r="G274" s="533"/>
      <c r="I274" s="631" t="s">
        <v>1143</v>
      </c>
      <c r="J274" s="629"/>
      <c r="K274" s="648">
        <f t="shared" si="3"/>
        <v>14</v>
      </c>
      <c r="L274" s="649">
        <f t="shared" si="4"/>
        <v>5</v>
      </c>
      <c r="M274" s="903"/>
      <c r="N274" s="622" t="str">
        <f t="shared" si="5"/>
        <v/>
      </c>
    </row>
    <row r="275" spans="2:14">
      <c r="B275" s="183"/>
      <c r="C275" s="184" t="s">
        <v>381</v>
      </c>
      <c r="D275" s="877"/>
      <c r="E275" s="881"/>
      <c r="F275" s="872"/>
      <c r="G275" s="533"/>
      <c r="I275" s="631" t="s">
        <v>1144</v>
      </c>
      <c r="J275" s="629"/>
      <c r="K275" s="648">
        <f t="shared" si="3"/>
        <v>13</v>
      </c>
      <c r="L275" s="649">
        <f t="shared" si="4"/>
        <v>5</v>
      </c>
      <c r="M275" s="903"/>
      <c r="N275" s="622" t="str">
        <f t="shared" si="5"/>
        <v/>
      </c>
    </row>
    <row r="276" spans="2:14">
      <c r="B276" s="183" t="s">
        <v>382</v>
      </c>
      <c r="C276" s="184" t="s">
        <v>380</v>
      </c>
      <c r="D276" s="877"/>
      <c r="E276" s="881"/>
      <c r="F276" s="872"/>
      <c r="G276" s="533"/>
      <c r="I276" s="631" t="s">
        <v>1145</v>
      </c>
      <c r="J276" s="629"/>
      <c r="K276" s="648">
        <f t="shared" si="3"/>
        <v>12</v>
      </c>
      <c r="L276" s="649">
        <f t="shared" si="4"/>
        <v>5</v>
      </c>
      <c r="M276" s="903"/>
      <c r="N276" s="622" t="str">
        <f t="shared" si="5"/>
        <v/>
      </c>
    </row>
    <row r="277" spans="2:14">
      <c r="B277" s="183"/>
      <c r="C277" s="184" t="s">
        <v>381</v>
      </c>
      <c r="D277" s="877"/>
      <c r="E277" s="881"/>
      <c r="F277" s="872"/>
      <c r="G277" s="533"/>
      <c r="I277" s="631" t="s">
        <v>1146</v>
      </c>
      <c r="J277" s="629"/>
      <c r="K277" s="648">
        <f t="shared" ref="K277:K340" si="6">1+(RIGHT(I277,LEN(I277)-FIND(",",I277))-10)/20</f>
        <v>11</v>
      </c>
      <c r="L277" s="649">
        <f t="shared" ref="L277:L340" si="7">1+((LEFT(I277,FIND(",",I277)-1)*-1)-10)/20</f>
        <v>5</v>
      </c>
      <c r="M277" s="903"/>
      <c r="N277" s="622" t="str">
        <f t="shared" ref="N277:N340" si="8">IF(AND(K277&lt;=$I$144,K277&gt;=$I$145,L277&gt;=$M$143,L277&lt;=$N$143),MIN(ROUND(M277,2),633),"")</f>
        <v/>
      </c>
    </row>
    <row r="278" spans="2:14">
      <c r="B278" s="183" t="s">
        <v>386</v>
      </c>
      <c r="C278" s="184" t="s">
        <v>380</v>
      </c>
      <c r="D278" s="877"/>
      <c r="E278" s="881"/>
      <c r="F278" s="872"/>
      <c r="G278" s="533"/>
      <c r="I278" s="631" t="s">
        <v>1147</v>
      </c>
      <c r="J278" s="629"/>
      <c r="K278" s="648">
        <f t="shared" si="6"/>
        <v>10</v>
      </c>
      <c r="L278" s="649">
        <f t="shared" si="7"/>
        <v>5</v>
      </c>
      <c r="M278" s="903"/>
      <c r="N278" s="622" t="str">
        <f t="shared" si="8"/>
        <v/>
      </c>
    </row>
    <row r="279" spans="2:14">
      <c r="B279" s="183"/>
      <c r="C279" s="184" t="s">
        <v>381</v>
      </c>
      <c r="D279" s="877"/>
      <c r="E279" s="881"/>
      <c r="F279" s="872"/>
      <c r="G279" s="533"/>
      <c r="I279" s="631" t="s">
        <v>1148</v>
      </c>
      <c r="J279" s="629"/>
      <c r="K279" s="648">
        <f t="shared" si="6"/>
        <v>9</v>
      </c>
      <c r="L279" s="649">
        <f t="shared" si="7"/>
        <v>5</v>
      </c>
      <c r="M279" s="903"/>
      <c r="N279" s="622" t="str">
        <f t="shared" si="8"/>
        <v/>
      </c>
    </row>
    <row r="280" spans="2:14">
      <c r="B280" s="183" t="s">
        <v>385</v>
      </c>
      <c r="C280" s="184" t="s">
        <v>380</v>
      </c>
      <c r="D280" s="877"/>
      <c r="E280" s="881"/>
      <c r="F280" s="872"/>
      <c r="G280" s="533"/>
      <c r="I280" s="631" t="s">
        <v>1149</v>
      </c>
      <c r="J280" s="629"/>
      <c r="K280" s="648">
        <f t="shared" si="6"/>
        <v>8</v>
      </c>
      <c r="L280" s="649">
        <f t="shared" si="7"/>
        <v>5</v>
      </c>
      <c r="M280" s="903"/>
      <c r="N280" s="622" t="str">
        <f t="shared" si="8"/>
        <v/>
      </c>
    </row>
    <row r="281" spans="2:14">
      <c r="B281" s="183"/>
      <c r="C281" s="184" t="s">
        <v>381</v>
      </c>
      <c r="D281" s="877"/>
      <c r="E281" s="881"/>
      <c r="F281" s="872"/>
      <c r="G281" s="533"/>
      <c r="I281" s="631" t="s">
        <v>1150</v>
      </c>
      <c r="J281" s="629"/>
      <c r="K281" s="648">
        <f t="shared" si="6"/>
        <v>7</v>
      </c>
      <c r="L281" s="649">
        <f t="shared" si="7"/>
        <v>5</v>
      </c>
      <c r="M281" s="903"/>
      <c r="N281" s="622" t="str">
        <f t="shared" si="8"/>
        <v/>
      </c>
    </row>
    <row r="282" spans="2:14">
      <c r="B282" s="183" t="s">
        <v>383</v>
      </c>
      <c r="C282" s="184" t="s">
        <v>380</v>
      </c>
      <c r="D282" s="877"/>
      <c r="E282" s="881"/>
      <c r="F282" s="872"/>
      <c r="G282" s="533"/>
      <c r="I282" s="631" t="s">
        <v>1151</v>
      </c>
      <c r="J282" s="629"/>
      <c r="K282" s="648">
        <f t="shared" si="6"/>
        <v>6</v>
      </c>
      <c r="L282" s="649">
        <f t="shared" si="7"/>
        <v>5</v>
      </c>
      <c r="M282" s="903"/>
      <c r="N282" s="622" t="str">
        <f t="shared" si="8"/>
        <v/>
      </c>
    </row>
    <row r="283" spans="2:14" ht="13.5" thickBot="1">
      <c r="B283" s="187"/>
      <c r="C283" s="191" t="s">
        <v>381</v>
      </c>
      <c r="D283" s="885"/>
      <c r="E283" s="886"/>
      <c r="F283" s="887"/>
      <c r="G283" s="533"/>
      <c r="I283" s="631" t="s">
        <v>1152</v>
      </c>
      <c r="J283" s="629"/>
      <c r="K283" s="648">
        <f t="shared" si="6"/>
        <v>5</v>
      </c>
      <c r="L283" s="649">
        <f t="shared" si="7"/>
        <v>5</v>
      </c>
      <c r="M283" s="903"/>
      <c r="N283" s="622" t="str">
        <f t="shared" si="8"/>
        <v/>
      </c>
    </row>
    <row r="284" spans="2:14">
      <c r="B284" s="16" t="s">
        <v>409</v>
      </c>
      <c r="C284" s="34"/>
      <c r="D284" s="891"/>
      <c r="E284" s="889"/>
      <c r="F284" s="889"/>
      <c r="G284" s="533"/>
      <c r="I284" s="631" t="s">
        <v>1153</v>
      </c>
      <c r="J284" s="629"/>
      <c r="K284" s="648">
        <f t="shared" si="6"/>
        <v>4</v>
      </c>
      <c r="L284" s="649">
        <f t="shared" si="7"/>
        <v>5</v>
      </c>
      <c r="M284" s="903"/>
      <c r="N284" s="622" t="str">
        <f t="shared" si="8"/>
        <v/>
      </c>
    </row>
    <row r="285" spans="2:14">
      <c r="B285" s="183" t="s">
        <v>387</v>
      </c>
      <c r="C285" s="184" t="s">
        <v>380</v>
      </c>
      <c r="D285" s="877"/>
      <c r="E285" s="881"/>
      <c r="F285" s="872"/>
      <c r="G285" s="533"/>
      <c r="I285" s="631" t="s">
        <v>1154</v>
      </c>
      <c r="J285" s="629"/>
      <c r="K285" s="648">
        <f t="shared" si="6"/>
        <v>3</v>
      </c>
      <c r="L285" s="649">
        <f t="shared" si="7"/>
        <v>5</v>
      </c>
      <c r="M285" s="903"/>
      <c r="N285" s="622" t="str">
        <f t="shared" si="8"/>
        <v/>
      </c>
    </row>
    <row r="286" spans="2:14" ht="13.5" thickBot="1">
      <c r="B286" s="183"/>
      <c r="C286" s="184" t="s">
        <v>381</v>
      </c>
      <c r="D286" s="877"/>
      <c r="E286" s="881"/>
      <c r="F286" s="872"/>
      <c r="G286" s="533"/>
      <c r="I286" s="631" t="s">
        <v>1155</v>
      </c>
      <c r="J286" s="629"/>
      <c r="K286" s="648">
        <f t="shared" si="6"/>
        <v>2</v>
      </c>
      <c r="L286" s="649">
        <f t="shared" si="7"/>
        <v>5</v>
      </c>
      <c r="M286" s="903"/>
      <c r="N286" s="622" t="str">
        <f t="shared" si="8"/>
        <v/>
      </c>
    </row>
    <row r="287" spans="2:14">
      <c r="B287" s="16" t="s">
        <v>763</v>
      </c>
      <c r="C287" s="34"/>
      <c r="D287" s="891"/>
      <c r="E287" s="889"/>
      <c r="F287" s="889"/>
      <c r="G287" s="533"/>
      <c r="I287" s="631" t="s">
        <v>1156</v>
      </c>
      <c r="J287" s="629"/>
      <c r="K287" s="648">
        <f t="shared" si="6"/>
        <v>1</v>
      </c>
      <c r="L287" s="649">
        <f t="shared" si="7"/>
        <v>5</v>
      </c>
      <c r="M287" s="903"/>
      <c r="N287" s="622" t="str">
        <f t="shared" si="8"/>
        <v/>
      </c>
    </row>
    <row r="288" spans="2:14">
      <c r="B288" s="183" t="s">
        <v>752</v>
      </c>
      <c r="C288" s="184" t="s">
        <v>380</v>
      </c>
      <c r="D288" s="877"/>
      <c r="E288" s="881"/>
      <c r="F288" s="872"/>
      <c r="G288" s="533"/>
      <c r="I288" s="631" t="s">
        <v>1157</v>
      </c>
      <c r="J288" s="629"/>
      <c r="K288" s="648">
        <f t="shared" si="6"/>
        <v>28</v>
      </c>
      <c r="L288" s="649">
        <f t="shared" si="7"/>
        <v>6</v>
      </c>
      <c r="M288" s="903"/>
      <c r="N288" s="622" t="str">
        <f t="shared" si="8"/>
        <v/>
      </c>
    </row>
    <row r="289" spans="2:14">
      <c r="B289" s="183"/>
      <c r="C289" s="184" t="s">
        <v>381</v>
      </c>
      <c r="D289" s="877"/>
      <c r="E289" s="881"/>
      <c r="F289" s="872"/>
      <c r="G289" s="533"/>
      <c r="I289" s="631" t="s">
        <v>1158</v>
      </c>
      <c r="J289" s="629"/>
      <c r="K289" s="648">
        <f t="shared" si="6"/>
        <v>27</v>
      </c>
      <c r="L289" s="649">
        <f t="shared" si="7"/>
        <v>6</v>
      </c>
      <c r="M289" s="903"/>
      <c r="N289" s="622" t="str">
        <f t="shared" si="8"/>
        <v/>
      </c>
    </row>
    <row r="290" spans="2:14">
      <c r="B290" s="183" t="s">
        <v>753</v>
      </c>
      <c r="C290" s="184" t="s">
        <v>380</v>
      </c>
      <c r="D290" s="877"/>
      <c r="E290" s="881"/>
      <c r="F290" s="872"/>
      <c r="G290" s="533"/>
      <c r="I290" s="631" t="s">
        <v>1159</v>
      </c>
      <c r="J290" s="629"/>
      <c r="K290" s="648">
        <f t="shared" si="6"/>
        <v>26</v>
      </c>
      <c r="L290" s="649">
        <f t="shared" si="7"/>
        <v>6</v>
      </c>
      <c r="M290" s="903"/>
      <c r="N290" s="622" t="str">
        <f t="shared" si="8"/>
        <v/>
      </c>
    </row>
    <row r="291" spans="2:14">
      <c r="B291" s="183"/>
      <c r="C291" s="184" t="s">
        <v>381</v>
      </c>
      <c r="D291" s="877"/>
      <c r="E291" s="881"/>
      <c r="F291" s="872"/>
      <c r="G291" s="533"/>
      <c r="I291" s="631" t="s">
        <v>1160</v>
      </c>
      <c r="J291" s="629"/>
      <c r="K291" s="648">
        <f t="shared" si="6"/>
        <v>25</v>
      </c>
      <c r="L291" s="649">
        <f t="shared" si="7"/>
        <v>6</v>
      </c>
      <c r="M291" s="903"/>
      <c r="N291" s="622" t="str">
        <f t="shared" si="8"/>
        <v/>
      </c>
    </row>
    <row r="292" spans="2:14">
      <c r="B292" s="183" t="s">
        <v>754</v>
      </c>
      <c r="C292" s="184" t="s">
        <v>380</v>
      </c>
      <c r="D292" s="877"/>
      <c r="E292" s="881"/>
      <c r="F292" s="872"/>
      <c r="G292" s="533"/>
      <c r="I292" s="631" t="s">
        <v>1161</v>
      </c>
      <c r="J292" s="629"/>
      <c r="K292" s="648">
        <f t="shared" si="6"/>
        <v>24</v>
      </c>
      <c r="L292" s="649">
        <f t="shared" si="7"/>
        <v>6</v>
      </c>
      <c r="M292" s="903"/>
      <c r="N292" s="622" t="str">
        <f t="shared" si="8"/>
        <v/>
      </c>
    </row>
    <row r="293" spans="2:14">
      <c r="B293" s="183"/>
      <c r="C293" s="184" t="s">
        <v>381</v>
      </c>
      <c r="D293" s="877"/>
      <c r="E293" s="881"/>
      <c r="F293" s="872"/>
      <c r="G293" s="533"/>
      <c r="I293" s="631" t="s">
        <v>1162</v>
      </c>
      <c r="J293" s="629"/>
      <c r="K293" s="648">
        <f t="shared" si="6"/>
        <v>23</v>
      </c>
      <c r="L293" s="649">
        <f t="shared" si="7"/>
        <v>6</v>
      </c>
      <c r="M293" s="903"/>
      <c r="N293" s="622" t="str">
        <f t="shared" si="8"/>
        <v/>
      </c>
    </row>
    <row r="294" spans="2:14">
      <c r="B294" s="183" t="s">
        <v>764</v>
      </c>
      <c r="C294" s="184" t="s">
        <v>380</v>
      </c>
      <c r="D294" s="893"/>
      <c r="E294" s="894"/>
      <c r="F294" s="895"/>
      <c r="G294" s="533"/>
      <c r="I294" s="631" t="s">
        <v>1163</v>
      </c>
      <c r="J294" s="629"/>
      <c r="K294" s="648">
        <f t="shared" si="6"/>
        <v>22</v>
      </c>
      <c r="L294" s="649">
        <f t="shared" si="7"/>
        <v>6</v>
      </c>
      <c r="M294" s="903"/>
      <c r="N294" s="622" t="str">
        <f t="shared" si="8"/>
        <v/>
      </c>
    </row>
    <row r="295" spans="2:14">
      <c r="B295" s="183"/>
      <c r="C295" s="184" t="s">
        <v>381</v>
      </c>
      <c r="D295" s="893"/>
      <c r="E295" s="894"/>
      <c r="F295" s="895"/>
      <c r="G295" s="533"/>
      <c r="I295" s="631" t="s">
        <v>1164</v>
      </c>
      <c r="J295" s="629"/>
      <c r="K295" s="648">
        <f t="shared" si="6"/>
        <v>21</v>
      </c>
      <c r="L295" s="649">
        <f t="shared" si="7"/>
        <v>6</v>
      </c>
      <c r="M295" s="903"/>
      <c r="N295" s="622" t="str">
        <f t="shared" si="8"/>
        <v/>
      </c>
    </row>
    <row r="296" spans="2:14">
      <c r="B296" s="183" t="s">
        <v>755</v>
      </c>
      <c r="C296" s="184" t="s">
        <v>380</v>
      </c>
      <c r="D296" s="877"/>
      <c r="E296" s="78"/>
      <c r="F296" s="872"/>
      <c r="G296" s="533"/>
      <c r="I296" s="631" t="s">
        <v>1165</v>
      </c>
      <c r="J296" s="629"/>
      <c r="K296" s="648">
        <f t="shared" si="6"/>
        <v>20</v>
      </c>
      <c r="L296" s="649">
        <f t="shared" si="7"/>
        <v>6</v>
      </c>
      <c r="M296" s="903"/>
      <c r="N296" s="622" t="str">
        <f t="shared" si="8"/>
        <v/>
      </c>
    </row>
    <row r="297" spans="2:14">
      <c r="B297" s="183"/>
      <c r="C297" s="184" t="s">
        <v>381</v>
      </c>
      <c r="D297" s="877"/>
      <c r="E297" s="78"/>
      <c r="F297" s="872"/>
      <c r="G297" s="533"/>
      <c r="I297" s="631" t="s">
        <v>1166</v>
      </c>
      <c r="J297" s="629"/>
      <c r="K297" s="648">
        <f t="shared" si="6"/>
        <v>19</v>
      </c>
      <c r="L297" s="649">
        <f t="shared" si="7"/>
        <v>6</v>
      </c>
      <c r="M297" s="903"/>
      <c r="N297" s="622" t="str">
        <f t="shared" si="8"/>
        <v/>
      </c>
    </row>
    <row r="298" spans="2:14">
      <c r="B298" s="183" t="s">
        <v>756</v>
      </c>
      <c r="C298" s="184" t="s">
        <v>380</v>
      </c>
      <c r="D298" s="877"/>
      <c r="E298" s="78"/>
      <c r="F298" s="872"/>
      <c r="G298" s="533"/>
      <c r="I298" s="631" t="s">
        <v>1167</v>
      </c>
      <c r="J298" s="629"/>
      <c r="K298" s="648">
        <f t="shared" si="6"/>
        <v>18</v>
      </c>
      <c r="L298" s="649">
        <f t="shared" si="7"/>
        <v>6</v>
      </c>
      <c r="M298" s="903"/>
      <c r="N298" s="622" t="str">
        <f t="shared" si="8"/>
        <v/>
      </c>
    </row>
    <row r="299" spans="2:14" ht="13.5" thickBot="1">
      <c r="B299" s="187"/>
      <c r="C299" s="191" t="s">
        <v>381</v>
      </c>
      <c r="D299" s="885"/>
      <c r="E299" s="78"/>
      <c r="F299" s="887"/>
      <c r="G299" s="533"/>
      <c r="I299" s="631" t="s">
        <v>1168</v>
      </c>
      <c r="J299" s="629"/>
      <c r="K299" s="648">
        <f t="shared" si="6"/>
        <v>17</v>
      </c>
      <c r="L299" s="649">
        <f t="shared" si="7"/>
        <v>6</v>
      </c>
      <c r="M299" s="903"/>
      <c r="N299" s="622" t="str">
        <f t="shared" si="8"/>
        <v/>
      </c>
    </row>
    <row r="300" spans="2:14">
      <c r="B300" s="16" t="s">
        <v>765</v>
      </c>
      <c r="C300" s="34"/>
      <c r="D300" s="891"/>
      <c r="E300" s="889"/>
      <c r="F300" s="889"/>
      <c r="G300" s="533"/>
      <c r="I300" s="631" t="s">
        <v>1169</v>
      </c>
      <c r="J300" s="629"/>
      <c r="K300" s="648">
        <f t="shared" si="6"/>
        <v>16</v>
      </c>
      <c r="L300" s="649">
        <f t="shared" si="7"/>
        <v>6</v>
      </c>
      <c r="M300" s="903"/>
      <c r="N300" s="622" t="str">
        <f t="shared" si="8"/>
        <v/>
      </c>
    </row>
    <row r="301" spans="2:14">
      <c r="B301" s="183" t="s">
        <v>752</v>
      </c>
      <c r="C301" s="184" t="s">
        <v>380</v>
      </c>
      <c r="D301" s="877"/>
      <c r="E301" s="881"/>
      <c r="F301" s="872"/>
      <c r="G301" s="533"/>
      <c r="I301" s="631" t="s">
        <v>1170</v>
      </c>
      <c r="J301" s="629"/>
      <c r="K301" s="648">
        <f t="shared" si="6"/>
        <v>15</v>
      </c>
      <c r="L301" s="649">
        <f t="shared" si="7"/>
        <v>6</v>
      </c>
      <c r="M301" s="903"/>
      <c r="N301" s="622" t="str">
        <f t="shared" si="8"/>
        <v/>
      </c>
    </row>
    <row r="302" spans="2:14">
      <c r="B302" s="183"/>
      <c r="C302" s="184" t="s">
        <v>381</v>
      </c>
      <c r="D302" s="877"/>
      <c r="E302" s="881"/>
      <c r="F302" s="872"/>
      <c r="G302" s="533"/>
      <c r="I302" s="631" t="s">
        <v>1171</v>
      </c>
      <c r="J302" s="629"/>
      <c r="K302" s="648">
        <f t="shared" si="6"/>
        <v>14</v>
      </c>
      <c r="L302" s="649">
        <f t="shared" si="7"/>
        <v>6</v>
      </c>
      <c r="M302" s="903"/>
      <c r="N302" s="622" t="str">
        <f t="shared" si="8"/>
        <v/>
      </c>
    </row>
    <row r="303" spans="2:14">
      <c r="B303" s="183" t="s">
        <v>753</v>
      </c>
      <c r="C303" s="184" t="s">
        <v>380</v>
      </c>
      <c r="D303" s="877"/>
      <c r="E303" s="881"/>
      <c r="F303" s="872"/>
      <c r="G303" s="533"/>
      <c r="I303" s="631" t="s">
        <v>1172</v>
      </c>
      <c r="J303" s="629"/>
      <c r="K303" s="648">
        <f t="shared" si="6"/>
        <v>13</v>
      </c>
      <c r="L303" s="649">
        <f t="shared" si="7"/>
        <v>6</v>
      </c>
      <c r="M303" s="903"/>
      <c r="N303" s="622" t="str">
        <f t="shared" si="8"/>
        <v/>
      </c>
    </row>
    <row r="304" spans="2:14">
      <c r="B304" s="183"/>
      <c r="C304" s="184" t="s">
        <v>381</v>
      </c>
      <c r="D304" s="877"/>
      <c r="E304" s="881"/>
      <c r="F304" s="872"/>
      <c r="G304" s="533"/>
      <c r="I304" s="631" t="s">
        <v>1173</v>
      </c>
      <c r="J304" s="629"/>
      <c r="K304" s="648">
        <f t="shared" si="6"/>
        <v>12</v>
      </c>
      <c r="L304" s="649">
        <f t="shared" si="7"/>
        <v>6</v>
      </c>
      <c r="M304" s="903"/>
      <c r="N304" s="622" t="str">
        <f t="shared" si="8"/>
        <v/>
      </c>
    </row>
    <row r="305" spans="2:14">
      <c r="B305" s="183" t="s">
        <v>754</v>
      </c>
      <c r="C305" s="184" t="s">
        <v>380</v>
      </c>
      <c r="D305" s="877"/>
      <c r="E305" s="881"/>
      <c r="F305" s="872"/>
      <c r="G305" s="533"/>
      <c r="I305" s="631" t="s">
        <v>1174</v>
      </c>
      <c r="J305" s="629"/>
      <c r="K305" s="648">
        <f t="shared" si="6"/>
        <v>11</v>
      </c>
      <c r="L305" s="649">
        <f t="shared" si="7"/>
        <v>6</v>
      </c>
      <c r="M305" s="903"/>
      <c r="N305" s="622" t="str">
        <f t="shared" si="8"/>
        <v/>
      </c>
    </row>
    <row r="306" spans="2:14">
      <c r="B306" s="183"/>
      <c r="C306" s="184" t="s">
        <v>381</v>
      </c>
      <c r="D306" s="877"/>
      <c r="E306" s="881"/>
      <c r="F306" s="872"/>
      <c r="G306" s="533"/>
      <c r="I306" s="631" t="s">
        <v>1175</v>
      </c>
      <c r="J306" s="629"/>
      <c r="K306" s="648">
        <f t="shared" si="6"/>
        <v>10</v>
      </c>
      <c r="L306" s="649">
        <f t="shared" si="7"/>
        <v>6</v>
      </c>
      <c r="M306" s="903"/>
      <c r="N306" s="622" t="str">
        <f t="shared" si="8"/>
        <v/>
      </c>
    </row>
    <row r="307" spans="2:14">
      <c r="B307" s="183" t="s">
        <v>764</v>
      </c>
      <c r="C307" s="184" t="s">
        <v>380</v>
      </c>
      <c r="D307" s="893"/>
      <c r="E307" s="894"/>
      <c r="F307" s="895"/>
      <c r="G307" s="533"/>
      <c r="I307" s="631" t="s">
        <v>1176</v>
      </c>
      <c r="J307" s="629"/>
      <c r="K307" s="648">
        <f t="shared" si="6"/>
        <v>9</v>
      </c>
      <c r="L307" s="649">
        <f t="shared" si="7"/>
        <v>6</v>
      </c>
      <c r="M307" s="903"/>
      <c r="N307" s="622" t="str">
        <f t="shared" si="8"/>
        <v/>
      </c>
    </row>
    <row r="308" spans="2:14">
      <c r="B308" s="183"/>
      <c r="C308" s="184" t="s">
        <v>381</v>
      </c>
      <c r="D308" s="893"/>
      <c r="E308" s="894"/>
      <c r="F308" s="895"/>
      <c r="G308" s="533"/>
      <c r="I308" s="631" t="s">
        <v>1177</v>
      </c>
      <c r="J308" s="629"/>
      <c r="K308" s="648">
        <f t="shared" si="6"/>
        <v>8</v>
      </c>
      <c r="L308" s="649">
        <f t="shared" si="7"/>
        <v>6</v>
      </c>
      <c r="M308" s="903"/>
      <c r="N308" s="622" t="str">
        <f t="shared" si="8"/>
        <v/>
      </c>
    </row>
    <row r="309" spans="2:14">
      <c r="B309" s="183" t="s">
        <v>755</v>
      </c>
      <c r="C309" s="184" t="s">
        <v>380</v>
      </c>
      <c r="D309" s="877"/>
      <c r="E309" s="78"/>
      <c r="F309" s="872"/>
      <c r="G309" s="533"/>
      <c r="I309" s="631" t="s">
        <v>1178</v>
      </c>
      <c r="J309" s="629"/>
      <c r="K309" s="648">
        <f t="shared" si="6"/>
        <v>7</v>
      </c>
      <c r="L309" s="649">
        <f t="shared" si="7"/>
        <v>6</v>
      </c>
      <c r="M309" s="903"/>
      <c r="N309" s="622" t="str">
        <f t="shared" si="8"/>
        <v/>
      </c>
    </row>
    <row r="310" spans="2:14">
      <c r="B310" s="183"/>
      <c r="C310" s="184" t="s">
        <v>381</v>
      </c>
      <c r="D310" s="877"/>
      <c r="E310" s="78"/>
      <c r="F310" s="872"/>
      <c r="G310" s="533"/>
      <c r="I310" s="631" t="s">
        <v>1179</v>
      </c>
      <c r="J310" s="629"/>
      <c r="K310" s="648">
        <f t="shared" si="6"/>
        <v>6</v>
      </c>
      <c r="L310" s="649">
        <f t="shared" si="7"/>
        <v>6</v>
      </c>
      <c r="M310" s="903"/>
      <c r="N310" s="622" t="str">
        <f t="shared" si="8"/>
        <v/>
      </c>
    </row>
    <row r="311" spans="2:14">
      <c r="B311" s="183" t="s">
        <v>756</v>
      </c>
      <c r="C311" s="184" t="s">
        <v>380</v>
      </c>
      <c r="D311" s="877"/>
      <c r="E311" s="78"/>
      <c r="F311" s="872"/>
      <c r="G311" s="533"/>
      <c r="I311" s="631" t="s">
        <v>1180</v>
      </c>
      <c r="J311" s="629"/>
      <c r="K311" s="648">
        <f t="shared" si="6"/>
        <v>5</v>
      </c>
      <c r="L311" s="649">
        <f t="shared" si="7"/>
        <v>6</v>
      </c>
      <c r="M311" s="903"/>
      <c r="N311" s="622" t="str">
        <f t="shared" si="8"/>
        <v/>
      </c>
    </row>
    <row r="312" spans="2:14" ht="13.5" thickBot="1">
      <c r="B312" s="183"/>
      <c r="C312" s="184" t="s">
        <v>381</v>
      </c>
      <c r="D312" s="877"/>
      <c r="E312" s="78"/>
      <c r="F312" s="872"/>
      <c r="G312" s="533"/>
      <c r="I312" s="631" t="s">
        <v>1181</v>
      </c>
      <c r="J312" s="629"/>
      <c r="K312" s="648">
        <f t="shared" si="6"/>
        <v>4</v>
      </c>
      <c r="L312" s="649">
        <f t="shared" si="7"/>
        <v>6</v>
      </c>
      <c r="M312" s="903"/>
      <c r="N312" s="622" t="str">
        <f t="shared" si="8"/>
        <v/>
      </c>
    </row>
    <row r="313" spans="2:14">
      <c r="B313" s="16" t="s">
        <v>393</v>
      </c>
      <c r="C313" s="34"/>
      <c r="D313" s="896"/>
      <c r="E313" s="897"/>
      <c r="F313" s="897"/>
      <c r="G313" s="533"/>
      <c r="I313" s="631" t="s">
        <v>1182</v>
      </c>
      <c r="J313" s="629"/>
      <c r="K313" s="648">
        <f t="shared" si="6"/>
        <v>3</v>
      </c>
      <c r="L313" s="649">
        <f t="shared" si="7"/>
        <v>6</v>
      </c>
      <c r="M313" s="903"/>
      <c r="N313" s="622" t="str">
        <f t="shared" si="8"/>
        <v/>
      </c>
    </row>
    <row r="314" spans="2:14">
      <c r="B314" s="183" t="s">
        <v>387</v>
      </c>
      <c r="C314" s="184" t="s">
        <v>380</v>
      </c>
      <c r="D314" s="877"/>
      <c r="E314" s="881"/>
      <c r="F314" s="872"/>
      <c r="G314" s="533"/>
      <c r="I314" s="631" t="s">
        <v>1183</v>
      </c>
      <c r="J314" s="629"/>
      <c r="K314" s="648">
        <f t="shared" si="6"/>
        <v>2</v>
      </c>
      <c r="L314" s="649">
        <f t="shared" si="7"/>
        <v>6</v>
      </c>
      <c r="M314" s="903"/>
      <c r="N314" s="622" t="str">
        <f t="shared" si="8"/>
        <v/>
      </c>
    </row>
    <row r="315" spans="2:14">
      <c r="B315" s="183"/>
      <c r="C315" s="184" t="s">
        <v>381</v>
      </c>
      <c r="D315" s="877"/>
      <c r="E315" s="881"/>
      <c r="F315" s="872"/>
      <c r="G315" s="533"/>
      <c r="I315" s="631" t="s">
        <v>1184</v>
      </c>
      <c r="J315" s="629"/>
      <c r="K315" s="648">
        <f t="shared" si="6"/>
        <v>1</v>
      </c>
      <c r="L315" s="649">
        <f t="shared" si="7"/>
        <v>6</v>
      </c>
      <c r="M315" s="903"/>
      <c r="N315" s="622" t="str">
        <f t="shared" si="8"/>
        <v/>
      </c>
    </row>
    <row r="316" spans="2:14">
      <c r="B316" s="183" t="s">
        <v>388</v>
      </c>
      <c r="C316" s="184" t="s">
        <v>380</v>
      </c>
      <c r="D316" s="877"/>
      <c r="E316" s="881"/>
      <c r="F316" s="872"/>
      <c r="G316" s="533"/>
      <c r="I316" s="631" t="s">
        <v>1185</v>
      </c>
      <c r="J316" s="629"/>
      <c r="K316" s="648">
        <f t="shared" si="6"/>
        <v>28</v>
      </c>
      <c r="L316" s="649">
        <f t="shared" si="7"/>
        <v>7</v>
      </c>
      <c r="M316" s="903"/>
      <c r="N316" s="622" t="str">
        <f t="shared" si="8"/>
        <v/>
      </c>
    </row>
    <row r="317" spans="2:14">
      <c r="B317" s="183"/>
      <c r="C317" s="184" t="s">
        <v>381</v>
      </c>
      <c r="D317" s="877"/>
      <c r="E317" s="881"/>
      <c r="F317" s="872"/>
      <c r="G317" s="533"/>
      <c r="I317" s="631" t="s">
        <v>1186</v>
      </c>
      <c r="J317" s="629"/>
      <c r="K317" s="648">
        <f t="shared" si="6"/>
        <v>27</v>
      </c>
      <c r="L317" s="649">
        <f t="shared" si="7"/>
        <v>7</v>
      </c>
      <c r="M317" s="903"/>
      <c r="N317" s="622" t="str">
        <f t="shared" si="8"/>
        <v/>
      </c>
    </row>
    <row r="318" spans="2:14">
      <c r="B318" s="183" t="s">
        <v>389</v>
      </c>
      <c r="C318" s="184" t="s">
        <v>380</v>
      </c>
      <c r="D318" s="877"/>
      <c r="E318" s="881"/>
      <c r="F318" s="872"/>
      <c r="G318" s="533"/>
      <c r="I318" s="631" t="s">
        <v>1187</v>
      </c>
      <c r="J318" s="629"/>
      <c r="K318" s="648">
        <f t="shared" si="6"/>
        <v>26</v>
      </c>
      <c r="L318" s="649">
        <f t="shared" si="7"/>
        <v>7</v>
      </c>
      <c r="M318" s="903"/>
      <c r="N318" s="622" t="str">
        <f t="shared" si="8"/>
        <v/>
      </c>
    </row>
    <row r="319" spans="2:14" ht="13.5" thickBot="1">
      <c r="B319" s="187"/>
      <c r="C319" s="191" t="s">
        <v>381</v>
      </c>
      <c r="D319" s="885"/>
      <c r="E319" s="886"/>
      <c r="F319" s="887"/>
      <c r="G319" s="533"/>
      <c r="I319" s="631" t="s">
        <v>1188</v>
      </c>
      <c r="J319" s="629"/>
      <c r="K319" s="648">
        <f t="shared" si="6"/>
        <v>25</v>
      </c>
      <c r="L319" s="649">
        <f t="shared" si="7"/>
        <v>7</v>
      </c>
      <c r="M319" s="903"/>
      <c r="N319" s="622" t="str">
        <f t="shared" si="8"/>
        <v/>
      </c>
    </row>
    <row r="320" spans="2:14">
      <c r="B320" s="16" t="s">
        <v>766</v>
      </c>
      <c r="C320" s="186"/>
      <c r="D320" s="896"/>
      <c r="E320" s="897"/>
      <c r="F320" s="897"/>
      <c r="G320" s="533"/>
      <c r="I320" s="631" t="s">
        <v>1189</v>
      </c>
      <c r="J320" s="629"/>
      <c r="K320" s="648">
        <f t="shared" si="6"/>
        <v>24</v>
      </c>
      <c r="L320" s="649">
        <f t="shared" si="7"/>
        <v>7</v>
      </c>
      <c r="M320" s="903"/>
      <c r="N320" s="622" t="str">
        <f t="shared" si="8"/>
        <v/>
      </c>
    </row>
    <row r="321" spans="2:14">
      <c r="B321" s="183" t="s">
        <v>379</v>
      </c>
      <c r="C321" s="184" t="s">
        <v>380</v>
      </c>
      <c r="D321" s="893"/>
      <c r="E321" s="894"/>
      <c r="F321" s="895"/>
      <c r="G321" s="533"/>
      <c r="I321" s="631" t="s">
        <v>1190</v>
      </c>
      <c r="J321" s="629"/>
      <c r="K321" s="648">
        <f t="shared" si="6"/>
        <v>23</v>
      </c>
      <c r="L321" s="649">
        <f t="shared" si="7"/>
        <v>7</v>
      </c>
      <c r="M321" s="903"/>
      <c r="N321" s="622" t="str">
        <f t="shared" si="8"/>
        <v/>
      </c>
    </row>
    <row r="322" spans="2:14">
      <c r="B322" s="183"/>
      <c r="C322" s="184" t="s">
        <v>381</v>
      </c>
      <c r="D322" s="893"/>
      <c r="E322" s="894"/>
      <c r="F322" s="895"/>
      <c r="G322" s="533"/>
      <c r="I322" s="631" t="s">
        <v>1191</v>
      </c>
      <c r="J322" s="629"/>
      <c r="K322" s="648">
        <f t="shared" si="6"/>
        <v>22</v>
      </c>
      <c r="L322" s="649">
        <f t="shared" si="7"/>
        <v>7</v>
      </c>
      <c r="M322" s="903"/>
      <c r="N322" s="622" t="str">
        <f t="shared" si="8"/>
        <v/>
      </c>
    </row>
    <row r="323" spans="2:14">
      <c r="B323" s="183" t="s">
        <v>383</v>
      </c>
      <c r="C323" s="184" t="s">
        <v>380</v>
      </c>
      <c r="D323" s="893"/>
      <c r="E323" s="894"/>
      <c r="F323" s="895"/>
      <c r="G323" s="533"/>
      <c r="I323" s="631" t="s">
        <v>1192</v>
      </c>
      <c r="J323" s="629"/>
      <c r="K323" s="648">
        <f t="shared" si="6"/>
        <v>21</v>
      </c>
      <c r="L323" s="649">
        <f t="shared" si="7"/>
        <v>7</v>
      </c>
      <c r="M323" s="903"/>
      <c r="N323" s="622" t="str">
        <f t="shared" si="8"/>
        <v/>
      </c>
    </row>
    <row r="324" spans="2:14" ht="13.5" thickBot="1">
      <c r="B324" s="183"/>
      <c r="C324" s="184" t="s">
        <v>381</v>
      </c>
      <c r="D324" s="893"/>
      <c r="E324" s="894"/>
      <c r="F324" s="895"/>
      <c r="G324" s="533"/>
      <c r="I324" s="631" t="s">
        <v>1193</v>
      </c>
      <c r="J324" s="629"/>
      <c r="K324" s="648">
        <f t="shared" si="6"/>
        <v>20</v>
      </c>
      <c r="L324" s="649">
        <f t="shared" si="7"/>
        <v>7</v>
      </c>
      <c r="M324" s="903"/>
      <c r="N324" s="622" t="str">
        <f t="shared" si="8"/>
        <v/>
      </c>
    </row>
    <row r="325" spans="2:14">
      <c r="B325" s="16" t="s">
        <v>767</v>
      </c>
      <c r="C325" s="186"/>
      <c r="D325" s="896"/>
      <c r="E325" s="897"/>
      <c r="F325" s="897"/>
      <c r="G325" s="533"/>
      <c r="I325" s="631" t="s">
        <v>1194</v>
      </c>
      <c r="J325" s="629"/>
      <c r="K325" s="648">
        <f t="shared" si="6"/>
        <v>19</v>
      </c>
      <c r="L325" s="649">
        <f t="shared" si="7"/>
        <v>7</v>
      </c>
      <c r="M325" s="903"/>
      <c r="N325" s="622" t="str">
        <f t="shared" si="8"/>
        <v/>
      </c>
    </row>
    <row r="326" spans="2:14">
      <c r="B326" s="183" t="s">
        <v>379</v>
      </c>
      <c r="C326" s="184" t="s">
        <v>380</v>
      </c>
      <c r="D326" s="893"/>
      <c r="E326" s="894"/>
      <c r="F326" s="895"/>
      <c r="G326" s="533"/>
      <c r="I326" s="631" t="s">
        <v>1195</v>
      </c>
      <c r="J326" s="629"/>
      <c r="K326" s="648">
        <f t="shared" si="6"/>
        <v>18</v>
      </c>
      <c r="L326" s="649">
        <f t="shared" si="7"/>
        <v>7</v>
      </c>
      <c r="M326" s="903"/>
      <c r="N326" s="622" t="str">
        <f t="shared" si="8"/>
        <v/>
      </c>
    </row>
    <row r="327" spans="2:14">
      <c r="B327" s="183"/>
      <c r="C327" s="184" t="s">
        <v>381</v>
      </c>
      <c r="D327" s="893"/>
      <c r="E327" s="894"/>
      <c r="F327" s="895"/>
      <c r="G327" s="533"/>
      <c r="I327" s="631" t="s">
        <v>1196</v>
      </c>
      <c r="J327" s="629"/>
      <c r="K327" s="648">
        <f t="shared" si="6"/>
        <v>17</v>
      </c>
      <c r="L327" s="649">
        <f t="shared" si="7"/>
        <v>7</v>
      </c>
      <c r="M327" s="903"/>
      <c r="N327" s="622" t="str">
        <f t="shared" si="8"/>
        <v/>
      </c>
    </row>
    <row r="328" spans="2:14">
      <c r="B328" s="183" t="s">
        <v>383</v>
      </c>
      <c r="C328" s="184" t="s">
        <v>380</v>
      </c>
      <c r="D328" s="893"/>
      <c r="E328" s="894"/>
      <c r="F328" s="895"/>
      <c r="G328" s="533"/>
      <c r="I328" s="631" t="s">
        <v>1197</v>
      </c>
      <c r="J328" s="629"/>
      <c r="K328" s="648">
        <f t="shared" si="6"/>
        <v>16</v>
      </c>
      <c r="L328" s="649">
        <f t="shared" si="7"/>
        <v>7</v>
      </c>
      <c r="M328" s="903"/>
      <c r="N328" s="622" t="str">
        <f t="shared" si="8"/>
        <v/>
      </c>
    </row>
    <row r="329" spans="2:14" ht="13.5" thickBot="1">
      <c r="B329" s="183"/>
      <c r="C329" s="184" t="s">
        <v>381</v>
      </c>
      <c r="D329" s="893"/>
      <c r="E329" s="894"/>
      <c r="F329" s="895"/>
      <c r="G329" s="533"/>
      <c r="I329" s="631" t="s">
        <v>1198</v>
      </c>
      <c r="J329" s="629"/>
      <c r="K329" s="648">
        <f t="shared" si="6"/>
        <v>15</v>
      </c>
      <c r="L329" s="649">
        <f t="shared" si="7"/>
        <v>7</v>
      </c>
      <c r="M329" s="903"/>
      <c r="N329" s="622" t="str">
        <f t="shared" si="8"/>
        <v/>
      </c>
    </row>
    <row r="330" spans="2:14">
      <c r="B330" s="16" t="s">
        <v>768</v>
      </c>
      <c r="C330" s="186"/>
      <c r="D330" s="896"/>
      <c r="E330" s="897"/>
      <c r="F330" s="897"/>
      <c r="G330" s="533"/>
      <c r="I330" s="631" t="s">
        <v>1199</v>
      </c>
      <c r="J330" s="629"/>
      <c r="K330" s="648">
        <f t="shared" si="6"/>
        <v>14</v>
      </c>
      <c r="L330" s="649">
        <f t="shared" si="7"/>
        <v>7</v>
      </c>
      <c r="M330" s="903"/>
      <c r="N330" s="622" t="str">
        <f t="shared" si="8"/>
        <v/>
      </c>
    </row>
    <row r="331" spans="2:14">
      <c r="B331" s="183" t="s">
        <v>379</v>
      </c>
      <c r="C331" s="184" t="s">
        <v>380</v>
      </c>
      <c r="D331" s="893"/>
      <c r="E331" s="894"/>
      <c r="F331" s="895"/>
      <c r="G331" s="533"/>
      <c r="I331" s="631" t="s">
        <v>1200</v>
      </c>
      <c r="J331" s="629"/>
      <c r="K331" s="648">
        <f t="shared" si="6"/>
        <v>13</v>
      </c>
      <c r="L331" s="649">
        <f t="shared" si="7"/>
        <v>7</v>
      </c>
      <c r="M331" s="903"/>
      <c r="N331" s="622" t="str">
        <f t="shared" si="8"/>
        <v/>
      </c>
    </row>
    <row r="332" spans="2:14">
      <c r="B332" s="183"/>
      <c r="C332" s="184" t="s">
        <v>381</v>
      </c>
      <c r="D332" s="893"/>
      <c r="E332" s="894"/>
      <c r="F332" s="895"/>
      <c r="G332" s="533"/>
      <c r="I332" s="631" t="s">
        <v>1201</v>
      </c>
      <c r="J332" s="629"/>
      <c r="K332" s="648">
        <f t="shared" si="6"/>
        <v>12</v>
      </c>
      <c r="L332" s="649">
        <f t="shared" si="7"/>
        <v>7</v>
      </c>
      <c r="M332" s="903"/>
      <c r="N332" s="622" t="str">
        <f t="shared" si="8"/>
        <v/>
      </c>
    </row>
    <row r="333" spans="2:14">
      <c r="B333" s="183" t="s">
        <v>382</v>
      </c>
      <c r="C333" s="184" t="s">
        <v>380</v>
      </c>
      <c r="D333" s="893"/>
      <c r="E333" s="894"/>
      <c r="F333" s="895"/>
      <c r="G333" s="533"/>
      <c r="I333" s="631" t="s">
        <v>1202</v>
      </c>
      <c r="J333" s="629"/>
      <c r="K333" s="648">
        <f t="shared" si="6"/>
        <v>11</v>
      </c>
      <c r="L333" s="649">
        <f t="shared" si="7"/>
        <v>7</v>
      </c>
      <c r="M333" s="903"/>
      <c r="N333" s="622" t="str">
        <f t="shared" si="8"/>
        <v/>
      </c>
    </row>
    <row r="334" spans="2:14">
      <c r="B334" s="183"/>
      <c r="C334" s="184" t="s">
        <v>381</v>
      </c>
      <c r="D334" s="893"/>
      <c r="E334" s="894"/>
      <c r="F334" s="895"/>
      <c r="G334" s="533"/>
      <c r="I334" s="631" t="s">
        <v>1203</v>
      </c>
      <c r="J334" s="629"/>
      <c r="K334" s="648">
        <f t="shared" si="6"/>
        <v>10</v>
      </c>
      <c r="L334" s="649">
        <f t="shared" si="7"/>
        <v>7</v>
      </c>
      <c r="M334" s="903"/>
      <c r="N334" s="622" t="str">
        <f t="shared" si="8"/>
        <v/>
      </c>
    </row>
    <row r="335" spans="2:14">
      <c r="B335" s="183" t="s">
        <v>386</v>
      </c>
      <c r="C335" s="184" t="s">
        <v>380</v>
      </c>
      <c r="D335" s="893"/>
      <c r="E335" s="894"/>
      <c r="F335" s="895"/>
      <c r="G335" s="533"/>
      <c r="I335" s="631" t="s">
        <v>1204</v>
      </c>
      <c r="J335" s="629"/>
      <c r="K335" s="648">
        <f t="shared" si="6"/>
        <v>9</v>
      </c>
      <c r="L335" s="649">
        <f t="shared" si="7"/>
        <v>7</v>
      </c>
      <c r="M335" s="903"/>
      <c r="N335" s="622" t="str">
        <f t="shared" si="8"/>
        <v/>
      </c>
    </row>
    <row r="336" spans="2:14">
      <c r="B336" s="183"/>
      <c r="C336" s="184" t="s">
        <v>381</v>
      </c>
      <c r="D336" s="893"/>
      <c r="E336" s="894"/>
      <c r="F336" s="895"/>
      <c r="G336" s="533"/>
      <c r="I336" s="631" t="s">
        <v>1205</v>
      </c>
      <c r="J336" s="629"/>
      <c r="K336" s="648">
        <f t="shared" si="6"/>
        <v>8</v>
      </c>
      <c r="L336" s="649">
        <f t="shared" si="7"/>
        <v>7</v>
      </c>
      <c r="M336" s="903"/>
      <c r="N336" s="622" t="str">
        <f t="shared" si="8"/>
        <v/>
      </c>
    </row>
    <row r="337" spans="2:14">
      <c r="B337" s="8" t="s">
        <v>769</v>
      </c>
      <c r="C337" s="184"/>
      <c r="D337" s="898"/>
      <c r="E337" s="899"/>
      <c r="F337" s="899"/>
      <c r="G337" s="533"/>
      <c r="I337" s="631" t="s">
        <v>1206</v>
      </c>
      <c r="J337" s="629"/>
      <c r="K337" s="648">
        <f t="shared" si="6"/>
        <v>7</v>
      </c>
      <c r="L337" s="649">
        <f t="shared" si="7"/>
        <v>7</v>
      </c>
      <c r="M337" s="903"/>
      <c r="N337" s="622" t="str">
        <f t="shared" si="8"/>
        <v/>
      </c>
    </row>
    <row r="338" spans="2:14">
      <c r="B338" s="183" t="s">
        <v>379</v>
      </c>
      <c r="C338" s="184" t="s">
        <v>380</v>
      </c>
      <c r="D338" s="893"/>
      <c r="E338" s="894"/>
      <c r="F338" s="895"/>
      <c r="G338" s="533"/>
      <c r="I338" s="631" t="s">
        <v>1207</v>
      </c>
      <c r="J338" s="629"/>
      <c r="K338" s="648">
        <f t="shared" si="6"/>
        <v>6</v>
      </c>
      <c r="L338" s="649">
        <f t="shared" si="7"/>
        <v>7</v>
      </c>
      <c r="M338" s="903"/>
      <c r="N338" s="622" t="str">
        <f t="shared" si="8"/>
        <v/>
      </c>
    </row>
    <row r="339" spans="2:14">
      <c r="B339" s="183"/>
      <c r="C339" s="184" t="s">
        <v>381</v>
      </c>
      <c r="D339" s="893"/>
      <c r="E339" s="894"/>
      <c r="F339" s="895"/>
      <c r="G339" s="533"/>
      <c r="I339" s="631" t="s">
        <v>1208</v>
      </c>
      <c r="J339" s="629"/>
      <c r="K339" s="648">
        <f t="shared" si="6"/>
        <v>5</v>
      </c>
      <c r="L339" s="649">
        <f t="shared" si="7"/>
        <v>7</v>
      </c>
      <c r="M339" s="903"/>
      <c r="N339" s="622" t="str">
        <f t="shared" si="8"/>
        <v/>
      </c>
    </row>
    <row r="340" spans="2:14">
      <c r="B340" s="183" t="s">
        <v>382</v>
      </c>
      <c r="C340" s="184" t="s">
        <v>380</v>
      </c>
      <c r="D340" s="893"/>
      <c r="E340" s="894"/>
      <c r="F340" s="895"/>
      <c r="G340" s="533"/>
      <c r="I340" s="631" t="s">
        <v>1209</v>
      </c>
      <c r="J340" s="629"/>
      <c r="K340" s="648">
        <f t="shared" si="6"/>
        <v>4</v>
      </c>
      <c r="L340" s="649">
        <f t="shared" si="7"/>
        <v>7</v>
      </c>
      <c r="M340" s="903"/>
      <c r="N340" s="622" t="str">
        <f t="shared" si="8"/>
        <v/>
      </c>
    </row>
    <row r="341" spans="2:14">
      <c r="B341" s="183"/>
      <c r="C341" s="184" t="s">
        <v>381</v>
      </c>
      <c r="D341" s="893"/>
      <c r="E341" s="894"/>
      <c r="F341" s="895"/>
      <c r="G341" s="533"/>
      <c r="I341" s="631" t="s">
        <v>1210</v>
      </c>
      <c r="J341" s="629"/>
      <c r="K341" s="648">
        <f t="shared" ref="K341:K404" si="9">1+(RIGHT(I341,LEN(I341)-FIND(",",I341))-10)/20</f>
        <v>3</v>
      </c>
      <c r="L341" s="649">
        <f t="shared" ref="L341:L404" si="10">1+((LEFT(I341,FIND(",",I341)-1)*-1)-10)/20</f>
        <v>7</v>
      </c>
      <c r="M341" s="903"/>
      <c r="N341" s="622" t="str">
        <f t="shared" ref="N341:N404" si="11">IF(AND(K341&lt;=$I$144,K341&gt;=$I$145,L341&gt;=$M$143,L341&lt;=$N$143),MIN(ROUND(M341,2),633),"")</f>
        <v/>
      </c>
    </row>
    <row r="342" spans="2:14">
      <c r="B342" s="183" t="s">
        <v>386</v>
      </c>
      <c r="C342" s="184" t="s">
        <v>380</v>
      </c>
      <c r="D342" s="893"/>
      <c r="E342" s="894"/>
      <c r="F342" s="895"/>
      <c r="G342" s="533"/>
      <c r="I342" s="631" t="s">
        <v>1211</v>
      </c>
      <c r="J342" s="629"/>
      <c r="K342" s="648">
        <f t="shared" si="9"/>
        <v>2</v>
      </c>
      <c r="L342" s="649">
        <f t="shared" si="10"/>
        <v>7</v>
      </c>
      <c r="M342" s="903"/>
      <c r="N342" s="622" t="str">
        <f t="shared" si="11"/>
        <v/>
      </c>
    </row>
    <row r="343" spans="2:14" ht="13.5" thickBot="1">
      <c r="B343" s="187"/>
      <c r="C343" s="191" t="s">
        <v>381</v>
      </c>
      <c r="D343" s="900"/>
      <c r="E343" s="901"/>
      <c r="F343" s="902"/>
      <c r="G343" s="533"/>
      <c r="I343" s="631" t="s">
        <v>1212</v>
      </c>
      <c r="J343" s="629"/>
      <c r="K343" s="648">
        <f t="shared" si="9"/>
        <v>1</v>
      </c>
      <c r="L343" s="649">
        <f t="shared" si="10"/>
        <v>7</v>
      </c>
      <c r="M343" s="903"/>
      <c r="N343" s="622" t="str">
        <f t="shared" si="11"/>
        <v/>
      </c>
    </row>
    <row r="344" spans="2:14">
      <c r="B344" s="189" t="s">
        <v>395</v>
      </c>
      <c r="C344" s="186"/>
      <c r="D344" s="896"/>
      <c r="E344" s="897"/>
      <c r="F344" s="897"/>
      <c r="G344" s="533"/>
      <c r="I344" s="631" t="s">
        <v>1213</v>
      </c>
      <c r="J344" s="629"/>
      <c r="K344" s="648">
        <f t="shared" si="9"/>
        <v>28</v>
      </c>
      <c r="L344" s="649">
        <f t="shared" si="10"/>
        <v>8</v>
      </c>
      <c r="M344" s="903"/>
      <c r="N344" s="622" t="str">
        <f t="shared" si="11"/>
        <v/>
      </c>
    </row>
    <row r="345" spans="2:14">
      <c r="B345" s="183" t="s">
        <v>386</v>
      </c>
      <c r="C345" s="184" t="s">
        <v>380</v>
      </c>
      <c r="D345" s="893"/>
      <c r="E345" s="894"/>
      <c r="F345" s="895"/>
      <c r="G345" s="533"/>
      <c r="I345" s="631" t="s">
        <v>1214</v>
      </c>
      <c r="J345" s="629"/>
      <c r="K345" s="648">
        <f t="shared" si="9"/>
        <v>27</v>
      </c>
      <c r="L345" s="649">
        <f t="shared" si="10"/>
        <v>8</v>
      </c>
      <c r="M345" s="903"/>
      <c r="N345" s="622" t="str">
        <f t="shared" si="11"/>
        <v/>
      </c>
    </row>
    <row r="346" spans="2:14" ht="13.5" thickBot="1">
      <c r="B346" s="190"/>
      <c r="C346" s="191" t="s">
        <v>381</v>
      </c>
      <c r="D346" s="900"/>
      <c r="E346" s="901"/>
      <c r="F346" s="902"/>
      <c r="G346" s="533"/>
      <c r="I346" s="631" t="s">
        <v>1215</v>
      </c>
      <c r="J346" s="629"/>
      <c r="K346" s="648">
        <f t="shared" si="9"/>
        <v>26</v>
      </c>
      <c r="L346" s="649">
        <f t="shared" si="10"/>
        <v>8</v>
      </c>
      <c r="M346" s="903"/>
      <c r="N346" s="622" t="str">
        <f t="shared" si="11"/>
        <v/>
      </c>
    </row>
    <row r="347" spans="2:14">
      <c r="B347" s="189" t="s">
        <v>396</v>
      </c>
      <c r="C347" s="186"/>
      <c r="D347" s="896"/>
      <c r="E347" s="897"/>
      <c r="F347" s="897"/>
      <c r="G347" s="533"/>
      <c r="I347" s="631" t="s">
        <v>1216</v>
      </c>
      <c r="J347" s="629"/>
      <c r="K347" s="648">
        <f t="shared" si="9"/>
        <v>25</v>
      </c>
      <c r="L347" s="649">
        <f t="shared" si="10"/>
        <v>8</v>
      </c>
      <c r="M347" s="903"/>
      <c r="N347" s="622" t="str">
        <f t="shared" si="11"/>
        <v/>
      </c>
    </row>
    <row r="348" spans="2:14">
      <c r="B348" s="183" t="s">
        <v>386</v>
      </c>
      <c r="C348" s="184" t="s">
        <v>380</v>
      </c>
      <c r="D348" s="893"/>
      <c r="E348" s="894"/>
      <c r="F348" s="895"/>
      <c r="G348" s="533"/>
      <c r="I348" s="631" t="s">
        <v>1217</v>
      </c>
      <c r="J348" s="629"/>
      <c r="K348" s="648">
        <f t="shared" si="9"/>
        <v>24</v>
      </c>
      <c r="L348" s="649">
        <f t="shared" si="10"/>
        <v>8</v>
      </c>
      <c r="M348" s="903"/>
      <c r="N348" s="622" t="str">
        <f t="shared" si="11"/>
        <v/>
      </c>
    </row>
    <row r="349" spans="2:14" ht="13.5" thickBot="1">
      <c r="B349" s="190"/>
      <c r="C349" s="191" t="s">
        <v>381</v>
      </c>
      <c r="D349" s="900"/>
      <c r="E349" s="901"/>
      <c r="F349" s="902"/>
      <c r="G349" s="533"/>
      <c r="I349" s="631" t="s">
        <v>1218</v>
      </c>
      <c r="J349" s="629"/>
      <c r="K349" s="648">
        <f t="shared" si="9"/>
        <v>23</v>
      </c>
      <c r="L349" s="649">
        <f t="shared" si="10"/>
        <v>8</v>
      </c>
      <c r="M349" s="903"/>
      <c r="N349" s="622" t="str">
        <f t="shared" si="11"/>
        <v/>
      </c>
    </row>
    <row r="350" spans="2:14">
      <c r="B350" s="189" t="s">
        <v>397</v>
      </c>
      <c r="C350" s="186"/>
      <c r="D350" s="896"/>
      <c r="E350" s="897"/>
      <c r="F350" s="897"/>
      <c r="G350" s="533"/>
      <c r="I350" s="631" t="s">
        <v>1219</v>
      </c>
      <c r="J350" s="629"/>
      <c r="K350" s="648">
        <f t="shared" si="9"/>
        <v>22</v>
      </c>
      <c r="L350" s="649">
        <f t="shared" si="10"/>
        <v>8</v>
      </c>
      <c r="M350" s="903"/>
      <c r="N350" s="622" t="str">
        <f t="shared" si="11"/>
        <v/>
      </c>
    </row>
    <row r="351" spans="2:14">
      <c r="B351" s="183" t="s">
        <v>399</v>
      </c>
      <c r="C351" s="184" t="s">
        <v>380</v>
      </c>
      <c r="D351" s="893"/>
      <c r="E351" s="894"/>
      <c r="F351" s="895"/>
      <c r="G351" s="533"/>
      <c r="I351" s="631" t="s">
        <v>1220</v>
      </c>
      <c r="J351" s="629"/>
      <c r="K351" s="648">
        <f t="shared" si="9"/>
        <v>21</v>
      </c>
      <c r="L351" s="649">
        <f t="shared" si="10"/>
        <v>8</v>
      </c>
      <c r="M351" s="903"/>
      <c r="N351" s="622" t="str">
        <f t="shared" si="11"/>
        <v/>
      </c>
    </row>
    <row r="352" spans="2:14" ht="13.5" thickBot="1">
      <c r="B352" s="190"/>
      <c r="C352" s="191" t="s">
        <v>381</v>
      </c>
      <c r="D352" s="900"/>
      <c r="E352" s="901"/>
      <c r="F352" s="902"/>
      <c r="G352" s="533"/>
      <c r="I352" s="631" t="s">
        <v>1221</v>
      </c>
      <c r="J352" s="629"/>
      <c r="K352" s="648">
        <f t="shared" si="9"/>
        <v>20</v>
      </c>
      <c r="L352" s="649">
        <f t="shared" si="10"/>
        <v>8</v>
      </c>
      <c r="M352" s="903"/>
      <c r="N352" s="622" t="str">
        <f t="shared" si="11"/>
        <v/>
      </c>
    </row>
    <row r="353" spans="2:14">
      <c r="B353" s="189" t="s">
        <v>398</v>
      </c>
      <c r="C353" s="186"/>
      <c r="D353" s="896"/>
      <c r="E353" s="897"/>
      <c r="F353" s="897"/>
      <c r="G353" s="533"/>
      <c r="I353" s="631" t="s">
        <v>1222</v>
      </c>
      <c r="J353" s="629"/>
      <c r="K353" s="648">
        <f t="shared" si="9"/>
        <v>19</v>
      </c>
      <c r="L353" s="649">
        <f t="shared" si="10"/>
        <v>8</v>
      </c>
      <c r="M353" s="903"/>
      <c r="N353" s="622" t="str">
        <f t="shared" si="11"/>
        <v/>
      </c>
    </row>
    <row r="354" spans="2:14">
      <c r="B354" s="183" t="s">
        <v>399</v>
      </c>
      <c r="C354" s="184" t="s">
        <v>380</v>
      </c>
      <c r="D354" s="893"/>
      <c r="E354" s="894"/>
      <c r="F354" s="895"/>
      <c r="G354" s="533"/>
      <c r="I354" s="631" t="s">
        <v>1223</v>
      </c>
      <c r="J354" s="629"/>
      <c r="K354" s="648">
        <f t="shared" si="9"/>
        <v>18</v>
      </c>
      <c r="L354" s="649">
        <f t="shared" si="10"/>
        <v>8</v>
      </c>
      <c r="M354" s="903"/>
      <c r="N354" s="622" t="str">
        <f t="shared" si="11"/>
        <v/>
      </c>
    </row>
    <row r="355" spans="2:14" ht="13.5" thickBot="1">
      <c r="B355" s="190"/>
      <c r="C355" s="191" t="s">
        <v>381</v>
      </c>
      <c r="D355" s="900"/>
      <c r="E355" s="901"/>
      <c r="F355" s="902"/>
      <c r="G355" s="533"/>
      <c r="I355" s="631" t="s">
        <v>1224</v>
      </c>
      <c r="J355" s="629"/>
      <c r="K355" s="648">
        <f t="shared" si="9"/>
        <v>17</v>
      </c>
      <c r="L355" s="649">
        <f t="shared" si="10"/>
        <v>8</v>
      </c>
      <c r="M355" s="903"/>
      <c r="N355" s="622" t="str">
        <f t="shared" si="11"/>
        <v/>
      </c>
    </row>
    <row r="356" spans="2:14">
      <c r="B356" s="16" t="s">
        <v>400</v>
      </c>
      <c r="C356" s="34"/>
      <c r="D356" s="891"/>
      <c r="E356" s="889"/>
      <c r="F356" s="889"/>
      <c r="G356" s="533"/>
      <c r="I356" s="631" t="s">
        <v>1225</v>
      </c>
      <c r="J356" s="629"/>
      <c r="K356" s="648">
        <f t="shared" si="9"/>
        <v>16</v>
      </c>
      <c r="L356" s="649">
        <f t="shared" si="10"/>
        <v>8</v>
      </c>
      <c r="M356" s="903"/>
      <c r="N356" s="622" t="str">
        <f t="shared" si="11"/>
        <v/>
      </c>
    </row>
    <row r="357" spans="2:14">
      <c r="B357" s="183" t="s">
        <v>379</v>
      </c>
      <c r="C357" s="184" t="s">
        <v>380</v>
      </c>
      <c r="D357" s="877"/>
      <c r="E357" s="881"/>
      <c r="F357" s="872"/>
      <c r="G357" s="533"/>
      <c r="I357" s="631" t="s">
        <v>1226</v>
      </c>
      <c r="J357" s="629"/>
      <c r="K357" s="648">
        <f t="shared" si="9"/>
        <v>15</v>
      </c>
      <c r="L357" s="649">
        <f t="shared" si="10"/>
        <v>8</v>
      </c>
      <c r="M357" s="903"/>
      <c r="N357" s="622" t="str">
        <f t="shared" si="11"/>
        <v/>
      </c>
    </row>
    <row r="358" spans="2:14">
      <c r="B358" s="183"/>
      <c r="C358" s="184" t="s">
        <v>381</v>
      </c>
      <c r="D358" s="877"/>
      <c r="E358" s="881"/>
      <c r="F358" s="872"/>
      <c r="G358" s="533"/>
      <c r="I358" s="631" t="s">
        <v>1227</v>
      </c>
      <c r="J358" s="629"/>
      <c r="K358" s="648">
        <f t="shared" si="9"/>
        <v>14</v>
      </c>
      <c r="L358" s="649">
        <f t="shared" si="10"/>
        <v>8</v>
      </c>
      <c r="M358" s="903"/>
      <c r="N358" s="622" t="str">
        <f t="shared" si="11"/>
        <v/>
      </c>
    </row>
    <row r="359" spans="2:14">
      <c r="B359" s="183" t="s">
        <v>386</v>
      </c>
      <c r="C359" s="184" t="s">
        <v>380</v>
      </c>
      <c r="D359" s="877"/>
      <c r="E359" s="881"/>
      <c r="F359" s="872"/>
      <c r="G359" s="533"/>
      <c r="I359" s="631" t="s">
        <v>1228</v>
      </c>
      <c r="J359" s="629"/>
      <c r="K359" s="648">
        <f t="shared" si="9"/>
        <v>13</v>
      </c>
      <c r="L359" s="649">
        <f t="shared" si="10"/>
        <v>8</v>
      </c>
      <c r="M359" s="903"/>
      <c r="N359" s="622" t="str">
        <f t="shared" si="11"/>
        <v/>
      </c>
    </row>
    <row r="360" spans="2:14">
      <c r="B360" s="183"/>
      <c r="C360" s="184" t="s">
        <v>381</v>
      </c>
      <c r="D360" s="877"/>
      <c r="E360" s="881"/>
      <c r="F360" s="872"/>
      <c r="G360" s="533"/>
      <c r="I360" s="631" t="s">
        <v>1229</v>
      </c>
      <c r="J360" s="629"/>
      <c r="K360" s="648">
        <f t="shared" si="9"/>
        <v>12</v>
      </c>
      <c r="L360" s="649">
        <f t="shared" si="10"/>
        <v>8</v>
      </c>
      <c r="M360" s="903"/>
      <c r="N360" s="622" t="str">
        <f t="shared" si="11"/>
        <v/>
      </c>
    </row>
    <row r="361" spans="2:14">
      <c r="B361" s="183" t="s">
        <v>385</v>
      </c>
      <c r="C361" s="184" t="s">
        <v>380</v>
      </c>
      <c r="D361" s="877"/>
      <c r="E361" s="881"/>
      <c r="F361" s="872"/>
      <c r="G361" s="533"/>
      <c r="I361" s="631" t="s">
        <v>1230</v>
      </c>
      <c r="J361" s="629"/>
      <c r="K361" s="648">
        <f t="shared" si="9"/>
        <v>11</v>
      </c>
      <c r="L361" s="649">
        <f t="shared" si="10"/>
        <v>8</v>
      </c>
      <c r="M361" s="903"/>
      <c r="N361" s="622" t="str">
        <f t="shared" si="11"/>
        <v/>
      </c>
    </row>
    <row r="362" spans="2:14">
      <c r="B362" s="183"/>
      <c r="C362" s="184" t="s">
        <v>381</v>
      </c>
      <c r="D362" s="877"/>
      <c r="E362" s="881"/>
      <c r="F362" s="872"/>
      <c r="G362" s="533"/>
      <c r="I362" s="631" t="s">
        <v>1231</v>
      </c>
      <c r="J362" s="629"/>
      <c r="K362" s="648">
        <f t="shared" si="9"/>
        <v>10</v>
      </c>
      <c r="L362" s="649">
        <f t="shared" si="10"/>
        <v>8</v>
      </c>
      <c r="M362" s="903"/>
      <c r="N362" s="622" t="str">
        <f t="shared" si="11"/>
        <v/>
      </c>
    </row>
    <row r="363" spans="2:14">
      <c r="B363" s="183" t="s">
        <v>383</v>
      </c>
      <c r="C363" s="184" t="s">
        <v>380</v>
      </c>
      <c r="D363" s="893"/>
      <c r="E363" s="894"/>
      <c r="F363" s="895"/>
      <c r="G363" s="533"/>
      <c r="I363" s="631" t="s">
        <v>1232</v>
      </c>
      <c r="J363" s="629"/>
      <c r="K363" s="648">
        <f t="shared" si="9"/>
        <v>9</v>
      </c>
      <c r="L363" s="649">
        <f t="shared" si="10"/>
        <v>8</v>
      </c>
      <c r="M363" s="903"/>
      <c r="N363" s="622" t="str">
        <f t="shared" si="11"/>
        <v/>
      </c>
    </row>
    <row r="364" spans="2:14" ht="13.5" thickBot="1">
      <c r="B364" s="187"/>
      <c r="C364" s="191" t="s">
        <v>381</v>
      </c>
      <c r="D364" s="900"/>
      <c r="E364" s="901"/>
      <c r="F364" s="902"/>
      <c r="G364" s="533"/>
      <c r="I364" s="631" t="s">
        <v>1233</v>
      </c>
      <c r="J364" s="629"/>
      <c r="K364" s="648">
        <f t="shared" si="9"/>
        <v>8</v>
      </c>
      <c r="L364" s="649">
        <f t="shared" si="10"/>
        <v>8</v>
      </c>
      <c r="M364" s="903"/>
      <c r="N364" s="622" t="str">
        <f t="shared" si="11"/>
        <v/>
      </c>
    </row>
    <row r="365" spans="2:14">
      <c r="B365" s="16" t="s">
        <v>401</v>
      </c>
      <c r="C365" s="34"/>
      <c r="D365" s="891"/>
      <c r="E365" s="889"/>
      <c r="F365" s="889"/>
      <c r="G365" s="533"/>
      <c r="I365" s="631" t="s">
        <v>1234</v>
      </c>
      <c r="J365" s="629"/>
      <c r="K365" s="648">
        <f t="shared" si="9"/>
        <v>7</v>
      </c>
      <c r="L365" s="649">
        <f t="shared" si="10"/>
        <v>8</v>
      </c>
      <c r="M365" s="903"/>
      <c r="N365" s="622" t="str">
        <f t="shared" si="11"/>
        <v/>
      </c>
    </row>
    <row r="366" spans="2:14">
      <c r="B366" s="183" t="s">
        <v>379</v>
      </c>
      <c r="C366" s="184" t="s">
        <v>380</v>
      </c>
      <c r="D366" s="877"/>
      <c r="E366" s="881"/>
      <c r="F366" s="872"/>
      <c r="G366" s="533"/>
      <c r="I366" s="631" t="s">
        <v>1235</v>
      </c>
      <c r="J366" s="629"/>
      <c r="K366" s="648">
        <f t="shared" si="9"/>
        <v>6</v>
      </c>
      <c r="L366" s="649">
        <f t="shared" si="10"/>
        <v>8</v>
      </c>
      <c r="M366" s="903"/>
      <c r="N366" s="622" t="str">
        <f t="shared" si="11"/>
        <v/>
      </c>
    </row>
    <row r="367" spans="2:14">
      <c r="B367" s="183"/>
      <c r="C367" s="184" t="s">
        <v>381</v>
      </c>
      <c r="D367" s="877"/>
      <c r="E367" s="881"/>
      <c r="F367" s="872"/>
      <c r="G367" s="533"/>
      <c r="I367" s="631" t="s">
        <v>1236</v>
      </c>
      <c r="J367" s="629"/>
      <c r="K367" s="648">
        <f t="shared" si="9"/>
        <v>5</v>
      </c>
      <c r="L367" s="649">
        <f t="shared" si="10"/>
        <v>8</v>
      </c>
      <c r="M367" s="903"/>
      <c r="N367" s="622" t="str">
        <f t="shared" si="11"/>
        <v/>
      </c>
    </row>
    <row r="368" spans="2:14">
      <c r="B368" s="183" t="s">
        <v>386</v>
      </c>
      <c r="C368" s="184" t="s">
        <v>380</v>
      </c>
      <c r="D368" s="877"/>
      <c r="E368" s="881"/>
      <c r="F368" s="872"/>
      <c r="G368" s="533"/>
      <c r="I368" s="631" t="s">
        <v>1237</v>
      </c>
      <c r="J368" s="629"/>
      <c r="K368" s="648">
        <f t="shared" si="9"/>
        <v>4</v>
      </c>
      <c r="L368" s="649">
        <f t="shared" si="10"/>
        <v>8</v>
      </c>
      <c r="M368" s="903"/>
      <c r="N368" s="622" t="str">
        <f t="shared" si="11"/>
        <v/>
      </c>
    </row>
    <row r="369" spans="2:14">
      <c r="B369" s="183"/>
      <c r="C369" s="184" t="s">
        <v>381</v>
      </c>
      <c r="D369" s="877"/>
      <c r="E369" s="881"/>
      <c r="F369" s="872"/>
      <c r="G369" s="533"/>
      <c r="I369" s="631" t="s">
        <v>1238</v>
      </c>
      <c r="J369" s="629"/>
      <c r="K369" s="648">
        <f t="shared" si="9"/>
        <v>3</v>
      </c>
      <c r="L369" s="649">
        <f t="shared" si="10"/>
        <v>8</v>
      </c>
      <c r="M369" s="903"/>
      <c r="N369" s="622" t="str">
        <f t="shared" si="11"/>
        <v/>
      </c>
    </row>
    <row r="370" spans="2:14">
      <c r="B370" s="183" t="s">
        <v>385</v>
      </c>
      <c r="C370" s="184" t="s">
        <v>380</v>
      </c>
      <c r="D370" s="877"/>
      <c r="E370" s="881"/>
      <c r="F370" s="872"/>
      <c r="G370" s="533"/>
      <c r="I370" s="631" t="s">
        <v>1239</v>
      </c>
      <c r="J370" s="629"/>
      <c r="K370" s="648">
        <f t="shared" si="9"/>
        <v>2</v>
      </c>
      <c r="L370" s="649">
        <f t="shared" si="10"/>
        <v>8</v>
      </c>
      <c r="M370" s="903"/>
      <c r="N370" s="622" t="str">
        <f t="shared" si="11"/>
        <v/>
      </c>
    </row>
    <row r="371" spans="2:14">
      <c r="B371" s="183"/>
      <c r="C371" s="184" t="s">
        <v>381</v>
      </c>
      <c r="D371" s="877"/>
      <c r="E371" s="881"/>
      <c r="F371" s="872"/>
      <c r="G371" s="533"/>
      <c r="I371" s="631" t="s">
        <v>1240</v>
      </c>
      <c r="J371" s="629"/>
      <c r="K371" s="648">
        <f t="shared" si="9"/>
        <v>1</v>
      </c>
      <c r="L371" s="649">
        <f t="shared" si="10"/>
        <v>8</v>
      </c>
      <c r="M371" s="903"/>
      <c r="N371" s="622" t="str">
        <f t="shared" si="11"/>
        <v/>
      </c>
    </row>
    <row r="372" spans="2:14">
      <c r="B372" s="183" t="s">
        <v>383</v>
      </c>
      <c r="C372" s="184" t="s">
        <v>380</v>
      </c>
      <c r="D372" s="893"/>
      <c r="E372" s="894"/>
      <c r="F372" s="895"/>
      <c r="G372" s="533"/>
      <c r="I372" s="631" t="s">
        <v>1241</v>
      </c>
      <c r="J372" s="629"/>
      <c r="K372" s="648">
        <f t="shared" si="9"/>
        <v>28</v>
      </c>
      <c r="L372" s="649">
        <f t="shared" si="10"/>
        <v>9</v>
      </c>
      <c r="M372" s="903"/>
      <c r="N372" s="622" t="str">
        <f t="shared" si="11"/>
        <v/>
      </c>
    </row>
    <row r="373" spans="2:14" ht="13.5" thickBot="1">
      <c r="B373" s="187"/>
      <c r="C373" s="191" t="s">
        <v>381</v>
      </c>
      <c r="D373" s="900"/>
      <c r="E373" s="901"/>
      <c r="F373" s="902"/>
      <c r="G373" s="533"/>
      <c r="I373" s="631" t="s">
        <v>1242</v>
      </c>
      <c r="J373" s="629"/>
      <c r="K373" s="648">
        <f t="shared" si="9"/>
        <v>27</v>
      </c>
      <c r="L373" s="649">
        <f t="shared" si="10"/>
        <v>9</v>
      </c>
      <c r="M373" s="903"/>
      <c r="N373" s="622" t="str">
        <f t="shared" si="11"/>
        <v/>
      </c>
    </row>
    <row r="374" spans="2:14">
      <c r="B374" s="16" t="s">
        <v>402</v>
      </c>
      <c r="C374" s="34"/>
      <c r="D374" s="891"/>
      <c r="E374" s="889"/>
      <c r="F374" s="889"/>
      <c r="G374" s="533"/>
      <c r="I374" s="631" t="s">
        <v>1243</v>
      </c>
      <c r="J374" s="629"/>
      <c r="K374" s="648">
        <f t="shared" si="9"/>
        <v>26</v>
      </c>
      <c r="L374" s="649">
        <f t="shared" si="10"/>
        <v>9</v>
      </c>
      <c r="M374" s="903"/>
      <c r="N374" s="622" t="str">
        <f t="shared" si="11"/>
        <v/>
      </c>
    </row>
    <row r="375" spans="2:14">
      <c r="B375" s="183" t="s">
        <v>379</v>
      </c>
      <c r="C375" s="184" t="s">
        <v>380</v>
      </c>
      <c r="D375" s="877"/>
      <c r="E375" s="881"/>
      <c r="F375" s="872"/>
      <c r="G375" s="533"/>
      <c r="I375" s="631" t="s">
        <v>1244</v>
      </c>
      <c r="J375" s="629"/>
      <c r="K375" s="648">
        <f t="shared" si="9"/>
        <v>25</v>
      </c>
      <c r="L375" s="649">
        <f t="shared" si="10"/>
        <v>9</v>
      </c>
      <c r="M375" s="903"/>
      <c r="N375" s="622" t="str">
        <f t="shared" si="11"/>
        <v/>
      </c>
    </row>
    <row r="376" spans="2:14">
      <c r="B376" s="183"/>
      <c r="C376" s="184" t="s">
        <v>381</v>
      </c>
      <c r="D376" s="877"/>
      <c r="E376" s="881"/>
      <c r="F376" s="872"/>
      <c r="G376" s="533"/>
      <c r="I376" s="631" t="s">
        <v>1245</v>
      </c>
      <c r="J376" s="629"/>
      <c r="K376" s="648">
        <f t="shared" si="9"/>
        <v>24</v>
      </c>
      <c r="L376" s="649">
        <f t="shared" si="10"/>
        <v>9</v>
      </c>
      <c r="M376" s="903"/>
      <c r="N376" s="622" t="str">
        <f t="shared" si="11"/>
        <v/>
      </c>
    </row>
    <row r="377" spans="2:14">
      <c r="B377" s="183" t="s">
        <v>382</v>
      </c>
      <c r="C377" s="184" t="s">
        <v>380</v>
      </c>
      <c r="D377" s="877"/>
      <c r="E377" s="881"/>
      <c r="F377" s="872"/>
      <c r="G377" s="533"/>
      <c r="I377" s="631" t="s">
        <v>1246</v>
      </c>
      <c r="J377" s="629"/>
      <c r="K377" s="648">
        <f t="shared" si="9"/>
        <v>23</v>
      </c>
      <c r="L377" s="649">
        <f t="shared" si="10"/>
        <v>9</v>
      </c>
      <c r="M377" s="903"/>
      <c r="N377" s="622" t="str">
        <f t="shared" si="11"/>
        <v/>
      </c>
    </row>
    <row r="378" spans="2:14">
      <c r="B378" s="183"/>
      <c r="C378" s="184" t="s">
        <v>381</v>
      </c>
      <c r="D378" s="877"/>
      <c r="E378" s="881"/>
      <c r="F378" s="872"/>
      <c r="G378" s="533"/>
      <c r="I378" s="631" t="s">
        <v>1247</v>
      </c>
      <c r="J378" s="629"/>
      <c r="K378" s="648">
        <f t="shared" si="9"/>
        <v>22</v>
      </c>
      <c r="L378" s="649">
        <f t="shared" si="10"/>
        <v>9</v>
      </c>
      <c r="M378" s="903"/>
      <c r="N378" s="622" t="str">
        <f t="shared" si="11"/>
        <v/>
      </c>
    </row>
    <row r="379" spans="2:14">
      <c r="B379" s="183" t="s">
        <v>386</v>
      </c>
      <c r="C379" s="184" t="s">
        <v>380</v>
      </c>
      <c r="D379" s="877"/>
      <c r="E379" s="881"/>
      <c r="F379" s="872"/>
      <c r="G379" s="533"/>
      <c r="I379" s="631" t="s">
        <v>1248</v>
      </c>
      <c r="J379" s="629"/>
      <c r="K379" s="648">
        <f t="shared" si="9"/>
        <v>21</v>
      </c>
      <c r="L379" s="649">
        <f t="shared" si="10"/>
        <v>9</v>
      </c>
      <c r="M379" s="903"/>
      <c r="N379" s="622" t="str">
        <f t="shared" si="11"/>
        <v/>
      </c>
    </row>
    <row r="380" spans="2:14">
      <c r="B380" s="183"/>
      <c r="C380" s="184" t="s">
        <v>381</v>
      </c>
      <c r="D380" s="877"/>
      <c r="E380" s="881"/>
      <c r="F380" s="872"/>
      <c r="G380" s="533"/>
      <c r="I380" s="631" t="s">
        <v>1249</v>
      </c>
      <c r="J380" s="629"/>
      <c r="K380" s="648">
        <f t="shared" si="9"/>
        <v>20</v>
      </c>
      <c r="L380" s="649">
        <f t="shared" si="10"/>
        <v>9</v>
      </c>
      <c r="M380" s="903"/>
      <c r="N380" s="622" t="str">
        <f t="shared" si="11"/>
        <v/>
      </c>
    </row>
    <row r="381" spans="2:14">
      <c r="B381" s="183" t="s">
        <v>385</v>
      </c>
      <c r="C381" s="184" t="s">
        <v>380</v>
      </c>
      <c r="D381" s="877"/>
      <c r="E381" s="881"/>
      <c r="F381" s="872"/>
      <c r="G381" s="533"/>
      <c r="I381" s="631" t="s">
        <v>1250</v>
      </c>
      <c r="J381" s="629"/>
      <c r="K381" s="648">
        <f t="shared" si="9"/>
        <v>19</v>
      </c>
      <c r="L381" s="649">
        <f t="shared" si="10"/>
        <v>9</v>
      </c>
      <c r="M381" s="903"/>
      <c r="N381" s="622" t="str">
        <f t="shared" si="11"/>
        <v/>
      </c>
    </row>
    <row r="382" spans="2:14">
      <c r="B382" s="183"/>
      <c r="C382" s="184" t="s">
        <v>381</v>
      </c>
      <c r="D382" s="877"/>
      <c r="E382" s="881"/>
      <c r="F382" s="872"/>
      <c r="G382" s="533"/>
      <c r="I382" s="631" t="s">
        <v>1251</v>
      </c>
      <c r="J382" s="629"/>
      <c r="K382" s="648">
        <f t="shared" si="9"/>
        <v>18</v>
      </c>
      <c r="L382" s="649">
        <f t="shared" si="10"/>
        <v>9</v>
      </c>
      <c r="M382" s="903"/>
      <c r="N382" s="622" t="str">
        <f t="shared" si="11"/>
        <v/>
      </c>
    </row>
    <row r="383" spans="2:14">
      <c r="B383" s="183" t="s">
        <v>383</v>
      </c>
      <c r="C383" s="184" t="s">
        <v>380</v>
      </c>
      <c r="D383" s="893"/>
      <c r="E383" s="894"/>
      <c r="F383" s="895"/>
      <c r="G383" s="533"/>
      <c r="I383" s="631" t="s">
        <v>1252</v>
      </c>
      <c r="J383" s="629"/>
      <c r="K383" s="648">
        <f t="shared" si="9"/>
        <v>17</v>
      </c>
      <c r="L383" s="649">
        <f t="shared" si="10"/>
        <v>9</v>
      </c>
      <c r="M383" s="903"/>
      <c r="N383" s="622" t="str">
        <f t="shared" si="11"/>
        <v/>
      </c>
    </row>
    <row r="384" spans="2:14" ht="13.5" thickBot="1">
      <c r="B384" s="187"/>
      <c r="C384" s="191" t="s">
        <v>381</v>
      </c>
      <c r="D384" s="900"/>
      <c r="E384" s="901"/>
      <c r="F384" s="902"/>
      <c r="G384" s="533"/>
      <c r="I384" s="631" t="s">
        <v>1253</v>
      </c>
      <c r="J384" s="629"/>
      <c r="K384" s="648">
        <f t="shared" si="9"/>
        <v>16</v>
      </c>
      <c r="L384" s="649">
        <f t="shared" si="10"/>
        <v>9</v>
      </c>
      <c r="M384" s="903"/>
      <c r="N384" s="622" t="str">
        <f t="shared" si="11"/>
        <v/>
      </c>
    </row>
    <row r="385" spans="2:14">
      <c r="B385" s="16" t="s">
        <v>403</v>
      </c>
      <c r="C385" s="34"/>
      <c r="D385" s="891"/>
      <c r="E385" s="889"/>
      <c r="F385" s="889"/>
      <c r="G385" s="533"/>
      <c r="I385" s="631" t="s">
        <v>1254</v>
      </c>
      <c r="J385" s="629"/>
      <c r="K385" s="648">
        <f t="shared" si="9"/>
        <v>15</v>
      </c>
      <c r="L385" s="649">
        <f t="shared" si="10"/>
        <v>9</v>
      </c>
      <c r="M385" s="903"/>
      <c r="N385" s="622" t="str">
        <f t="shared" si="11"/>
        <v/>
      </c>
    </row>
    <row r="386" spans="2:14">
      <c r="B386" s="183" t="s">
        <v>379</v>
      </c>
      <c r="C386" s="184" t="s">
        <v>380</v>
      </c>
      <c r="D386" s="877"/>
      <c r="E386" s="881"/>
      <c r="F386" s="872"/>
      <c r="G386" s="533"/>
      <c r="I386" s="631" t="s">
        <v>1255</v>
      </c>
      <c r="J386" s="629"/>
      <c r="K386" s="648">
        <f t="shared" si="9"/>
        <v>14</v>
      </c>
      <c r="L386" s="649">
        <f t="shared" si="10"/>
        <v>9</v>
      </c>
      <c r="M386" s="903"/>
      <c r="N386" s="622" t="str">
        <f t="shared" si="11"/>
        <v/>
      </c>
    </row>
    <row r="387" spans="2:14">
      <c r="B387" s="183"/>
      <c r="C387" s="184" t="s">
        <v>381</v>
      </c>
      <c r="D387" s="877"/>
      <c r="E387" s="881"/>
      <c r="F387" s="872"/>
      <c r="G387" s="533"/>
      <c r="I387" s="631" t="s">
        <v>1256</v>
      </c>
      <c r="J387" s="629"/>
      <c r="K387" s="648">
        <f t="shared" si="9"/>
        <v>13</v>
      </c>
      <c r="L387" s="649">
        <f t="shared" si="10"/>
        <v>9</v>
      </c>
      <c r="M387" s="903"/>
      <c r="N387" s="622" t="str">
        <f t="shared" si="11"/>
        <v/>
      </c>
    </row>
    <row r="388" spans="2:14">
      <c r="B388" s="183" t="s">
        <v>382</v>
      </c>
      <c r="C388" s="184" t="s">
        <v>380</v>
      </c>
      <c r="D388" s="877"/>
      <c r="E388" s="881"/>
      <c r="F388" s="872"/>
      <c r="G388" s="533"/>
      <c r="I388" s="631" t="s">
        <v>1257</v>
      </c>
      <c r="J388" s="629"/>
      <c r="K388" s="648">
        <f t="shared" si="9"/>
        <v>12</v>
      </c>
      <c r="L388" s="649">
        <f t="shared" si="10"/>
        <v>9</v>
      </c>
      <c r="M388" s="903"/>
      <c r="N388" s="622" t="str">
        <f t="shared" si="11"/>
        <v/>
      </c>
    </row>
    <row r="389" spans="2:14">
      <c r="B389" s="183"/>
      <c r="C389" s="184" t="s">
        <v>381</v>
      </c>
      <c r="D389" s="877"/>
      <c r="E389" s="881"/>
      <c r="F389" s="872"/>
      <c r="G389" s="533"/>
      <c r="I389" s="631" t="s">
        <v>1258</v>
      </c>
      <c r="J389" s="629"/>
      <c r="K389" s="648">
        <f t="shared" si="9"/>
        <v>11</v>
      </c>
      <c r="L389" s="649">
        <f t="shared" si="10"/>
        <v>9</v>
      </c>
      <c r="M389" s="903"/>
      <c r="N389" s="622" t="str">
        <f t="shared" si="11"/>
        <v/>
      </c>
    </row>
    <row r="390" spans="2:14">
      <c r="B390" s="183" t="s">
        <v>386</v>
      </c>
      <c r="C390" s="184" t="s">
        <v>380</v>
      </c>
      <c r="D390" s="877"/>
      <c r="E390" s="881"/>
      <c r="F390" s="872"/>
      <c r="G390" s="533"/>
      <c r="I390" s="631" t="s">
        <v>1259</v>
      </c>
      <c r="J390" s="629"/>
      <c r="K390" s="648">
        <f t="shared" si="9"/>
        <v>10</v>
      </c>
      <c r="L390" s="649">
        <f t="shared" si="10"/>
        <v>9</v>
      </c>
      <c r="M390" s="903"/>
      <c r="N390" s="622" t="str">
        <f t="shared" si="11"/>
        <v/>
      </c>
    </row>
    <row r="391" spans="2:14">
      <c r="B391" s="183"/>
      <c r="C391" s="184" t="s">
        <v>381</v>
      </c>
      <c r="D391" s="877"/>
      <c r="E391" s="881"/>
      <c r="F391" s="872"/>
      <c r="G391" s="533"/>
      <c r="I391" s="631" t="s">
        <v>1260</v>
      </c>
      <c r="J391" s="629"/>
      <c r="K391" s="648">
        <f t="shared" si="9"/>
        <v>9</v>
      </c>
      <c r="L391" s="649">
        <f t="shared" si="10"/>
        <v>9</v>
      </c>
      <c r="M391" s="903"/>
      <c r="N391" s="622" t="str">
        <f t="shared" si="11"/>
        <v/>
      </c>
    </row>
    <row r="392" spans="2:14">
      <c r="B392" s="183" t="s">
        <v>385</v>
      </c>
      <c r="C392" s="184" t="s">
        <v>380</v>
      </c>
      <c r="D392" s="877"/>
      <c r="E392" s="881"/>
      <c r="F392" s="872"/>
      <c r="G392" s="533"/>
      <c r="I392" s="631" t="s">
        <v>1261</v>
      </c>
      <c r="J392" s="629"/>
      <c r="K392" s="648">
        <f t="shared" si="9"/>
        <v>8</v>
      </c>
      <c r="L392" s="649">
        <f t="shared" si="10"/>
        <v>9</v>
      </c>
      <c r="M392" s="903"/>
      <c r="N392" s="622" t="str">
        <f t="shared" si="11"/>
        <v/>
      </c>
    </row>
    <row r="393" spans="2:14">
      <c r="B393" s="183"/>
      <c r="C393" s="184" t="s">
        <v>381</v>
      </c>
      <c r="D393" s="877"/>
      <c r="E393" s="881"/>
      <c r="F393" s="872"/>
      <c r="G393" s="533"/>
      <c r="I393" s="631" t="s">
        <v>1262</v>
      </c>
      <c r="J393" s="629"/>
      <c r="K393" s="648">
        <f t="shared" si="9"/>
        <v>7</v>
      </c>
      <c r="L393" s="649">
        <f t="shared" si="10"/>
        <v>9</v>
      </c>
      <c r="M393" s="903"/>
      <c r="N393" s="622" t="str">
        <f t="shared" si="11"/>
        <v/>
      </c>
    </row>
    <row r="394" spans="2:14">
      <c r="B394" s="183" t="s">
        <v>383</v>
      </c>
      <c r="C394" s="184" t="s">
        <v>380</v>
      </c>
      <c r="D394" s="893"/>
      <c r="E394" s="894"/>
      <c r="F394" s="895"/>
      <c r="G394" s="533"/>
      <c r="I394" s="631" t="s">
        <v>1263</v>
      </c>
      <c r="J394" s="629"/>
      <c r="K394" s="648">
        <f t="shared" si="9"/>
        <v>6</v>
      </c>
      <c r="L394" s="649">
        <f t="shared" si="10"/>
        <v>9</v>
      </c>
      <c r="M394" s="903"/>
      <c r="N394" s="622" t="str">
        <f t="shared" si="11"/>
        <v/>
      </c>
    </row>
    <row r="395" spans="2:14" ht="13.5" thickBot="1">
      <c r="B395" s="187"/>
      <c r="C395" s="191" t="s">
        <v>381</v>
      </c>
      <c r="D395" s="900"/>
      <c r="E395" s="901"/>
      <c r="F395" s="902"/>
      <c r="G395" s="536"/>
      <c r="I395" s="631" t="s">
        <v>1264</v>
      </c>
      <c r="J395" s="629"/>
      <c r="K395" s="648">
        <f t="shared" si="9"/>
        <v>5</v>
      </c>
      <c r="L395" s="649">
        <f t="shared" si="10"/>
        <v>9</v>
      </c>
      <c r="M395" s="903"/>
      <c r="N395" s="622" t="str">
        <f t="shared" si="11"/>
        <v/>
      </c>
    </row>
    <row r="396" spans="2:14" ht="13.5" thickBot="1">
      <c r="I396" s="631" t="s">
        <v>1265</v>
      </c>
      <c r="J396" s="629"/>
      <c r="K396" s="648">
        <f t="shared" si="9"/>
        <v>4</v>
      </c>
      <c r="L396" s="649">
        <f t="shared" si="10"/>
        <v>9</v>
      </c>
      <c r="M396" s="903"/>
      <c r="N396" s="622" t="str">
        <f t="shared" si="11"/>
        <v/>
      </c>
    </row>
    <row r="397" spans="2:14" ht="16.5" thickBot="1">
      <c r="B397" s="1348" t="s">
        <v>433</v>
      </c>
      <c r="C397" s="1349"/>
      <c r="D397" s="1349"/>
      <c r="E397" s="1350"/>
      <c r="I397" s="631" t="s">
        <v>1266</v>
      </c>
      <c r="J397" s="629"/>
      <c r="K397" s="648">
        <f t="shared" si="9"/>
        <v>3</v>
      </c>
      <c r="L397" s="649">
        <f t="shared" si="10"/>
        <v>9</v>
      </c>
      <c r="M397" s="903"/>
      <c r="N397" s="622" t="str">
        <f t="shared" si="11"/>
        <v/>
      </c>
    </row>
    <row r="398" spans="2:14">
      <c r="B398" s="16" t="s">
        <v>434</v>
      </c>
      <c r="C398" s="34"/>
      <c r="D398" s="188"/>
      <c r="E398" s="33"/>
      <c r="I398" s="631" t="s">
        <v>1267</v>
      </c>
      <c r="J398" s="629"/>
      <c r="K398" s="648">
        <f t="shared" si="9"/>
        <v>2</v>
      </c>
      <c r="L398" s="649">
        <f t="shared" si="10"/>
        <v>9</v>
      </c>
      <c r="M398" s="903"/>
      <c r="N398" s="622" t="str">
        <f t="shared" si="11"/>
        <v/>
      </c>
    </row>
    <row r="399" spans="2:14">
      <c r="B399" s="183"/>
      <c r="C399" s="9" t="s">
        <v>696</v>
      </c>
      <c r="D399" s="905"/>
      <c r="E399" s="11"/>
      <c r="I399" s="631" t="s">
        <v>1268</v>
      </c>
      <c r="J399" s="629"/>
      <c r="K399" s="648">
        <f t="shared" si="9"/>
        <v>1</v>
      </c>
      <c r="L399" s="649">
        <f t="shared" si="10"/>
        <v>9</v>
      </c>
      <c r="M399" s="903"/>
      <c r="N399" s="622" t="str">
        <f t="shared" si="11"/>
        <v/>
      </c>
    </row>
    <row r="400" spans="2:14" ht="13.5" thickBot="1">
      <c r="B400" s="183"/>
      <c r="C400" s="9" t="s">
        <v>440</v>
      </c>
      <c r="D400" s="877"/>
      <c r="E400" s="11"/>
      <c r="I400" s="631" t="s">
        <v>1269</v>
      </c>
      <c r="J400" s="629"/>
      <c r="K400" s="648">
        <f t="shared" si="9"/>
        <v>28</v>
      </c>
      <c r="L400" s="649">
        <f t="shared" si="10"/>
        <v>10</v>
      </c>
      <c r="M400" s="903"/>
      <c r="N400" s="622" t="str">
        <f t="shared" si="11"/>
        <v/>
      </c>
    </row>
    <row r="401" spans="2:14">
      <c r="B401" s="16" t="s">
        <v>435</v>
      </c>
      <c r="C401" s="17"/>
      <c r="D401" s="882"/>
      <c r="E401" s="34"/>
      <c r="I401" s="631" t="s">
        <v>1270</v>
      </c>
      <c r="J401" s="629"/>
      <c r="K401" s="648">
        <f t="shared" si="9"/>
        <v>27</v>
      </c>
      <c r="L401" s="649">
        <f t="shared" si="10"/>
        <v>10</v>
      </c>
      <c r="M401" s="903"/>
      <c r="N401" s="622" t="str">
        <f t="shared" si="11"/>
        <v/>
      </c>
    </row>
    <row r="402" spans="2:14">
      <c r="B402" s="10"/>
      <c r="C402" s="9" t="s">
        <v>436</v>
      </c>
      <c r="D402" s="877"/>
      <c r="E402" s="46"/>
      <c r="I402" s="631" t="s">
        <v>1271</v>
      </c>
      <c r="J402" s="629"/>
      <c r="K402" s="648">
        <f t="shared" si="9"/>
        <v>26</v>
      </c>
      <c r="L402" s="649">
        <f t="shared" si="10"/>
        <v>10</v>
      </c>
      <c r="M402" s="903"/>
      <c r="N402" s="622" t="str">
        <f t="shared" si="11"/>
        <v/>
      </c>
    </row>
    <row r="403" spans="2:14">
      <c r="B403" s="10"/>
      <c r="C403" s="9" t="s">
        <v>439</v>
      </c>
      <c r="D403" s="906"/>
      <c r="E403" s="46"/>
      <c r="I403" s="631" t="s">
        <v>1272</v>
      </c>
      <c r="J403" s="629"/>
      <c r="K403" s="648">
        <f t="shared" si="9"/>
        <v>25</v>
      </c>
      <c r="L403" s="649">
        <f t="shared" si="10"/>
        <v>10</v>
      </c>
      <c r="M403" s="903"/>
      <c r="N403" s="622" t="str">
        <f t="shared" si="11"/>
        <v/>
      </c>
    </row>
    <row r="404" spans="2:14">
      <c r="B404" s="10"/>
      <c r="C404" s="184" t="s">
        <v>437</v>
      </c>
      <c r="D404" s="877"/>
      <c r="E404" s="46"/>
      <c r="I404" s="631" t="s">
        <v>1273</v>
      </c>
      <c r="J404" s="629"/>
      <c r="K404" s="648">
        <f t="shared" si="9"/>
        <v>24</v>
      </c>
      <c r="L404" s="649">
        <f t="shared" si="10"/>
        <v>10</v>
      </c>
      <c r="M404" s="903"/>
      <c r="N404" s="622" t="str">
        <f t="shared" si="11"/>
        <v/>
      </c>
    </row>
    <row r="405" spans="2:14" ht="13.5" thickBot="1">
      <c r="B405" s="31"/>
      <c r="C405" s="191" t="s">
        <v>438</v>
      </c>
      <c r="D405" s="885"/>
      <c r="E405" s="49"/>
      <c r="I405" s="631" t="s">
        <v>1274</v>
      </c>
      <c r="J405" s="629"/>
      <c r="K405" s="648">
        <f t="shared" ref="K405:K468" si="12">1+(RIGHT(I405,LEN(I405)-FIND(",",I405))-10)/20</f>
        <v>23</v>
      </c>
      <c r="L405" s="649">
        <f t="shared" ref="L405:L468" si="13">1+((LEFT(I405,FIND(",",I405)-1)*-1)-10)/20</f>
        <v>10</v>
      </c>
      <c r="M405" s="903"/>
      <c r="N405" s="622" t="str">
        <f t="shared" ref="N405:N468" si="14">IF(AND(K405&lt;=$I$144,K405&gt;=$I$145,L405&gt;=$M$143,L405&lt;=$N$143),MIN(ROUND(M405,2),633),"")</f>
        <v/>
      </c>
    </row>
    <row r="406" spans="2:14">
      <c r="I406" s="631" t="s">
        <v>1275</v>
      </c>
      <c r="J406" s="629"/>
      <c r="K406" s="648">
        <f t="shared" si="12"/>
        <v>22</v>
      </c>
      <c r="L406" s="649">
        <f t="shared" si="13"/>
        <v>10</v>
      </c>
      <c r="M406" s="903"/>
      <c r="N406" s="622" t="str">
        <f t="shared" si="14"/>
        <v/>
      </c>
    </row>
    <row r="407" spans="2:14">
      <c r="I407" s="631" t="s">
        <v>1276</v>
      </c>
      <c r="J407" s="629"/>
      <c r="K407" s="648">
        <f t="shared" si="12"/>
        <v>21</v>
      </c>
      <c r="L407" s="649">
        <f t="shared" si="13"/>
        <v>10</v>
      </c>
      <c r="M407" s="903"/>
      <c r="N407" s="622" t="str">
        <f t="shared" si="14"/>
        <v/>
      </c>
    </row>
    <row r="408" spans="2:14">
      <c r="I408" s="631" t="s">
        <v>1277</v>
      </c>
      <c r="J408" s="629"/>
      <c r="K408" s="648">
        <f t="shared" si="12"/>
        <v>20</v>
      </c>
      <c r="L408" s="649">
        <f t="shared" si="13"/>
        <v>10</v>
      </c>
      <c r="M408" s="903"/>
      <c r="N408" s="622" t="str">
        <f t="shared" si="14"/>
        <v/>
      </c>
    </row>
    <row r="409" spans="2:14">
      <c r="I409" s="631" t="s">
        <v>1278</v>
      </c>
      <c r="J409" s="629"/>
      <c r="K409" s="648">
        <f t="shared" si="12"/>
        <v>19</v>
      </c>
      <c r="L409" s="649">
        <f t="shared" si="13"/>
        <v>10</v>
      </c>
      <c r="M409" s="903"/>
      <c r="N409" s="622" t="str">
        <f t="shared" si="14"/>
        <v/>
      </c>
    </row>
    <row r="410" spans="2:14">
      <c r="I410" s="631" t="s">
        <v>1279</v>
      </c>
      <c r="J410" s="629"/>
      <c r="K410" s="648">
        <f t="shared" si="12"/>
        <v>18</v>
      </c>
      <c r="L410" s="649">
        <f t="shared" si="13"/>
        <v>10</v>
      </c>
      <c r="M410" s="903"/>
      <c r="N410" s="622" t="str">
        <f t="shared" si="14"/>
        <v/>
      </c>
    </row>
    <row r="411" spans="2:14">
      <c r="I411" s="631" t="s">
        <v>1280</v>
      </c>
      <c r="J411" s="629"/>
      <c r="K411" s="648">
        <f t="shared" si="12"/>
        <v>17</v>
      </c>
      <c r="L411" s="649">
        <f t="shared" si="13"/>
        <v>10</v>
      </c>
      <c r="M411" s="903"/>
      <c r="N411" s="622" t="str">
        <f t="shared" si="14"/>
        <v/>
      </c>
    </row>
    <row r="412" spans="2:14">
      <c r="I412" s="631" t="s">
        <v>1281</v>
      </c>
      <c r="J412" s="629"/>
      <c r="K412" s="648">
        <f t="shared" si="12"/>
        <v>16</v>
      </c>
      <c r="L412" s="649">
        <f t="shared" si="13"/>
        <v>10</v>
      </c>
      <c r="M412" s="903"/>
      <c r="N412" s="622" t="str">
        <f t="shared" si="14"/>
        <v/>
      </c>
    </row>
    <row r="413" spans="2:14">
      <c r="I413" s="631" t="s">
        <v>1282</v>
      </c>
      <c r="J413" s="629"/>
      <c r="K413" s="648">
        <f t="shared" si="12"/>
        <v>15</v>
      </c>
      <c r="L413" s="649">
        <f t="shared" si="13"/>
        <v>10</v>
      </c>
      <c r="M413" s="903"/>
      <c r="N413" s="622" t="str">
        <f t="shared" si="14"/>
        <v/>
      </c>
    </row>
    <row r="414" spans="2:14">
      <c r="I414" s="631" t="s">
        <v>1283</v>
      </c>
      <c r="J414" s="629"/>
      <c r="K414" s="648">
        <f t="shared" si="12"/>
        <v>14</v>
      </c>
      <c r="L414" s="649">
        <f t="shared" si="13"/>
        <v>10</v>
      </c>
      <c r="M414" s="903"/>
      <c r="N414" s="622" t="str">
        <f t="shared" si="14"/>
        <v/>
      </c>
    </row>
    <row r="415" spans="2:14">
      <c r="I415" s="631" t="s">
        <v>1284</v>
      </c>
      <c r="J415" s="629"/>
      <c r="K415" s="648">
        <f t="shared" si="12"/>
        <v>13</v>
      </c>
      <c r="L415" s="649">
        <f t="shared" si="13"/>
        <v>10</v>
      </c>
      <c r="M415" s="903"/>
      <c r="N415" s="622" t="str">
        <f t="shared" si="14"/>
        <v/>
      </c>
    </row>
    <row r="416" spans="2:14">
      <c r="I416" s="631" t="s">
        <v>1285</v>
      </c>
      <c r="J416" s="629"/>
      <c r="K416" s="648">
        <f t="shared" si="12"/>
        <v>12</v>
      </c>
      <c r="L416" s="649">
        <f t="shared" si="13"/>
        <v>10</v>
      </c>
      <c r="M416" s="903"/>
      <c r="N416" s="622" t="str">
        <f t="shared" si="14"/>
        <v/>
      </c>
    </row>
    <row r="417" spans="9:14">
      <c r="I417" s="631" t="s">
        <v>1286</v>
      </c>
      <c r="J417" s="629"/>
      <c r="K417" s="648">
        <f t="shared" si="12"/>
        <v>11</v>
      </c>
      <c r="L417" s="649">
        <f t="shared" si="13"/>
        <v>10</v>
      </c>
      <c r="M417" s="903"/>
      <c r="N417" s="622" t="str">
        <f t="shared" si="14"/>
        <v/>
      </c>
    </row>
    <row r="418" spans="9:14">
      <c r="I418" s="631" t="s">
        <v>1287</v>
      </c>
      <c r="J418" s="629"/>
      <c r="K418" s="648">
        <f t="shared" si="12"/>
        <v>10</v>
      </c>
      <c r="L418" s="649">
        <f t="shared" si="13"/>
        <v>10</v>
      </c>
      <c r="M418" s="903"/>
      <c r="N418" s="622" t="str">
        <f t="shared" si="14"/>
        <v/>
      </c>
    </row>
    <row r="419" spans="9:14">
      <c r="I419" s="631" t="s">
        <v>1288</v>
      </c>
      <c r="J419" s="629"/>
      <c r="K419" s="648">
        <f t="shared" si="12"/>
        <v>9</v>
      </c>
      <c r="L419" s="649">
        <f t="shared" si="13"/>
        <v>10</v>
      </c>
      <c r="M419" s="903"/>
      <c r="N419" s="622" t="str">
        <f t="shared" si="14"/>
        <v/>
      </c>
    </row>
    <row r="420" spans="9:14">
      <c r="I420" s="631" t="s">
        <v>1289</v>
      </c>
      <c r="J420" s="629"/>
      <c r="K420" s="648">
        <f t="shared" si="12"/>
        <v>8</v>
      </c>
      <c r="L420" s="649">
        <f t="shared" si="13"/>
        <v>10</v>
      </c>
      <c r="M420" s="903"/>
      <c r="N420" s="622" t="str">
        <f t="shared" si="14"/>
        <v/>
      </c>
    </row>
    <row r="421" spans="9:14">
      <c r="I421" s="631" t="s">
        <v>1290</v>
      </c>
      <c r="J421" s="629"/>
      <c r="K421" s="648">
        <f t="shared" si="12"/>
        <v>7</v>
      </c>
      <c r="L421" s="649">
        <f t="shared" si="13"/>
        <v>10</v>
      </c>
      <c r="M421" s="903"/>
      <c r="N421" s="622" t="str">
        <f t="shared" si="14"/>
        <v/>
      </c>
    </row>
    <row r="422" spans="9:14">
      <c r="I422" s="631" t="s">
        <v>1291</v>
      </c>
      <c r="J422" s="629"/>
      <c r="K422" s="648">
        <f t="shared" si="12"/>
        <v>6</v>
      </c>
      <c r="L422" s="649">
        <f t="shared" si="13"/>
        <v>10</v>
      </c>
      <c r="M422" s="903"/>
      <c r="N422" s="622" t="str">
        <f t="shared" si="14"/>
        <v/>
      </c>
    </row>
    <row r="423" spans="9:14">
      <c r="I423" s="631" t="s">
        <v>1292</v>
      </c>
      <c r="J423" s="629"/>
      <c r="K423" s="648">
        <f t="shared" si="12"/>
        <v>5</v>
      </c>
      <c r="L423" s="649">
        <f t="shared" si="13"/>
        <v>10</v>
      </c>
      <c r="M423" s="903"/>
      <c r="N423" s="622" t="str">
        <f t="shared" si="14"/>
        <v/>
      </c>
    </row>
    <row r="424" spans="9:14">
      <c r="I424" s="631" t="s">
        <v>1293</v>
      </c>
      <c r="J424" s="629"/>
      <c r="K424" s="648">
        <f t="shared" si="12"/>
        <v>4</v>
      </c>
      <c r="L424" s="649">
        <f t="shared" si="13"/>
        <v>10</v>
      </c>
      <c r="M424" s="903"/>
      <c r="N424" s="622" t="str">
        <f t="shared" si="14"/>
        <v/>
      </c>
    </row>
    <row r="425" spans="9:14">
      <c r="I425" s="631" t="s">
        <v>1294</v>
      </c>
      <c r="J425" s="629"/>
      <c r="K425" s="648">
        <f t="shared" si="12"/>
        <v>3</v>
      </c>
      <c r="L425" s="649">
        <f t="shared" si="13"/>
        <v>10</v>
      </c>
      <c r="M425" s="903"/>
      <c r="N425" s="622" t="str">
        <f t="shared" si="14"/>
        <v/>
      </c>
    </row>
    <row r="426" spans="9:14">
      <c r="I426" s="631" t="s">
        <v>1295</v>
      </c>
      <c r="J426" s="629"/>
      <c r="K426" s="648">
        <f t="shared" si="12"/>
        <v>2</v>
      </c>
      <c r="L426" s="649">
        <f t="shared" si="13"/>
        <v>10</v>
      </c>
      <c r="M426" s="903"/>
      <c r="N426" s="622" t="str">
        <f t="shared" si="14"/>
        <v/>
      </c>
    </row>
    <row r="427" spans="9:14">
      <c r="I427" s="631" t="s">
        <v>1296</v>
      </c>
      <c r="J427" s="629"/>
      <c r="K427" s="648">
        <f t="shared" si="12"/>
        <v>1</v>
      </c>
      <c r="L427" s="649">
        <f t="shared" si="13"/>
        <v>10</v>
      </c>
      <c r="M427" s="903"/>
      <c r="N427" s="622" t="str">
        <f t="shared" si="14"/>
        <v/>
      </c>
    </row>
    <row r="428" spans="9:14">
      <c r="I428" s="631" t="s">
        <v>1297</v>
      </c>
      <c r="J428" s="629"/>
      <c r="K428" s="648">
        <f t="shared" si="12"/>
        <v>28</v>
      </c>
      <c r="L428" s="649">
        <f t="shared" si="13"/>
        <v>11</v>
      </c>
      <c r="M428" s="903"/>
      <c r="N428" s="622" t="str">
        <f t="shared" si="14"/>
        <v/>
      </c>
    </row>
    <row r="429" spans="9:14">
      <c r="I429" s="631" t="s">
        <v>1298</v>
      </c>
      <c r="J429" s="629"/>
      <c r="K429" s="648">
        <f t="shared" si="12"/>
        <v>27</v>
      </c>
      <c r="L429" s="649">
        <f t="shared" si="13"/>
        <v>11</v>
      </c>
      <c r="M429" s="903"/>
      <c r="N429" s="622" t="str">
        <f t="shared" si="14"/>
        <v/>
      </c>
    </row>
    <row r="430" spans="9:14">
      <c r="I430" s="631" t="s">
        <v>1299</v>
      </c>
      <c r="J430" s="629"/>
      <c r="K430" s="648">
        <f t="shared" si="12"/>
        <v>26</v>
      </c>
      <c r="L430" s="649">
        <f t="shared" si="13"/>
        <v>11</v>
      </c>
      <c r="M430" s="903"/>
      <c r="N430" s="622" t="str">
        <f t="shared" si="14"/>
        <v/>
      </c>
    </row>
    <row r="431" spans="9:14">
      <c r="I431" s="631" t="s">
        <v>1300</v>
      </c>
      <c r="J431" s="629"/>
      <c r="K431" s="648">
        <f t="shared" si="12"/>
        <v>25</v>
      </c>
      <c r="L431" s="649">
        <f t="shared" si="13"/>
        <v>11</v>
      </c>
      <c r="M431" s="903"/>
      <c r="N431" s="622" t="str">
        <f t="shared" si="14"/>
        <v/>
      </c>
    </row>
    <row r="432" spans="9:14">
      <c r="I432" s="631" t="s">
        <v>1301</v>
      </c>
      <c r="J432" s="629"/>
      <c r="K432" s="648">
        <f t="shared" si="12"/>
        <v>24</v>
      </c>
      <c r="L432" s="649">
        <f t="shared" si="13"/>
        <v>11</v>
      </c>
      <c r="M432" s="903"/>
      <c r="N432" s="622" t="str">
        <f t="shared" si="14"/>
        <v/>
      </c>
    </row>
    <row r="433" spans="9:14">
      <c r="I433" s="631" t="s">
        <v>1302</v>
      </c>
      <c r="J433" s="629"/>
      <c r="K433" s="648">
        <f t="shared" si="12"/>
        <v>23</v>
      </c>
      <c r="L433" s="649">
        <f t="shared" si="13"/>
        <v>11</v>
      </c>
      <c r="M433" s="903"/>
      <c r="N433" s="622" t="str">
        <f t="shared" si="14"/>
        <v/>
      </c>
    </row>
    <row r="434" spans="9:14">
      <c r="I434" s="631" t="s">
        <v>1303</v>
      </c>
      <c r="J434" s="629"/>
      <c r="K434" s="648">
        <f t="shared" si="12"/>
        <v>22</v>
      </c>
      <c r="L434" s="649">
        <f t="shared" si="13"/>
        <v>11</v>
      </c>
      <c r="M434" s="903"/>
      <c r="N434" s="622" t="str">
        <f t="shared" si="14"/>
        <v/>
      </c>
    </row>
    <row r="435" spans="9:14">
      <c r="I435" s="631" t="s">
        <v>1304</v>
      </c>
      <c r="J435" s="629"/>
      <c r="K435" s="648">
        <f t="shared" si="12"/>
        <v>21</v>
      </c>
      <c r="L435" s="649">
        <f t="shared" si="13"/>
        <v>11</v>
      </c>
      <c r="M435" s="903"/>
      <c r="N435" s="622" t="str">
        <f t="shared" si="14"/>
        <v/>
      </c>
    </row>
    <row r="436" spans="9:14">
      <c r="I436" s="631" t="s">
        <v>1305</v>
      </c>
      <c r="J436" s="629"/>
      <c r="K436" s="648">
        <f t="shared" si="12"/>
        <v>20</v>
      </c>
      <c r="L436" s="649">
        <f t="shared" si="13"/>
        <v>11</v>
      </c>
      <c r="M436" s="903"/>
      <c r="N436" s="622" t="str">
        <f t="shared" si="14"/>
        <v/>
      </c>
    </row>
    <row r="437" spans="9:14">
      <c r="I437" s="631" t="s">
        <v>1306</v>
      </c>
      <c r="J437" s="629"/>
      <c r="K437" s="648">
        <f t="shared" si="12"/>
        <v>19</v>
      </c>
      <c r="L437" s="649">
        <f t="shared" si="13"/>
        <v>11</v>
      </c>
      <c r="M437" s="903"/>
      <c r="N437" s="622" t="str">
        <f t="shared" si="14"/>
        <v/>
      </c>
    </row>
    <row r="438" spans="9:14">
      <c r="I438" s="631" t="s">
        <v>1307</v>
      </c>
      <c r="J438" s="629"/>
      <c r="K438" s="648">
        <f t="shared" si="12"/>
        <v>18</v>
      </c>
      <c r="L438" s="649">
        <f t="shared" si="13"/>
        <v>11</v>
      </c>
      <c r="M438" s="903"/>
      <c r="N438" s="622" t="str">
        <f t="shared" si="14"/>
        <v/>
      </c>
    </row>
    <row r="439" spans="9:14">
      <c r="I439" s="631" t="s">
        <v>1308</v>
      </c>
      <c r="J439" s="629"/>
      <c r="K439" s="648">
        <f t="shared" si="12"/>
        <v>17</v>
      </c>
      <c r="L439" s="649">
        <f t="shared" si="13"/>
        <v>11</v>
      </c>
      <c r="M439" s="903"/>
      <c r="N439" s="622" t="str">
        <f t="shared" si="14"/>
        <v/>
      </c>
    </row>
    <row r="440" spans="9:14">
      <c r="I440" s="631" t="s">
        <v>1309</v>
      </c>
      <c r="J440" s="629"/>
      <c r="K440" s="648">
        <f t="shared" si="12"/>
        <v>16</v>
      </c>
      <c r="L440" s="649">
        <f t="shared" si="13"/>
        <v>11</v>
      </c>
      <c r="M440" s="903"/>
      <c r="N440" s="622" t="str">
        <f t="shared" si="14"/>
        <v/>
      </c>
    </row>
    <row r="441" spans="9:14">
      <c r="I441" s="631" t="s">
        <v>1310</v>
      </c>
      <c r="J441" s="629"/>
      <c r="K441" s="648">
        <f t="shared" si="12"/>
        <v>15</v>
      </c>
      <c r="L441" s="649">
        <f t="shared" si="13"/>
        <v>11</v>
      </c>
      <c r="M441" s="903"/>
      <c r="N441" s="622" t="str">
        <f t="shared" si="14"/>
        <v/>
      </c>
    </row>
    <row r="442" spans="9:14">
      <c r="I442" s="631" t="s">
        <v>1311</v>
      </c>
      <c r="J442" s="629"/>
      <c r="K442" s="648">
        <f t="shared" si="12"/>
        <v>14</v>
      </c>
      <c r="L442" s="649">
        <f t="shared" si="13"/>
        <v>11</v>
      </c>
      <c r="M442" s="903"/>
      <c r="N442" s="622" t="str">
        <f t="shared" si="14"/>
        <v/>
      </c>
    </row>
    <row r="443" spans="9:14">
      <c r="I443" s="631" t="s">
        <v>1312</v>
      </c>
      <c r="J443" s="629"/>
      <c r="K443" s="648">
        <f t="shared" si="12"/>
        <v>13</v>
      </c>
      <c r="L443" s="649">
        <f t="shared" si="13"/>
        <v>11</v>
      </c>
      <c r="M443" s="903"/>
      <c r="N443" s="622" t="str">
        <f t="shared" si="14"/>
        <v/>
      </c>
    </row>
    <row r="444" spans="9:14">
      <c r="I444" s="631" t="s">
        <v>1313</v>
      </c>
      <c r="J444" s="629"/>
      <c r="K444" s="648">
        <f t="shared" si="12"/>
        <v>12</v>
      </c>
      <c r="L444" s="649">
        <f t="shared" si="13"/>
        <v>11</v>
      </c>
      <c r="M444" s="903"/>
      <c r="N444" s="622" t="str">
        <f t="shared" si="14"/>
        <v/>
      </c>
    </row>
    <row r="445" spans="9:14">
      <c r="I445" s="631" t="s">
        <v>1314</v>
      </c>
      <c r="J445" s="629"/>
      <c r="K445" s="648">
        <f t="shared" si="12"/>
        <v>11</v>
      </c>
      <c r="L445" s="649">
        <f t="shared" si="13"/>
        <v>11</v>
      </c>
      <c r="M445" s="903"/>
      <c r="N445" s="622" t="str">
        <f t="shared" si="14"/>
        <v/>
      </c>
    </row>
    <row r="446" spans="9:14">
      <c r="I446" s="631" t="s">
        <v>1315</v>
      </c>
      <c r="J446" s="629"/>
      <c r="K446" s="648">
        <f t="shared" si="12"/>
        <v>10</v>
      </c>
      <c r="L446" s="649">
        <f t="shared" si="13"/>
        <v>11</v>
      </c>
      <c r="M446" s="903"/>
      <c r="N446" s="622" t="str">
        <f t="shared" si="14"/>
        <v/>
      </c>
    </row>
    <row r="447" spans="9:14">
      <c r="I447" s="631" t="s">
        <v>1316</v>
      </c>
      <c r="J447" s="629"/>
      <c r="K447" s="648">
        <f t="shared" si="12"/>
        <v>9</v>
      </c>
      <c r="L447" s="649">
        <f t="shared" si="13"/>
        <v>11</v>
      </c>
      <c r="M447" s="903"/>
      <c r="N447" s="622" t="str">
        <f t="shared" si="14"/>
        <v/>
      </c>
    </row>
    <row r="448" spans="9:14">
      <c r="I448" s="631" t="s">
        <v>1317</v>
      </c>
      <c r="J448" s="629"/>
      <c r="K448" s="648">
        <f t="shared" si="12"/>
        <v>8</v>
      </c>
      <c r="L448" s="649">
        <f t="shared" si="13"/>
        <v>11</v>
      </c>
      <c r="M448" s="903"/>
      <c r="N448" s="622" t="str">
        <f t="shared" si="14"/>
        <v/>
      </c>
    </row>
    <row r="449" spans="9:14">
      <c r="I449" s="631" t="s">
        <v>1318</v>
      </c>
      <c r="J449" s="629"/>
      <c r="K449" s="648">
        <f t="shared" si="12"/>
        <v>7</v>
      </c>
      <c r="L449" s="649">
        <f t="shared" si="13"/>
        <v>11</v>
      </c>
      <c r="M449" s="903"/>
      <c r="N449" s="622" t="str">
        <f t="shared" si="14"/>
        <v/>
      </c>
    </row>
    <row r="450" spans="9:14">
      <c r="I450" s="631" t="s">
        <v>1319</v>
      </c>
      <c r="J450" s="629"/>
      <c r="K450" s="648">
        <f t="shared" si="12"/>
        <v>6</v>
      </c>
      <c r="L450" s="649">
        <f t="shared" si="13"/>
        <v>11</v>
      </c>
      <c r="M450" s="903"/>
      <c r="N450" s="622" t="str">
        <f t="shared" si="14"/>
        <v/>
      </c>
    </row>
    <row r="451" spans="9:14">
      <c r="I451" s="631" t="s">
        <v>1320</v>
      </c>
      <c r="J451" s="629"/>
      <c r="K451" s="648">
        <f t="shared" si="12"/>
        <v>5</v>
      </c>
      <c r="L451" s="649">
        <f t="shared" si="13"/>
        <v>11</v>
      </c>
      <c r="M451" s="903"/>
      <c r="N451" s="622" t="str">
        <f t="shared" si="14"/>
        <v/>
      </c>
    </row>
    <row r="452" spans="9:14">
      <c r="I452" s="631" t="s">
        <v>1321</v>
      </c>
      <c r="J452" s="629"/>
      <c r="K452" s="648">
        <f t="shared" si="12"/>
        <v>4</v>
      </c>
      <c r="L452" s="649">
        <f t="shared" si="13"/>
        <v>11</v>
      </c>
      <c r="M452" s="903"/>
      <c r="N452" s="622" t="str">
        <f t="shared" si="14"/>
        <v/>
      </c>
    </row>
    <row r="453" spans="9:14">
      <c r="I453" s="631" t="s">
        <v>1322</v>
      </c>
      <c r="J453" s="629"/>
      <c r="K453" s="648">
        <f t="shared" si="12"/>
        <v>3</v>
      </c>
      <c r="L453" s="649">
        <f t="shared" si="13"/>
        <v>11</v>
      </c>
      <c r="M453" s="903"/>
      <c r="N453" s="622" t="str">
        <f t="shared" si="14"/>
        <v/>
      </c>
    </row>
    <row r="454" spans="9:14">
      <c r="I454" s="631" t="s">
        <v>1323</v>
      </c>
      <c r="J454" s="629"/>
      <c r="K454" s="648">
        <f t="shared" si="12"/>
        <v>2</v>
      </c>
      <c r="L454" s="649">
        <f t="shared" si="13"/>
        <v>11</v>
      </c>
      <c r="M454" s="903"/>
      <c r="N454" s="622" t="str">
        <f t="shared" si="14"/>
        <v/>
      </c>
    </row>
    <row r="455" spans="9:14">
      <c r="I455" s="631" t="s">
        <v>1324</v>
      </c>
      <c r="J455" s="629"/>
      <c r="K455" s="648">
        <f t="shared" si="12"/>
        <v>1</v>
      </c>
      <c r="L455" s="649">
        <f t="shared" si="13"/>
        <v>11</v>
      </c>
      <c r="M455" s="903"/>
      <c r="N455" s="622" t="str">
        <f t="shared" si="14"/>
        <v/>
      </c>
    </row>
    <row r="456" spans="9:14">
      <c r="I456" s="631" t="s">
        <v>1325</v>
      </c>
      <c r="J456" s="629"/>
      <c r="K456" s="648">
        <f t="shared" si="12"/>
        <v>28</v>
      </c>
      <c r="L456" s="649">
        <f t="shared" si="13"/>
        <v>12</v>
      </c>
      <c r="M456" s="903"/>
      <c r="N456" s="622" t="str">
        <f t="shared" si="14"/>
        <v/>
      </c>
    </row>
    <row r="457" spans="9:14">
      <c r="I457" s="631" t="s">
        <v>1326</v>
      </c>
      <c r="J457" s="629"/>
      <c r="K457" s="648">
        <f t="shared" si="12"/>
        <v>27</v>
      </c>
      <c r="L457" s="649">
        <f t="shared" si="13"/>
        <v>12</v>
      </c>
      <c r="M457" s="903"/>
      <c r="N457" s="622" t="str">
        <f t="shared" si="14"/>
        <v/>
      </c>
    </row>
    <row r="458" spans="9:14">
      <c r="I458" s="631" t="s">
        <v>1327</v>
      </c>
      <c r="J458" s="629"/>
      <c r="K458" s="648">
        <f t="shared" si="12"/>
        <v>26</v>
      </c>
      <c r="L458" s="649">
        <f t="shared" si="13"/>
        <v>12</v>
      </c>
      <c r="M458" s="903"/>
      <c r="N458" s="622" t="str">
        <f t="shared" si="14"/>
        <v/>
      </c>
    </row>
    <row r="459" spans="9:14">
      <c r="I459" s="631" t="s">
        <v>1328</v>
      </c>
      <c r="J459" s="629"/>
      <c r="K459" s="648">
        <f t="shared" si="12"/>
        <v>25</v>
      </c>
      <c r="L459" s="649">
        <f t="shared" si="13"/>
        <v>12</v>
      </c>
      <c r="M459" s="903"/>
      <c r="N459" s="622" t="str">
        <f t="shared" si="14"/>
        <v/>
      </c>
    </row>
    <row r="460" spans="9:14">
      <c r="I460" s="631" t="s">
        <v>1329</v>
      </c>
      <c r="J460" s="629"/>
      <c r="K460" s="648">
        <f t="shared" si="12"/>
        <v>24</v>
      </c>
      <c r="L460" s="649">
        <f t="shared" si="13"/>
        <v>12</v>
      </c>
      <c r="M460" s="903"/>
      <c r="N460" s="622" t="str">
        <f t="shared" si="14"/>
        <v/>
      </c>
    </row>
    <row r="461" spans="9:14">
      <c r="I461" s="631" t="s">
        <v>1330</v>
      </c>
      <c r="J461" s="629"/>
      <c r="K461" s="648">
        <f t="shared" si="12"/>
        <v>23</v>
      </c>
      <c r="L461" s="649">
        <f t="shared" si="13"/>
        <v>12</v>
      </c>
      <c r="M461" s="903"/>
      <c r="N461" s="622" t="str">
        <f t="shared" si="14"/>
        <v/>
      </c>
    </row>
    <row r="462" spans="9:14">
      <c r="I462" s="631" t="s">
        <v>1331</v>
      </c>
      <c r="J462" s="629"/>
      <c r="K462" s="648">
        <f t="shared" si="12"/>
        <v>22</v>
      </c>
      <c r="L462" s="649">
        <f t="shared" si="13"/>
        <v>12</v>
      </c>
      <c r="M462" s="903"/>
      <c r="N462" s="622" t="str">
        <f t="shared" si="14"/>
        <v/>
      </c>
    </row>
    <row r="463" spans="9:14">
      <c r="I463" s="631" t="s">
        <v>1332</v>
      </c>
      <c r="J463" s="629"/>
      <c r="K463" s="648">
        <f t="shared" si="12"/>
        <v>21</v>
      </c>
      <c r="L463" s="649">
        <f t="shared" si="13"/>
        <v>12</v>
      </c>
      <c r="M463" s="903"/>
      <c r="N463" s="622" t="str">
        <f t="shared" si="14"/>
        <v/>
      </c>
    </row>
    <row r="464" spans="9:14">
      <c r="I464" s="631" t="s">
        <v>1333</v>
      </c>
      <c r="J464" s="629"/>
      <c r="K464" s="648">
        <f t="shared" si="12"/>
        <v>20</v>
      </c>
      <c r="L464" s="649">
        <f t="shared" si="13"/>
        <v>12</v>
      </c>
      <c r="M464" s="903"/>
      <c r="N464" s="622" t="str">
        <f t="shared" si="14"/>
        <v/>
      </c>
    </row>
    <row r="465" spans="9:14">
      <c r="I465" s="631" t="s">
        <v>1334</v>
      </c>
      <c r="J465" s="629"/>
      <c r="K465" s="648">
        <f t="shared" si="12"/>
        <v>19</v>
      </c>
      <c r="L465" s="649">
        <f t="shared" si="13"/>
        <v>12</v>
      </c>
      <c r="M465" s="903"/>
      <c r="N465" s="622" t="str">
        <f t="shared" si="14"/>
        <v/>
      </c>
    </row>
    <row r="466" spans="9:14">
      <c r="I466" s="631" t="s">
        <v>1335</v>
      </c>
      <c r="J466" s="629"/>
      <c r="K466" s="648">
        <f t="shared" si="12"/>
        <v>18</v>
      </c>
      <c r="L466" s="649">
        <f t="shared" si="13"/>
        <v>12</v>
      </c>
      <c r="M466" s="903"/>
      <c r="N466" s="622" t="str">
        <f t="shared" si="14"/>
        <v/>
      </c>
    </row>
    <row r="467" spans="9:14">
      <c r="I467" s="631" t="s">
        <v>1336</v>
      </c>
      <c r="J467" s="629"/>
      <c r="K467" s="648">
        <f t="shared" si="12"/>
        <v>17</v>
      </c>
      <c r="L467" s="649">
        <f t="shared" si="13"/>
        <v>12</v>
      </c>
      <c r="M467" s="903"/>
      <c r="N467" s="622" t="str">
        <f t="shared" si="14"/>
        <v/>
      </c>
    </row>
    <row r="468" spans="9:14">
      <c r="I468" s="631" t="s">
        <v>1337</v>
      </c>
      <c r="J468" s="629"/>
      <c r="K468" s="648">
        <f t="shared" si="12"/>
        <v>16</v>
      </c>
      <c r="L468" s="649">
        <f t="shared" si="13"/>
        <v>12</v>
      </c>
      <c r="M468" s="903"/>
      <c r="N468" s="622" t="str">
        <f t="shared" si="14"/>
        <v/>
      </c>
    </row>
    <row r="469" spans="9:14">
      <c r="I469" s="631" t="s">
        <v>1338</v>
      </c>
      <c r="J469" s="629"/>
      <c r="K469" s="648">
        <f t="shared" ref="K469:K532" si="15">1+(RIGHT(I469,LEN(I469)-FIND(",",I469))-10)/20</f>
        <v>15</v>
      </c>
      <c r="L469" s="649">
        <f t="shared" ref="L469:L532" si="16">1+((LEFT(I469,FIND(",",I469)-1)*-1)-10)/20</f>
        <v>12</v>
      </c>
      <c r="M469" s="903"/>
      <c r="N469" s="622" t="str">
        <f t="shared" ref="N469:N532" si="17">IF(AND(K469&lt;=$I$144,K469&gt;=$I$145,L469&gt;=$M$143,L469&lt;=$N$143),MIN(ROUND(M469,2),633),"")</f>
        <v/>
      </c>
    </row>
    <row r="470" spans="9:14">
      <c r="I470" s="631" t="s">
        <v>1339</v>
      </c>
      <c r="J470" s="629"/>
      <c r="K470" s="648">
        <f t="shared" si="15"/>
        <v>14</v>
      </c>
      <c r="L470" s="649">
        <f t="shared" si="16"/>
        <v>12</v>
      </c>
      <c r="M470" s="903"/>
      <c r="N470" s="622" t="str">
        <f t="shared" si="17"/>
        <v/>
      </c>
    </row>
    <row r="471" spans="9:14">
      <c r="I471" s="631" t="s">
        <v>1340</v>
      </c>
      <c r="J471" s="629"/>
      <c r="K471" s="648">
        <f t="shared" si="15"/>
        <v>13</v>
      </c>
      <c r="L471" s="649">
        <f t="shared" si="16"/>
        <v>12</v>
      </c>
      <c r="M471" s="903"/>
      <c r="N471" s="622" t="str">
        <f t="shared" si="17"/>
        <v/>
      </c>
    </row>
    <row r="472" spans="9:14">
      <c r="I472" s="631" t="s">
        <v>1341</v>
      </c>
      <c r="J472" s="629"/>
      <c r="K472" s="648">
        <f t="shared" si="15"/>
        <v>12</v>
      </c>
      <c r="L472" s="649">
        <f t="shared" si="16"/>
        <v>12</v>
      </c>
      <c r="M472" s="903"/>
      <c r="N472" s="622" t="str">
        <f t="shared" si="17"/>
        <v/>
      </c>
    </row>
    <row r="473" spans="9:14">
      <c r="I473" s="631" t="s">
        <v>1342</v>
      </c>
      <c r="J473" s="629"/>
      <c r="K473" s="648">
        <f t="shared" si="15"/>
        <v>11</v>
      </c>
      <c r="L473" s="649">
        <f t="shared" si="16"/>
        <v>12</v>
      </c>
      <c r="M473" s="903"/>
      <c r="N473" s="622" t="str">
        <f t="shared" si="17"/>
        <v/>
      </c>
    </row>
    <row r="474" spans="9:14">
      <c r="I474" s="631" t="s">
        <v>1343</v>
      </c>
      <c r="J474" s="629"/>
      <c r="K474" s="648">
        <f t="shared" si="15"/>
        <v>10</v>
      </c>
      <c r="L474" s="649">
        <f t="shared" si="16"/>
        <v>12</v>
      </c>
      <c r="M474" s="903"/>
      <c r="N474" s="622" t="str">
        <f t="shared" si="17"/>
        <v/>
      </c>
    </row>
    <row r="475" spans="9:14">
      <c r="I475" s="631" t="s">
        <v>1344</v>
      </c>
      <c r="J475" s="629"/>
      <c r="K475" s="648">
        <f t="shared" si="15"/>
        <v>9</v>
      </c>
      <c r="L475" s="649">
        <f t="shared" si="16"/>
        <v>12</v>
      </c>
      <c r="M475" s="903"/>
      <c r="N475" s="622" t="str">
        <f t="shared" si="17"/>
        <v/>
      </c>
    </row>
    <row r="476" spans="9:14">
      <c r="I476" s="631" t="s">
        <v>1345</v>
      </c>
      <c r="J476" s="629"/>
      <c r="K476" s="648">
        <f t="shared" si="15"/>
        <v>8</v>
      </c>
      <c r="L476" s="649">
        <f t="shared" si="16"/>
        <v>12</v>
      </c>
      <c r="M476" s="903"/>
      <c r="N476" s="622" t="str">
        <f t="shared" si="17"/>
        <v/>
      </c>
    </row>
    <row r="477" spans="9:14">
      <c r="I477" s="631" t="s">
        <v>1346</v>
      </c>
      <c r="J477" s="629"/>
      <c r="K477" s="648">
        <f t="shared" si="15"/>
        <v>7</v>
      </c>
      <c r="L477" s="649">
        <f t="shared" si="16"/>
        <v>12</v>
      </c>
      <c r="M477" s="903"/>
      <c r="N477" s="622" t="str">
        <f t="shared" si="17"/>
        <v/>
      </c>
    </row>
    <row r="478" spans="9:14">
      <c r="I478" s="631" t="s">
        <v>1347</v>
      </c>
      <c r="J478" s="629"/>
      <c r="K478" s="648">
        <f t="shared" si="15"/>
        <v>6</v>
      </c>
      <c r="L478" s="649">
        <f t="shared" si="16"/>
        <v>12</v>
      </c>
      <c r="M478" s="903"/>
      <c r="N478" s="622" t="str">
        <f t="shared" si="17"/>
        <v/>
      </c>
    </row>
    <row r="479" spans="9:14">
      <c r="I479" s="631" t="s">
        <v>1348</v>
      </c>
      <c r="J479" s="629"/>
      <c r="K479" s="648">
        <f t="shared" si="15"/>
        <v>5</v>
      </c>
      <c r="L479" s="649">
        <f t="shared" si="16"/>
        <v>12</v>
      </c>
      <c r="M479" s="903"/>
      <c r="N479" s="622" t="str">
        <f t="shared" si="17"/>
        <v/>
      </c>
    </row>
    <row r="480" spans="9:14">
      <c r="I480" s="631" t="s">
        <v>1349</v>
      </c>
      <c r="J480" s="629"/>
      <c r="K480" s="648">
        <f t="shared" si="15"/>
        <v>4</v>
      </c>
      <c r="L480" s="649">
        <f t="shared" si="16"/>
        <v>12</v>
      </c>
      <c r="M480" s="903"/>
      <c r="N480" s="622" t="str">
        <f t="shared" si="17"/>
        <v/>
      </c>
    </row>
    <row r="481" spans="9:14">
      <c r="I481" s="631" t="s">
        <v>1350</v>
      </c>
      <c r="J481" s="629"/>
      <c r="K481" s="648">
        <f t="shared" si="15"/>
        <v>3</v>
      </c>
      <c r="L481" s="649">
        <f t="shared" si="16"/>
        <v>12</v>
      </c>
      <c r="M481" s="903"/>
      <c r="N481" s="622" t="str">
        <f t="shared" si="17"/>
        <v/>
      </c>
    </row>
    <row r="482" spans="9:14">
      <c r="I482" s="631" t="s">
        <v>1351</v>
      </c>
      <c r="J482" s="629"/>
      <c r="K482" s="648">
        <f t="shared" si="15"/>
        <v>2</v>
      </c>
      <c r="L482" s="649">
        <f t="shared" si="16"/>
        <v>12</v>
      </c>
      <c r="M482" s="903"/>
      <c r="N482" s="622" t="str">
        <f t="shared" si="17"/>
        <v/>
      </c>
    </row>
    <row r="483" spans="9:14">
      <c r="I483" s="631" t="s">
        <v>1352</v>
      </c>
      <c r="J483" s="629"/>
      <c r="K483" s="648">
        <f t="shared" si="15"/>
        <v>1</v>
      </c>
      <c r="L483" s="649">
        <f t="shared" si="16"/>
        <v>12</v>
      </c>
      <c r="M483" s="903"/>
      <c r="N483" s="622" t="str">
        <f t="shared" si="17"/>
        <v/>
      </c>
    </row>
    <row r="484" spans="9:14">
      <c r="I484" s="631" t="s">
        <v>1353</v>
      </c>
      <c r="J484" s="629"/>
      <c r="K484" s="648">
        <f t="shared" si="15"/>
        <v>28</v>
      </c>
      <c r="L484" s="649">
        <f t="shared" si="16"/>
        <v>13</v>
      </c>
      <c r="M484" s="903"/>
      <c r="N484" s="622" t="str">
        <f t="shared" si="17"/>
        <v/>
      </c>
    </row>
    <row r="485" spans="9:14">
      <c r="I485" s="631" t="s">
        <v>1354</v>
      </c>
      <c r="J485" s="629"/>
      <c r="K485" s="648">
        <f t="shared" si="15"/>
        <v>27</v>
      </c>
      <c r="L485" s="649">
        <f t="shared" si="16"/>
        <v>13</v>
      </c>
      <c r="M485" s="903"/>
      <c r="N485" s="622" t="str">
        <f t="shared" si="17"/>
        <v/>
      </c>
    </row>
    <row r="486" spans="9:14">
      <c r="I486" s="631" t="s">
        <v>1355</v>
      </c>
      <c r="J486" s="629"/>
      <c r="K486" s="648">
        <f t="shared" si="15"/>
        <v>26</v>
      </c>
      <c r="L486" s="649">
        <f t="shared" si="16"/>
        <v>13</v>
      </c>
      <c r="M486" s="903"/>
      <c r="N486" s="622" t="str">
        <f t="shared" si="17"/>
        <v/>
      </c>
    </row>
    <row r="487" spans="9:14">
      <c r="I487" s="631" t="s">
        <v>1356</v>
      </c>
      <c r="J487" s="629"/>
      <c r="K487" s="648">
        <f t="shared" si="15"/>
        <v>25</v>
      </c>
      <c r="L487" s="649">
        <f t="shared" si="16"/>
        <v>13</v>
      </c>
      <c r="M487" s="903"/>
      <c r="N487" s="622" t="str">
        <f t="shared" si="17"/>
        <v/>
      </c>
    </row>
    <row r="488" spans="9:14">
      <c r="I488" s="631" t="s">
        <v>1357</v>
      </c>
      <c r="J488" s="629"/>
      <c r="K488" s="648">
        <f t="shared" si="15"/>
        <v>24</v>
      </c>
      <c r="L488" s="649">
        <f t="shared" si="16"/>
        <v>13</v>
      </c>
      <c r="M488" s="903"/>
      <c r="N488" s="622" t="str">
        <f t="shared" si="17"/>
        <v/>
      </c>
    </row>
    <row r="489" spans="9:14">
      <c r="I489" s="631" t="s">
        <v>1358</v>
      </c>
      <c r="J489" s="629"/>
      <c r="K489" s="648">
        <f t="shared" si="15"/>
        <v>23</v>
      </c>
      <c r="L489" s="649">
        <f t="shared" si="16"/>
        <v>13</v>
      </c>
      <c r="M489" s="903"/>
      <c r="N489" s="622" t="str">
        <f t="shared" si="17"/>
        <v/>
      </c>
    </row>
    <row r="490" spans="9:14">
      <c r="I490" s="631" t="s">
        <v>1359</v>
      </c>
      <c r="J490" s="629"/>
      <c r="K490" s="648">
        <f t="shared" si="15"/>
        <v>22</v>
      </c>
      <c r="L490" s="649">
        <f t="shared" si="16"/>
        <v>13</v>
      </c>
      <c r="M490" s="903"/>
      <c r="N490" s="622" t="str">
        <f t="shared" si="17"/>
        <v/>
      </c>
    </row>
    <row r="491" spans="9:14">
      <c r="I491" s="631" t="s">
        <v>1360</v>
      </c>
      <c r="J491" s="629"/>
      <c r="K491" s="648">
        <f t="shared" si="15"/>
        <v>21</v>
      </c>
      <c r="L491" s="649">
        <f t="shared" si="16"/>
        <v>13</v>
      </c>
      <c r="M491" s="903"/>
      <c r="N491" s="622" t="str">
        <f t="shared" si="17"/>
        <v/>
      </c>
    </row>
    <row r="492" spans="9:14">
      <c r="I492" s="631" t="s">
        <v>1361</v>
      </c>
      <c r="J492" s="629"/>
      <c r="K492" s="648">
        <f t="shared" si="15"/>
        <v>20</v>
      </c>
      <c r="L492" s="649">
        <f t="shared" si="16"/>
        <v>13</v>
      </c>
      <c r="M492" s="903"/>
      <c r="N492" s="622" t="str">
        <f t="shared" si="17"/>
        <v/>
      </c>
    </row>
    <row r="493" spans="9:14">
      <c r="I493" s="631" t="s">
        <v>1362</v>
      </c>
      <c r="J493" s="629"/>
      <c r="K493" s="648">
        <f t="shared" si="15"/>
        <v>19</v>
      </c>
      <c r="L493" s="649">
        <f t="shared" si="16"/>
        <v>13</v>
      </c>
      <c r="M493" s="903"/>
      <c r="N493" s="622" t="str">
        <f t="shared" si="17"/>
        <v/>
      </c>
    </row>
    <row r="494" spans="9:14">
      <c r="I494" s="631" t="s">
        <v>1363</v>
      </c>
      <c r="J494" s="629"/>
      <c r="K494" s="648">
        <f t="shared" si="15"/>
        <v>18</v>
      </c>
      <c r="L494" s="649">
        <f t="shared" si="16"/>
        <v>13</v>
      </c>
      <c r="M494" s="903"/>
      <c r="N494" s="622" t="str">
        <f t="shared" si="17"/>
        <v/>
      </c>
    </row>
    <row r="495" spans="9:14">
      <c r="I495" s="631" t="s">
        <v>1364</v>
      </c>
      <c r="J495" s="629"/>
      <c r="K495" s="648">
        <f t="shared" si="15"/>
        <v>17</v>
      </c>
      <c r="L495" s="649">
        <f t="shared" si="16"/>
        <v>13</v>
      </c>
      <c r="M495" s="903"/>
      <c r="N495" s="622" t="str">
        <f t="shared" si="17"/>
        <v/>
      </c>
    </row>
    <row r="496" spans="9:14">
      <c r="I496" s="631" t="s">
        <v>1365</v>
      </c>
      <c r="J496" s="629"/>
      <c r="K496" s="648">
        <f t="shared" si="15"/>
        <v>16</v>
      </c>
      <c r="L496" s="649">
        <f t="shared" si="16"/>
        <v>13</v>
      </c>
      <c r="M496" s="903"/>
      <c r="N496" s="622" t="str">
        <f t="shared" si="17"/>
        <v/>
      </c>
    </row>
    <row r="497" spans="9:14">
      <c r="I497" s="631" t="s">
        <v>1366</v>
      </c>
      <c r="J497" s="629"/>
      <c r="K497" s="648">
        <f t="shared" si="15"/>
        <v>15</v>
      </c>
      <c r="L497" s="649">
        <f t="shared" si="16"/>
        <v>13</v>
      </c>
      <c r="M497" s="903"/>
      <c r="N497" s="622" t="str">
        <f t="shared" si="17"/>
        <v/>
      </c>
    </row>
    <row r="498" spans="9:14">
      <c r="I498" s="631" t="s">
        <v>1367</v>
      </c>
      <c r="J498" s="629"/>
      <c r="K498" s="648">
        <f t="shared" si="15"/>
        <v>14</v>
      </c>
      <c r="L498" s="649">
        <f t="shared" si="16"/>
        <v>13</v>
      </c>
      <c r="M498" s="903"/>
      <c r="N498" s="622" t="str">
        <f t="shared" si="17"/>
        <v/>
      </c>
    </row>
    <row r="499" spans="9:14">
      <c r="I499" s="631" t="s">
        <v>1368</v>
      </c>
      <c r="J499" s="629"/>
      <c r="K499" s="648">
        <f t="shared" si="15"/>
        <v>13</v>
      </c>
      <c r="L499" s="649">
        <f t="shared" si="16"/>
        <v>13</v>
      </c>
      <c r="M499" s="903"/>
      <c r="N499" s="622" t="str">
        <f t="shared" si="17"/>
        <v/>
      </c>
    </row>
    <row r="500" spans="9:14">
      <c r="I500" s="631" t="s">
        <v>1369</v>
      </c>
      <c r="J500" s="629"/>
      <c r="K500" s="648">
        <f t="shared" si="15"/>
        <v>12</v>
      </c>
      <c r="L500" s="649">
        <f t="shared" si="16"/>
        <v>13</v>
      </c>
      <c r="M500" s="903"/>
      <c r="N500" s="622" t="str">
        <f t="shared" si="17"/>
        <v/>
      </c>
    </row>
    <row r="501" spans="9:14">
      <c r="I501" s="631" t="s">
        <v>1370</v>
      </c>
      <c r="J501" s="629"/>
      <c r="K501" s="648">
        <f t="shared" si="15"/>
        <v>11</v>
      </c>
      <c r="L501" s="649">
        <f t="shared" si="16"/>
        <v>13</v>
      </c>
      <c r="M501" s="903"/>
      <c r="N501" s="622" t="str">
        <f t="shared" si="17"/>
        <v/>
      </c>
    </row>
    <row r="502" spans="9:14">
      <c r="I502" s="631" t="s">
        <v>1371</v>
      </c>
      <c r="J502" s="629"/>
      <c r="K502" s="648">
        <f t="shared" si="15"/>
        <v>10</v>
      </c>
      <c r="L502" s="649">
        <f t="shared" si="16"/>
        <v>13</v>
      </c>
      <c r="M502" s="903"/>
      <c r="N502" s="622" t="str">
        <f t="shared" si="17"/>
        <v/>
      </c>
    </row>
    <row r="503" spans="9:14">
      <c r="I503" s="631" t="s">
        <v>1372</v>
      </c>
      <c r="J503" s="629"/>
      <c r="K503" s="648">
        <f t="shared" si="15"/>
        <v>9</v>
      </c>
      <c r="L503" s="649">
        <f t="shared" si="16"/>
        <v>13</v>
      </c>
      <c r="M503" s="903"/>
      <c r="N503" s="622" t="str">
        <f t="shared" si="17"/>
        <v/>
      </c>
    </row>
    <row r="504" spans="9:14">
      <c r="I504" s="631" t="s">
        <v>1373</v>
      </c>
      <c r="J504" s="629"/>
      <c r="K504" s="648">
        <f t="shared" si="15"/>
        <v>8</v>
      </c>
      <c r="L504" s="649">
        <f t="shared" si="16"/>
        <v>13</v>
      </c>
      <c r="M504" s="903"/>
      <c r="N504" s="622" t="str">
        <f t="shared" si="17"/>
        <v/>
      </c>
    </row>
    <row r="505" spans="9:14">
      <c r="I505" s="631" t="s">
        <v>1374</v>
      </c>
      <c r="J505" s="629"/>
      <c r="K505" s="648">
        <f t="shared" si="15"/>
        <v>7</v>
      </c>
      <c r="L505" s="649">
        <f t="shared" si="16"/>
        <v>13</v>
      </c>
      <c r="M505" s="903"/>
      <c r="N505" s="622" t="str">
        <f t="shared" si="17"/>
        <v/>
      </c>
    </row>
    <row r="506" spans="9:14">
      <c r="I506" s="631" t="s">
        <v>1375</v>
      </c>
      <c r="J506" s="629"/>
      <c r="K506" s="648">
        <f t="shared" si="15"/>
        <v>6</v>
      </c>
      <c r="L506" s="649">
        <f t="shared" si="16"/>
        <v>13</v>
      </c>
      <c r="M506" s="903"/>
      <c r="N506" s="622" t="str">
        <f t="shared" si="17"/>
        <v/>
      </c>
    </row>
    <row r="507" spans="9:14">
      <c r="I507" s="631" t="s">
        <v>1376</v>
      </c>
      <c r="J507" s="629"/>
      <c r="K507" s="648">
        <f t="shared" si="15"/>
        <v>5</v>
      </c>
      <c r="L507" s="649">
        <f t="shared" si="16"/>
        <v>13</v>
      </c>
      <c r="M507" s="903"/>
      <c r="N507" s="622" t="str">
        <f t="shared" si="17"/>
        <v/>
      </c>
    </row>
    <row r="508" spans="9:14">
      <c r="I508" s="631" t="s">
        <v>1377</v>
      </c>
      <c r="J508" s="629"/>
      <c r="K508" s="648">
        <f t="shared" si="15"/>
        <v>4</v>
      </c>
      <c r="L508" s="649">
        <f t="shared" si="16"/>
        <v>13</v>
      </c>
      <c r="M508" s="903"/>
      <c r="N508" s="622" t="str">
        <f t="shared" si="17"/>
        <v/>
      </c>
    </row>
    <row r="509" spans="9:14">
      <c r="I509" s="631" t="s">
        <v>1378</v>
      </c>
      <c r="J509" s="629"/>
      <c r="K509" s="648">
        <f t="shared" si="15"/>
        <v>3</v>
      </c>
      <c r="L509" s="649">
        <f t="shared" si="16"/>
        <v>13</v>
      </c>
      <c r="M509" s="903"/>
      <c r="N509" s="622" t="str">
        <f t="shared" si="17"/>
        <v/>
      </c>
    </row>
    <row r="510" spans="9:14">
      <c r="I510" s="631" t="s">
        <v>1379</v>
      </c>
      <c r="J510" s="629"/>
      <c r="K510" s="648">
        <f t="shared" si="15"/>
        <v>2</v>
      </c>
      <c r="L510" s="649">
        <f t="shared" si="16"/>
        <v>13</v>
      </c>
      <c r="M510" s="903"/>
      <c r="N510" s="622" t="str">
        <f t="shared" si="17"/>
        <v/>
      </c>
    </row>
    <row r="511" spans="9:14">
      <c r="I511" s="631" t="s">
        <v>1380</v>
      </c>
      <c r="J511" s="629"/>
      <c r="K511" s="648">
        <f t="shared" si="15"/>
        <v>1</v>
      </c>
      <c r="L511" s="649">
        <f t="shared" si="16"/>
        <v>13</v>
      </c>
      <c r="M511" s="903"/>
      <c r="N511" s="622" t="str">
        <f t="shared" si="17"/>
        <v/>
      </c>
    </row>
    <row r="512" spans="9:14">
      <c r="I512" s="631" t="s">
        <v>1381</v>
      </c>
      <c r="J512" s="629"/>
      <c r="K512" s="648">
        <f t="shared" si="15"/>
        <v>28</v>
      </c>
      <c r="L512" s="649">
        <f t="shared" si="16"/>
        <v>14</v>
      </c>
      <c r="M512" s="903"/>
      <c r="N512" s="622" t="str">
        <f t="shared" si="17"/>
        <v/>
      </c>
    </row>
    <row r="513" spans="9:14">
      <c r="I513" s="631" t="s">
        <v>1382</v>
      </c>
      <c r="J513" s="629"/>
      <c r="K513" s="648">
        <f t="shared" si="15"/>
        <v>27</v>
      </c>
      <c r="L513" s="649">
        <f t="shared" si="16"/>
        <v>14</v>
      </c>
      <c r="M513" s="903"/>
      <c r="N513" s="622" t="str">
        <f t="shared" si="17"/>
        <v/>
      </c>
    </row>
    <row r="514" spans="9:14">
      <c r="I514" s="631" t="s">
        <v>1383</v>
      </c>
      <c r="J514" s="629"/>
      <c r="K514" s="648">
        <f t="shared" si="15"/>
        <v>26</v>
      </c>
      <c r="L514" s="649">
        <f t="shared" si="16"/>
        <v>14</v>
      </c>
      <c r="M514" s="903"/>
      <c r="N514" s="622" t="str">
        <f t="shared" si="17"/>
        <v/>
      </c>
    </row>
    <row r="515" spans="9:14">
      <c r="I515" s="631" t="s">
        <v>1384</v>
      </c>
      <c r="J515" s="629"/>
      <c r="K515" s="648">
        <f t="shared" si="15"/>
        <v>25</v>
      </c>
      <c r="L515" s="649">
        <f t="shared" si="16"/>
        <v>14</v>
      </c>
      <c r="M515" s="903"/>
      <c r="N515" s="622" t="str">
        <f t="shared" si="17"/>
        <v/>
      </c>
    </row>
    <row r="516" spans="9:14">
      <c r="I516" s="631" t="s">
        <v>1385</v>
      </c>
      <c r="J516" s="629"/>
      <c r="K516" s="648">
        <f t="shared" si="15"/>
        <v>24</v>
      </c>
      <c r="L516" s="649">
        <f t="shared" si="16"/>
        <v>14</v>
      </c>
      <c r="M516" s="903"/>
      <c r="N516" s="622" t="str">
        <f t="shared" si="17"/>
        <v/>
      </c>
    </row>
    <row r="517" spans="9:14">
      <c r="I517" s="631" t="s">
        <v>1386</v>
      </c>
      <c r="J517" s="629"/>
      <c r="K517" s="648">
        <f t="shared" si="15"/>
        <v>23</v>
      </c>
      <c r="L517" s="649">
        <f t="shared" si="16"/>
        <v>14</v>
      </c>
      <c r="M517" s="903"/>
      <c r="N517" s="622" t="str">
        <f t="shared" si="17"/>
        <v/>
      </c>
    </row>
    <row r="518" spans="9:14">
      <c r="I518" s="631" t="s">
        <v>1387</v>
      </c>
      <c r="J518" s="629"/>
      <c r="K518" s="648">
        <f t="shared" si="15"/>
        <v>22</v>
      </c>
      <c r="L518" s="649">
        <f t="shared" si="16"/>
        <v>14</v>
      </c>
      <c r="M518" s="903"/>
      <c r="N518" s="622" t="str">
        <f t="shared" si="17"/>
        <v/>
      </c>
    </row>
    <row r="519" spans="9:14">
      <c r="I519" s="631" t="s">
        <v>1388</v>
      </c>
      <c r="J519" s="629"/>
      <c r="K519" s="648">
        <f t="shared" si="15"/>
        <v>21</v>
      </c>
      <c r="L519" s="649">
        <f t="shared" si="16"/>
        <v>14</v>
      </c>
      <c r="M519" s="903"/>
      <c r="N519" s="622" t="str">
        <f t="shared" si="17"/>
        <v/>
      </c>
    </row>
    <row r="520" spans="9:14">
      <c r="I520" s="631" t="s">
        <v>1389</v>
      </c>
      <c r="J520" s="629"/>
      <c r="K520" s="648">
        <f t="shared" si="15"/>
        <v>20</v>
      </c>
      <c r="L520" s="649">
        <f t="shared" si="16"/>
        <v>14</v>
      </c>
      <c r="M520" s="903"/>
      <c r="N520" s="622" t="str">
        <f t="shared" si="17"/>
        <v/>
      </c>
    </row>
    <row r="521" spans="9:14">
      <c r="I521" s="631" t="s">
        <v>1390</v>
      </c>
      <c r="J521" s="629"/>
      <c r="K521" s="648">
        <f t="shared" si="15"/>
        <v>19</v>
      </c>
      <c r="L521" s="649">
        <f t="shared" si="16"/>
        <v>14</v>
      </c>
      <c r="M521" s="903"/>
      <c r="N521" s="622" t="str">
        <f t="shared" si="17"/>
        <v/>
      </c>
    </row>
    <row r="522" spans="9:14">
      <c r="I522" s="631" t="s">
        <v>1391</v>
      </c>
      <c r="J522" s="629"/>
      <c r="K522" s="648">
        <f t="shared" si="15"/>
        <v>18</v>
      </c>
      <c r="L522" s="649">
        <f t="shared" si="16"/>
        <v>14</v>
      </c>
      <c r="M522" s="903"/>
      <c r="N522" s="622" t="str">
        <f t="shared" si="17"/>
        <v/>
      </c>
    </row>
    <row r="523" spans="9:14">
      <c r="I523" s="631" t="s">
        <v>1392</v>
      </c>
      <c r="J523" s="629"/>
      <c r="K523" s="648">
        <f t="shared" si="15"/>
        <v>17</v>
      </c>
      <c r="L523" s="649">
        <f t="shared" si="16"/>
        <v>14</v>
      </c>
      <c r="M523" s="903"/>
      <c r="N523" s="622" t="str">
        <f t="shared" si="17"/>
        <v/>
      </c>
    </row>
    <row r="524" spans="9:14">
      <c r="I524" s="631" t="s">
        <v>1393</v>
      </c>
      <c r="J524" s="629"/>
      <c r="K524" s="648">
        <f t="shared" si="15"/>
        <v>16</v>
      </c>
      <c r="L524" s="649">
        <f t="shared" si="16"/>
        <v>14</v>
      </c>
      <c r="M524" s="903"/>
      <c r="N524" s="622" t="str">
        <f t="shared" si="17"/>
        <v/>
      </c>
    </row>
    <row r="525" spans="9:14">
      <c r="I525" s="631" t="s">
        <v>1394</v>
      </c>
      <c r="J525" s="629"/>
      <c r="K525" s="648">
        <f t="shared" si="15"/>
        <v>15</v>
      </c>
      <c r="L525" s="649">
        <f t="shared" si="16"/>
        <v>14</v>
      </c>
      <c r="M525" s="903"/>
      <c r="N525" s="622" t="str">
        <f t="shared" si="17"/>
        <v/>
      </c>
    </row>
    <row r="526" spans="9:14">
      <c r="I526" s="631" t="s">
        <v>1395</v>
      </c>
      <c r="J526" s="629"/>
      <c r="K526" s="648">
        <f t="shared" si="15"/>
        <v>14</v>
      </c>
      <c r="L526" s="649">
        <f t="shared" si="16"/>
        <v>14</v>
      </c>
      <c r="M526" s="903"/>
      <c r="N526" s="622" t="str">
        <f t="shared" si="17"/>
        <v/>
      </c>
    </row>
    <row r="527" spans="9:14">
      <c r="I527" s="631" t="s">
        <v>1396</v>
      </c>
      <c r="J527" s="629"/>
      <c r="K527" s="648">
        <f t="shared" si="15"/>
        <v>13</v>
      </c>
      <c r="L527" s="649">
        <f t="shared" si="16"/>
        <v>14</v>
      </c>
      <c r="M527" s="903"/>
      <c r="N527" s="622" t="str">
        <f t="shared" si="17"/>
        <v/>
      </c>
    </row>
    <row r="528" spans="9:14">
      <c r="I528" s="631" t="s">
        <v>1397</v>
      </c>
      <c r="J528" s="629"/>
      <c r="K528" s="648">
        <f t="shared" si="15"/>
        <v>12</v>
      </c>
      <c r="L528" s="649">
        <f t="shared" si="16"/>
        <v>14</v>
      </c>
      <c r="M528" s="903"/>
      <c r="N528" s="622" t="str">
        <f t="shared" si="17"/>
        <v/>
      </c>
    </row>
    <row r="529" spans="9:14">
      <c r="I529" s="631" t="s">
        <v>1398</v>
      </c>
      <c r="J529" s="629"/>
      <c r="K529" s="648">
        <f t="shared" si="15"/>
        <v>11</v>
      </c>
      <c r="L529" s="649">
        <f t="shared" si="16"/>
        <v>14</v>
      </c>
      <c r="M529" s="903"/>
      <c r="N529" s="622" t="str">
        <f t="shared" si="17"/>
        <v/>
      </c>
    </row>
    <row r="530" spans="9:14">
      <c r="I530" s="631" t="s">
        <v>1399</v>
      </c>
      <c r="J530" s="629"/>
      <c r="K530" s="648">
        <f t="shared" si="15"/>
        <v>10</v>
      </c>
      <c r="L530" s="649">
        <f t="shared" si="16"/>
        <v>14</v>
      </c>
      <c r="M530" s="903"/>
      <c r="N530" s="622" t="str">
        <f t="shared" si="17"/>
        <v/>
      </c>
    </row>
    <row r="531" spans="9:14">
      <c r="I531" s="631" t="s">
        <v>1400</v>
      </c>
      <c r="J531" s="629"/>
      <c r="K531" s="648">
        <f t="shared" si="15"/>
        <v>9</v>
      </c>
      <c r="L531" s="649">
        <f t="shared" si="16"/>
        <v>14</v>
      </c>
      <c r="M531" s="903"/>
      <c r="N531" s="622" t="str">
        <f t="shared" si="17"/>
        <v/>
      </c>
    </row>
    <row r="532" spans="9:14">
      <c r="I532" s="631" t="s">
        <v>1401</v>
      </c>
      <c r="J532" s="629"/>
      <c r="K532" s="648">
        <f t="shared" si="15"/>
        <v>8</v>
      </c>
      <c r="L532" s="649">
        <f t="shared" si="16"/>
        <v>14</v>
      </c>
      <c r="M532" s="903"/>
      <c r="N532" s="622" t="str">
        <f t="shared" si="17"/>
        <v/>
      </c>
    </row>
    <row r="533" spans="9:14">
      <c r="I533" s="631" t="s">
        <v>1402</v>
      </c>
      <c r="J533" s="629"/>
      <c r="K533" s="648">
        <f t="shared" ref="K533:K596" si="18">1+(RIGHT(I533,LEN(I533)-FIND(",",I533))-10)/20</f>
        <v>7</v>
      </c>
      <c r="L533" s="649">
        <f t="shared" ref="L533:L596" si="19">1+((LEFT(I533,FIND(",",I533)-1)*-1)-10)/20</f>
        <v>14</v>
      </c>
      <c r="M533" s="903"/>
      <c r="N533" s="622" t="str">
        <f t="shared" ref="N533:N596" si="20">IF(AND(K533&lt;=$I$144,K533&gt;=$I$145,L533&gt;=$M$143,L533&lt;=$N$143),MIN(ROUND(M533,2),633),"")</f>
        <v/>
      </c>
    </row>
    <row r="534" spans="9:14">
      <c r="I534" s="631" t="s">
        <v>1403</v>
      </c>
      <c r="J534" s="629"/>
      <c r="K534" s="648">
        <f t="shared" si="18"/>
        <v>6</v>
      </c>
      <c r="L534" s="649">
        <f t="shared" si="19"/>
        <v>14</v>
      </c>
      <c r="M534" s="903"/>
      <c r="N534" s="622" t="str">
        <f t="shared" si="20"/>
        <v/>
      </c>
    </row>
    <row r="535" spans="9:14">
      <c r="I535" s="631" t="s">
        <v>1404</v>
      </c>
      <c r="J535" s="629"/>
      <c r="K535" s="648">
        <f t="shared" si="18"/>
        <v>5</v>
      </c>
      <c r="L535" s="649">
        <f t="shared" si="19"/>
        <v>14</v>
      </c>
      <c r="M535" s="903"/>
      <c r="N535" s="622" t="str">
        <f t="shared" si="20"/>
        <v/>
      </c>
    </row>
    <row r="536" spans="9:14">
      <c r="I536" s="631" t="s">
        <v>1405</v>
      </c>
      <c r="J536" s="629"/>
      <c r="K536" s="648">
        <f t="shared" si="18"/>
        <v>4</v>
      </c>
      <c r="L536" s="649">
        <f t="shared" si="19"/>
        <v>14</v>
      </c>
      <c r="M536" s="903"/>
      <c r="N536" s="622" t="str">
        <f t="shared" si="20"/>
        <v/>
      </c>
    </row>
    <row r="537" spans="9:14">
      <c r="I537" s="631" t="s">
        <v>1406</v>
      </c>
      <c r="J537" s="629"/>
      <c r="K537" s="648">
        <f t="shared" si="18"/>
        <v>3</v>
      </c>
      <c r="L537" s="649">
        <f t="shared" si="19"/>
        <v>14</v>
      </c>
      <c r="M537" s="903"/>
      <c r="N537" s="622" t="str">
        <f t="shared" si="20"/>
        <v/>
      </c>
    </row>
    <row r="538" spans="9:14">
      <c r="I538" s="631" t="s">
        <v>1407</v>
      </c>
      <c r="J538" s="629"/>
      <c r="K538" s="648">
        <f t="shared" si="18"/>
        <v>2</v>
      </c>
      <c r="L538" s="649">
        <f t="shared" si="19"/>
        <v>14</v>
      </c>
      <c r="M538" s="903"/>
      <c r="N538" s="622" t="str">
        <f t="shared" si="20"/>
        <v/>
      </c>
    </row>
    <row r="539" spans="9:14">
      <c r="I539" s="631" t="s">
        <v>1408</v>
      </c>
      <c r="J539" s="629"/>
      <c r="K539" s="648">
        <f t="shared" si="18"/>
        <v>1</v>
      </c>
      <c r="L539" s="649">
        <f t="shared" si="19"/>
        <v>14</v>
      </c>
      <c r="M539" s="903"/>
      <c r="N539" s="622" t="str">
        <f t="shared" si="20"/>
        <v/>
      </c>
    </row>
    <row r="540" spans="9:14">
      <c r="I540" s="631" t="s">
        <v>1409</v>
      </c>
      <c r="J540" s="629"/>
      <c r="K540" s="648">
        <f t="shared" si="18"/>
        <v>28</v>
      </c>
      <c r="L540" s="649">
        <f t="shared" si="19"/>
        <v>15</v>
      </c>
      <c r="M540" s="903"/>
      <c r="N540" s="622" t="str">
        <f t="shared" si="20"/>
        <v/>
      </c>
    </row>
    <row r="541" spans="9:14">
      <c r="I541" s="631" t="s">
        <v>1410</v>
      </c>
      <c r="J541" s="629"/>
      <c r="K541" s="648">
        <f t="shared" si="18"/>
        <v>27</v>
      </c>
      <c r="L541" s="649">
        <f t="shared" si="19"/>
        <v>15</v>
      </c>
      <c r="M541" s="903"/>
      <c r="N541" s="622" t="str">
        <f t="shared" si="20"/>
        <v/>
      </c>
    </row>
    <row r="542" spans="9:14">
      <c r="I542" s="631" t="s">
        <v>1411</v>
      </c>
      <c r="J542" s="629"/>
      <c r="K542" s="648">
        <f t="shared" si="18"/>
        <v>26</v>
      </c>
      <c r="L542" s="649">
        <f t="shared" si="19"/>
        <v>15</v>
      </c>
      <c r="M542" s="903"/>
      <c r="N542" s="622" t="str">
        <f t="shared" si="20"/>
        <v/>
      </c>
    </row>
    <row r="543" spans="9:14">
      <c r="I543" s="631" t="s">
        <v>1412</v>
      </c>
      <c r="J543" s="629"/>
      <c r="K543" s="648">
        <f t="shared" si="18"/>
        <v>25</v>
      </c>
      <c r="L543" s="649">
        <f t="shared" si="19"/>
        <v>15</v>
      </c>
      <c r="M543" s="903"/>
      <c r="N543" s="622" t="str">
        <f t="shared" si="20"/>
        <v/>
      </c>
    </row>
    <row r="544" spans="9:14">
      <c r="I544" s="631" t="s">
        <v>1413</v>
      </c>
      <c r="J544" s="629"/>
      <c r="K544" s="648">
        <f t="shared" si="18"/>
        <v>24</v>
      </c>
      <c r="L544" s="649">
        <f t="shared" si="19"/>
        <v>15</v>
      </c>
      <c r="M544" s="903"/>
      <c r="N544" s="622" t="str">
        <f t="shared" si="20"/>
        <v/>
      </c>
    </row>
    <row r="545" spans="9:14">
      <c r="I545" s="631" t="s">
        <v>1414</v>
      </c>
      <c r="J545" s="629"/>
      <c r="K545" s="648">
        <f t="shared" si="18"/>
        <v>23</v>
      </c>
      <c r="L545" s="649">
        <f t="shared" si="19"/>
        <v>15</v>
      </c>
      <c r="M545" s="903"/>
      <c r="N545" s="622" t="str">
        <f t="shared" si="20"/>
        <v/>
      </c>
    </row>
    <row r="546" spans="9:14">
      <c r="I546" s="631" t="s">
        <v>1415</v>
      </c>
      <c r="J546" s="629"/>
      <c r="K546" s="648">
        <f t="shared" si="18"/>
        <v>22</v>
      </c>
      <c r="L546" s="649">
        <f t="shared" si="19"/>
        <v>15</v>
      </c>
      <c r="M546" s="903"/>
      <c r="N546" s="622" t="str">
        <f t="shared" si="20"/>
        <v/>
      </c>
    </row>
    <row r="547" spans="9:14">
      <c r="I547" s="631" t="s">
        <v>1416</v>
      </c>
      <c r="J547" s="629"/>
      <c r="K547" s="648">
        <f t="shared" si="18"/>
        <v>21</v>
      </c>
      <c r="L547" s="649">
        <f t="shared" si="19"/>
        <v>15</v>
      </c>
      <c r="M547" s="903"/>
      <c r="N547" s="622" t="str">
        <f t="shared" si="20"/>
        <v/>
      </c>
    </row>
    <row r="548" spans="9:14">
      <c r="I548" s="631" t="s">
        <v>1417</v>
      </c>
      <c r="J548" s="629"/>
      <c r="K548" s="648">
        <f t="shared" si="18"/>
        <v>20</v>
      </c>
      <c r="L548" s="649">
        <f t="shared" si="19"/>
        <v>15</v>
      </c>
      <c r="M548" s="903"/>
      <c r="N548" s="622" t="str">
        <f t="shared" si="20"/>
        <v/>
      </c>
    </row>
    <row r="549" spans="9:14">
      <c r="I549" s="631" t="s">
        <v>1418</v>
      </c>
      <c r="J549" s="629"/>
      <c r="K549" s="648">
        <f t="shared" si="18"/>
        <v>19</v>
      </c>
      <c r="L549" s="649">
        <f t="shared" si="19"/>
        <v>15</v>
      </c>
      <c r="M549" s="903"/>
      <c r="N549" s="622" t="str">
        <f t="shared" si="20"/>
        <v/>
      </c>
    </row>
    <row r="550" spans="9:14">
      <c r="I550" s="631" t="s">
        <v>1419</v>
      </c>
      <c r="J550" s="629"/>
      <c r="K550" s="648">
        <f t="shared" si="18"/>
        <v>18</v>
      </c>
      <c r="L550" s="649">
        <f t="shared" si="19"/>
        <v>15</v>
      </c>
      <c r="M550" s="903"/>
      <c r="N550" s="622" t="str">
        <f t="shared" si="20"/>
        <v/>
      </c>
    </row>
    <row r="551" spans="9:14">
      <c r="I551" s="631" t="s">
        <v>1420</v>
      </c>
      <c r="J551" s="629"/>
      <c r="K551" s="648">
        <f t="shared" si="18"/>
        <v>17</v>
      </c>
      <c r="L551" s="649">
        <f t="shared" si="19"/>
        <v>15</v>
      </c>
      <c r="M551" s="903"/>
      <c r="N551" s="622" t="str">
        <f t="shared" si="20"/>
        <v/>
      </c>
    </row>
    <row r="552" spans="9:14">
      <c r="I552" s="631" t="s">
        <v>1421</v>
      </c>
      <c r="J552" s="629"/>
      <c r="K552" s="648">
        <f t="shared" si="18"/>
        <v>16</v>
      </c>
      <c r="L552" s="649">
        <f t="shared" si="19"/>
        <v>15</v>
      </c>
      <c r="M552" s="903"/>
      <c r="N552" s="622" t="str">
        <f t="shared" si="20"/>
        <v/>
      </c>
    </row>
    <row r="553" spans="9:14">
      <c r="I553" s="631" t="s">
        <v>1422</v>
      </c>
      <c r="J553" s="629"/>
      <c r="K553" s="648">
        <f t="shared" si="18"/>
        <v>15</v>
      </c>
      <c r="L553" s="649">
        <f t="shared" si="19"/>
        <v>15</v>
      </c>
      <c r="M553" s="903"/>
      <c r="N553" s="622" t="str">
        <f t="shared" si="20"/>
        <v/>
      </c>
    </row>
    <row r="554" spans="9:14">
      <c r="I554" s="631" t="s">
        <v>1423</v>
      </c>
      <c r="J554" s="629"/>
      <c r="K554" s="648">
        <f t="shared" si="18"/>
        <v>14</v>
      </c>
      <c r="L554" s="649">
        <f t="shared" si="19"/>
        <v>15</v>
      </c>
      <c r="M554" s="903"/>
      <c r="N554" s="622" t="str">
        <f t="shared" si="20"/>
        <v/>
      </c>
    </row>
    <row r="555" spans="9:14">
      <c r="I555" s="631" t="s">
        <v>1424</v>
      </c>
      <c r="J555" s="629"/>
      <c r="K555" s="648">
        <f t="shared" si="18"/>
        <v>13</v>
      </c>
      <c r="L555" s="649">
        <f t="shared" si="19"/>
        <v>15</v>
      </c>
      <c r="M555" s="903"/>
      <c r="N555" s="622" t="str">
        <f t="shared" si="20"/>
        <v/>
      </c>
    </row>
    <row r="556" spans="9:14">
      <c r="I556" s="631" t="s">
        <v>1425</v>
      </c>
      <c r="J556" s="629"/>
      <c r="K556" s="648">
        <f t="shared" si="18"/>
        <v>12</v>
      </c>
      <c r="L556" s="649">
        <f t="shared" si="19"/>
        <v>15</v>
      </c>
      <c r="M556" s="903"/>
      <c r="N556" s="622" t="str">
        <f t="shared" si="20"/>
        <v/>
      </c>
    </row>
    <row r="557" spans="9:14">
      <c r="I557" s="631" t="s">
        <v>1426</v>
      </c>
      <c r="J557" s="629"/>
      <c r="K557" s="648">
        <f t="shared" si="18"/>
        <v>11</v>
      </c>
      <c r="L557" s="649">
        <f t="shared" si="19"/>
        <v>15</v>
      </c>
      <c r="M557" s="903"/>
      <c r="N557" s="622" t="str">
        <f t="shared" si="20"/>
        <v/>
      </c>
    </row>
    <row r="558" spans="9:14">
      <c r="I558" s="631" t="s">
        <v>1427</v>
      </c>
      <c r="J558" s="629"/>
      <c r="K558" s="648">
        <f t="shared" si="18"/>
        <v>10</v>
      </c>
      <c r="L558" s="649">
        <f t="shared" si="19"/>
        <v>15</v>
      </c>
      <c r="M558" s="903"/>
      <c r="N558" s="622" t="str">
        <f t="shared" si="20"/>
        <v/>
      </c>
    </row>
    <row r="559" spans="9:14">
      <c r="I559" s="631" t="s">
        <v>1428</v>
      </c>
      <c r="J559" s="629"/>
      <c r="K559" s="648">
        <f t="shared" si="18"/>
        <v>9</v>
      </c>
      <c r="L559" s="649">
        <f t="shared" si="19"/>
        <v>15</v>
      </c>
      <c r="M559" s="903"/>
      <c r="N559" s="622" t="str">
        <f t="shared" si="20"/>
        <v/>
      </c>
    </row>
    <row r="560" spans="9:14">
      <c r="I560" s="631" t="s">
        <v>1429</v>
      </c>
      <c r="J560" s="629"/>
      <c r="K560" s="648">
        <f t="shared" si="18"/>
        <v>8</v>
      </c>
      <c r="L560" s="649">
        <f t="shared" si="19"/>
        <v>15</v>
      </c>
      <c r="M560" s="903"/>
      <c r="N560" s="622" t="str">
        <f t="shared" si="20"/>
        <v/>
      </c>
    </row>
    <row r="561" spans="9:14">
      <c r="I561" s="631" t="s">
        <v>1430</v>
      </c>
      <c r="J561" s="629"/>
      <c r="K561" s="648">
        <f t="shared" si="18"/>
        <v>7</v>
      </c>
      <c r="L561" s="649">
        <f t="shared" si="19"/>
        <v>15</v>
      </c>
      <c r="M561" s="903"/>
      <c r="N561" s="622" t="str">
        <f t="shared" si="20"/>
        <v/>
      </c>
    </row>
    <row r="562" spans="9:14">
      <c r="I562" s="631" t="s">
        <v>1431</v>
      </c>
      <c r="J562" s="629"/>
      <c r="K562" s="648">
        <f t="shared" si="18"/>
        <v>6</v>
      </c>
      <c r="L562" s="649">
        <f t="shared" si="19"/>
        <v>15</v>
      </c>
      <c r="M562" s="903"/>
      <c r="N562" s="622" t="str">
        <f t="shared" si="20"/>
        <v/>
      </c>
    </row>
    <row r="563" spans="9:14">
      <c r="I563" s="631" t="s">
        <v>1432</v>
      </c>
      <c r="J563" s="629"/>
      <c r="K563" s="648">
        <f t="shared" si="18"/>
        <v>5</v>
      </c>
      <c r="L563" s="649">
        <f t="shared" si="19"/>
        <v>15</v>
      </c>
      <c r="M563" s="903"/>
      <c r="N563" s="622" t="str">
        <f t="shared" si="20"/>
        <v/>
      </c>
    </row>
    <row r="564" spans="9:14">
      <c r="I564" s="631" t="s">
        <v>1433</v>
      </c>
      <c r="J564" s="629"/>
      <c r="K564" s="648">
        <f t="shared" si="18"/>
        <v>4</v>
      </c>
      <c r="L564" s="649">
        <f t="shared" si="19"/>
        <v>15</v>
      </c>
      <c r="M564" s="903"/>
      <c r="N564" s="622" t="str">
        <f t="shared" si="20"/>
        <v/>
      </c>
    </row>
    <row r="565" spans="9:14">
      <c r="I565" s="631" t="s">
        <v>1434</v>
      </c>
      <c r="J565" s="629"/>
      <c r="K565" s="648">
        <f t="shared" si="18"/>
        <v>3</v>
      </c>
      <c r="L565" s="649">
        <f t="shared" si="19"/>
        <v>15</v>
      </c>
      <c r="M565" s="903"/>
      <c r="N565" s="622" t="str">
        <f t="shared" si="20"/>
        <v/>
      </c>
    </row>
    <row r="566" spans="9:14">
      <c r="I566" s="631" t="s">
        <v>1435</v>
      </c>
      <c r="J566" s="629"/>
      <c r="K566" s="648">
        <f t="shared" si="18"/>
        <v>2</v>
      </c>
      <c r="L566" s="649">
        <f t="shared" si="19"/>
        <v>15</v>
      </c>
      <c r="M566" s="903"/>
      <c r="N566" s="622" t="str">
        <f t="shared" si="20"/>
        <v/>
      </c>
    </row>
    <row r="567" spans="9:14">
      <c r="I567" s="631" t="s">
        <v>1436</v>
      </c>
      <c r="J567" s="629"/>
      <c r="K567" s="648">
        <f t="shared" si="18"/>
        <v>1</v>
      </c>
      <c r="L567" s="649">
        <f t="shared" si="19"/>
        <v>15</v>
      </c>
      <c r="M567" s="903"/>
      <c r="N567" s="622" t="str">
        <f t="shared" si="20"/>
        <v/>
      </c>
    </row>
    <row r="568" spans="9:14">
      <c r="I568" s="631" t="s">
        <v>1437</v>
      </c>
      <c r="J568" s="629"/>
      <c r="K568" s="648">
        <f t="shared" si="18"/>
        <v>28</v>
      </c>
      <c r="L568" s="649">
        <f t="shared" si="19"/>
        <v>16</v>
      </c>
      <c r="M568" s="903"/>
      <c r="N568" s="622" t="str">
        <f t="shared" si="20"/>
        <v/>
      </c>
    </row>
    <row r="569" spans="9:14">
      <c r="I569" s="631" t="s">
        <v>1438</v>
      </c>
      <c r="J569" s="629"/>
      <c r="K569" s="648">
        <f t="shared" si="18"/>
        <v>27</v>
      </c>
      <c r="L569" s="649">
        <f t="shared" si="19"/>
        <v>16</v>
      </c>
      <c r="M569" s="903"/>
      <c r="N569" s="622" t="str">
        <f t="shared" si="20"/>
        <v/>
      </c>
    </row>
    <row r="570" spans="9:14">
      <c r="I570" s="631" t="s">
        <v>1439</v>
      </c>
      <c r="J570" s="629"/>
      <c r="K570" s="648">
        <f t="shared" si="18"/>
        <v>26</v>
      </c>
      <c r="L570" s="649">
        <f t="shared" si="19"/>
        <v>16</v>
      </c>
      <c r="M570" s="903"/>
      <c r="N570" s="622" t="str">
        <f t="shared" si="20"/>
        <v/>
      </c>
    </row>
    <row r="571" spans="9:14">
      <c r="I571" s="631" t="s">
        <v>1440</v>
      </c>
      <c r="J571" s="629"/>
      <c r="K571" s="648">
        <f t="shared" si="18"/>
        <v>25</v>
      </c>
      <c r="L571" s="649">
        <f t="shared" si="19"/>
        <v>16</v>
      </c>
      <c r="M571" s="903"/>
      <c r="N571" s="622" t="str">
        <f t="shared" si="20"/>
        <v/>
      </c>
    </row>
    <row r="572" spans="9:14">
      <c r="I572" s="631" t="s">
        <v>1441</v>
      </c>
      <c r="J572" s="629"/>
      <c r="K572" s="648">
        <f t="shared" si="18"/>
        <v>24</v>
      </c>
      <c r="L572" s="649">
        <f t="shared" si="19"/>
        <v>16</v>
      </c>
      <c r="M572" s="903"/>
      <c r="N572" s="622" t="str">
        <f t="shared" si="20"/>
        <v/>
      </c>
    </row>
    <row r="573" spans="9:14">
      <c r="I573" s="631" t="s">
        <v>1442</v>
      </c>
      <c r="J573" s="629"/>
      <c r="K573" s="648">
        <f t="shared" si="18"/>
        <v>23</v>
      </c>
      <c r="L573" s="649">
        <f t="shared" si="19"/>
        <v>16</v>
      </c>
      <c r="M573" s="903"/>
      <c r="N573" s="622" t="str">
        <f t="shared" si="20"/>
        <v/>
      </c>
    </row>
    <row r="574" spans="9:14">
      <c r="I574" s="631" t="s">
        <v>1443</v>
      </c>
      <c r="J574" s="629"/>
      <c r="K574" s="648">
        <f t="shared" si="18"/>
        <v>22</v>
      </c>
      <c r="L574" s="649">
        <f t="shared" si="19"/>
        <v>16</v>
      </c>
      <c r="M574" s="903"/>
      <c r="N574" s="622" t="str">
        <f t="shared" si="20"/>
        <v/>
      </c>
    </row>
    <row r="575" spans="9:14">
      <c r="I575" s="631" t="s">
        <v>1444</v>
      </c>
      <c r="J575" s="629"/>
      <c r="K575" s="648">
        <f t="shared" si="18"/>
        <v>21</v>
      </c>
      <c r="L575" s="649">
        <f t="shared" si="19"/>
        <v>16</v>
      </c>
      <c r="M575" s="903"/>
      <c r="N575" s="622" t="str">
        <f t="shared" si="20"/>
        <v/>
      </c>
    </row>
    <row r="576" spans="9:14">
      <c r="I576" s="631" t="s">
        <v>1445</v>
      </c>
      <c r="J576" s="629"/>
      <c r="K576" s="648">
        <f t="shared" si="18"/>
        <v>20</v>
      </c>
      <c r="L576" s="649">
        <f t="shared" si="19"/>
        <v>16</v>
      </c>
      <c r="M576" s="903"/>
      <c r="N576" s="622" t="str">
        <f t="shared" si="20"/>
        <v/>
      </c>
    </row>
    <row r="577" spans="9:14">
      <c r="I577" s="631" t="s">
        <v>1446</v>
      </c>
      <c r="J577" s="629"/>
      <c r="K577" s="648">
        <f t="shared" si="18"/>
        <v>19</v>
      </c>
      <c r="L577" s="649">
        <f t="shared" si="19"/>
        <v>16</v>
      </c>
      <c r="M577" s="903"/>
      <c r="N577" s="622" t="str">
        <f t="shared" si="20"/>
        <v/>
      </c>
    </row>
    <row r="578" spans="9:14">
      <c r="I578" s="631" t="s">
        <v>1447</v>
      </c>
      <c r="J578" s="629"/>
      <c r="K578" s="648">
        <f t="shared" si="18"/>
        <v>18</v>
      </c>
      <c r="L578" s="649">
        <f t="shared" si="19"/>
        <v>16</v>
      </c>
      <c r="M578" s="903"/>
      <c r="N578" s="622" t="str">
        <f t="shared" si="20"/>
        <v/>
      </c>
    </row>
    <row r="579" spans="9:14">
      <c r="I579" s="631" t="s">
        <v>1448</v>
      </c>
      <c r="J579" s="629"/>
      <c r="K579" s="648">
        <f t="shared" si="18"/>
        <v>17</v>
      </c>
      <c r="L579" s="649">
        <f t="shared" si="19"/>
        <v>16</v>
      </c>
      <c r="M579" s="903"/>
      <c r="N579" s="622" t="str">
        <f t="shared" si="20"/>
        <v/>
      </c>
    </row>
    <row r="580" spans="9:14">
      <c r="I580" s="631" t="s">
        <v>1449</v>
      </c>
      <c r="J580" s="629"/>
      <c r="K580" s="648">
        <f t="shared" si="18"/>
        <v>16</v>
      </c>
      <c r="L580" s="649">
        <f t="shared" si="19"/>
        <v>16</v>
      </c>
      <c r="M580" s="903"/>
      <c r="N580" s="622" t="str">
        <f t="shared" si="20"/>
        <v/>
      </c>
    </row>
    <row r="581" spans="9:14">
      <c r="I581" s="631" t="s">
        <v>1450</v>
      </c>
      <c r="J581" s="629"/>
      <c r="K581" s="648">
        <f t="shared" si="18"/>
        <v>15</v>
      </c>
      <c r="L581" s="649">
        <f t="shared" si="19"/>
        <v>16</v>
      </c>
      <c r="M581" s="903"/>
      <c r="N581" s="622" t="str">
        <f t="shared" si="20"/>
        <v/>
      </c>
    </row>
    <row r="582" spans="9:14">
      <c r="I582" s="631" t="s">
        <v>1451</v>
      </c>
      <c r="J582" s="629"/>
      <c r="K582" s="648">
        <f t="shared" si="18"/>
        <v>14</v>
      </c>
      <c r="L582" s="649">
        <f t="shared" si="19"/>
        <v>16</v>
      </c>
      <c r="M582" s="903"/>
      <c r="N582" s="622" t="str">
        <f t="shared" si="20"/>
        <v/>
      </c>
    </row>
    <row r="583" spans="9:14">
      <c r="I583" s="631" t="s">
        <v>1452</v>
      </c>
      <c r="J583" s="629"/>
      <c r="K583" s="648">
        <f t="shared" si="18"/>
        <v>13</v>
      </c>
      <c r="L583" s="649">
        <f t="shared" si="19"/>
        <v>16</v>
      </c>
      <c r="M583" s="903"/>
      <c r="N583" s="622" t="str">
        <f t="shared" si="20"/>
        <v/>
      </c>
    </row>
    <row r="584" spans="9:14">
      <c r="I584" s="631" t="s">
        <v>1453</v>
      </c>
      <c r="J584" s="629"/>
      <c r="K584" s="648">
        <f t="shared" si="18"/>
        <v>12</v>
      </c>
      <c r="L584" s="649">
        <f t="shared" si="19"/>
        <v>16</v>
      </c>
      <c r="M584" s="903"/>
      <c r="N584" s="622" t="str">
        <f t="shared" si="20"/>
        <v/>
      </c>
    </row>
    <row r="585" spans="9:14">
      <c r="I585" s="631" t="s">
        <v>1454</v>
      </c>
      <c r="J585" s="629"/>
      <c r="K585" s="648">
        <f t="shared" si="18"/>
        <v>11</v>
      </c>
      <c r="L585" s="649">
        <f t="shared" si="19"/>
        <v>16</v>
      </c>
      <c r="M585" s="903"/>
      <c r="N585" s="622" t="str">
        <f t="shared" si="20"/>
        <v/>
      </c>
    </row>
    <row r="586" spans="9:14">
      <c r="I586" s="631" t="s">
        <v>1455</v>
      </c>
      <c r="J586" s="629"/>
      <c r="K586" s="648">
        <f t="shared" si="18"/>
        <v>10</v>
      </c>
      <c r="L586" s="649">
        <f t="shared" si="19"/>
        <v>16</v>
      </c>
      <c r="M586" s="903"/>
      <c r="N586" s="622" t="str">
        <f t="shared" si="20"/>
        <v/>
      </c>
    </row>
    <row r="587" spans="9:14">
      <c r="I587" s="631" t="s">
        <v>1456</v>
      </c>
      <c r="J587" s="629"/>
      <c r="K587" s="648">
        <f t="shared" si="18"/>
        <v>9</v>
      </c>
      <c r="L587" s="649">
        <f t="shared" si="19"/>
        <v>16</v>
      </c>
      <c r="M587" s="903"/>
      <c r="N587" s="622" t="str">
        <f t="shared" si="20"/>
        <v/>
      </c>
    </row>
    <row r="588" spans="9:14">
      <c r="I588" s="631" t="s">
        <v>1457</v>
      </c>
      <c r="J588" s="629"/>
      <c r="K588" s="648">
        <f t="shared" si="18"/>
        <v>8</v>
      </c>
      <c r="L588" s="649">
        <f t="shared" si="19"/>
        <v>16</v>
      </c>
      <c r="M588" s="903"/>
      <c r="N588" s="622" t="str">
        <f t="shared" si="20"/>
        <v/>
      </c>
    </row>
    <row r="589" spans="9:14">
      <c r="I589" s="631" t="s">
        <v>1458</v>
      </c>
      <c r="J589" s="629"/>
      <c r="K589" s="648">
        <f t="shared" si="18"/>
        <v>7</v>
      </c>
      <c r="L589" s="649">
        <f t="shared" si="19"/>
        <v>16</v>
      </c>
      <c r="M589" s="903"/>
      <c r="N589" s="622" t="str">
        <f t="shared" si="20"/>
        <v/>
      </c>
    </row>
    <row r="590" spans="9:14">
      <c r="I590" s="631" t="s">
        <v>1459</v>
      </c>
      <c r="J590" s="629"/>
      <c r="K590" s="648">
        <f t="shared" si="18"/>
        <v>6</v>
      </c>
      <c r="L590" s="649">
        <f t="shared" si="19"/>
        <v>16</v>
      </c>
      <c r="M590" s="903"/>
      <c r="N590" s="622" t="str">
        <f t="shared" si="20"/>
        <v/>
      </c>
    </row>
    <row r="591" spans="9:14">
      <c r="I591" s="631" t="s">
        <v>1460</v>
      </c>
      <c r="J591" s="629"/>
      <c r="K591" s="648">
        <f t="shared" si="18"/>
        <v>5</v>
      </c>
      <c r="L591" s="649">
        <f t="shared" si="19"/>
        <v>16</v>
      </c>
      <c r="M591" s="903"/>
      <c r="N591" s="622" t="str">
        <f t="shared" si="20"/>
        <v/>
      </c>
    </row>
    <row r="592" spans="9:14">
      <c r="I592" s="631" t="s">
        <v>1461</v>
      </c>
      <c r="J592" s="629"/>
      <c r="K592" s="648">
        <f t="shared" si="18"/>
        <v>4</v>
      </c>
      <c r="L592" s="649">
        <f t="shared" si="19"/>
        <v>16</v>
      </c>
      <c r="M592" s="903"/>
      <c r="N592" s="622" t="str">
        <f t="shared" si="20"/>
        <v/>
      </c>
    </row>
    <row r="593" spans="9:14">
      <c r="I593" s="631" t="s">
        <v>1462</v>
      </c>
      <c r="J593" s="629"/>
      <c r="K593" s="648">
        <f t="shared" si="18"/>
        <v>3</v>
      </c>
      <c r="L593" s="649">
        <f t="shared" si="19"/>
        <v>16</v>
      </c>
      <c r="M593" s="903"/>
      <c r="N593" s="622" t="str">
        <f t="shared" si="20"/>
        <v/>
      </c>
    </row>
    <row r="594" spans="9:14">
      <c r="I594" s="631" t="s">
        <v>1463</v>
      </c>
      <c r="J594" s="629"/>
      <c r="K594" s="648">
        <f t="shared" si="18"/>
        <v>2</v>
      </c>
      <c r="L594" s="649">
        <f t="shared" si="19"/>
        <v>16</v>
      </c>
      <c r="M594" s="903"/>
      <c r="N594" s="622" t="str">
        <f t="shared" si="20"/>
        <v/>
      </c>
    </row>
    <row r="595" spans="9:14">
      <c r="I595" s="631" t="s">
        <v>1464</v>
      </c>
      <c r="J595" s="629"/>
      <c r="K595" s="648">
        <f t="shared" si="18"/>
        <v>1</v>
      </c>
      <c r="L595" s="649">
        <f t="shared" si="19"/>
        <v>16</v>
      </c>
      <c r="M595" s="903"/>
      <c r="N595" s="622" t="str">
        <f t="shared" si="20"/>
        <v/>
      </c>
    </row>
    <row r="596" spans="9:14">
      <c r="I596" s="631" t="s">
        <v>1465</v>
      </c>
      <c r="J596" s="629"/>
      <c r="K596" s="648">
        <f t="shared" si="18"/>
        <v>28</v>
      </c>
      <c r="L596" s="649">
        <f t="shared" si="19"/>
        <v>17</v>
      </c>
      <c r="M596" s="903"/>
      <c r="N596" s="622" t="str">
        <f t="shared" si="20"/>
        <v/>
      </c>
    </row>
    <row r="597" spans="9:14">
      <c r="I597" s="631" t="s">
        <v>1466</v>
      </c>
      <c r="J597" s="629"/>
      <c r="K597" s="648">
        <f t="shared" ref="K597:K660" si="21">1+(RIGHT(I597,LEN(I597)-FIND(",",I597))-10)/20</f>
        <v>27</v>
      </c>
      <c r="L597" s="649">
        <f t="shared" ref="L597:L660" si="22">1+((LEFT(I597,FIND(",",I597)-1)*-1)-10)/20</f>
        <v>17</v>
      </c>
      <c r="M597" s="903"/>
      <c r="N597" s="622" t="str">
        <f t="shared" ref="N597:N660" si="23">IF(AND(K597&lt;=$I$144,K597&gt;=$I$145,L597&gt;=$M$143,L597&lt;=$N$143),MIN(ROUND(M597,2),633),"")</f>
        <v/>
      </c>
    </row>
    <row r="598" spans="9:14">
      <c r="I598" s="631" t="s">
        <v>1467</v>
      </c>
      <c r="J598" s="629"/>
      <c r="K598" s="648">
        <f t="shared" si="21"/>
        <v>26</v>
      </c>
      <c r="L598" s="649">
        <f t="shared" si="22"/>
        <v>17</v>
      </c>
      <c r="M598" s="903"/>
      <c r="N598" s="622" t="str">
        <f t="shared" si="23"/>
        <v/>
      </c>
    </row>
    <row r="599" spans="9:14">
      <c r="I599" s="631" t="s">
        <v>1468</v>
      </c>
      <c r="J599" s="629"/>
      <c r="K599" s="648">
        <f t="shared" si="21"/>
        <v>25</v>
      </c>
      <c r="L599" s="649">
        <f t="shared" si="22"/>
        <v>17</v>
      </c>
      <c r="M599" s="903"/>
      <c r="N599" s="622" t="str">
        <f t="shared" si="23"/>
        <v/>
      </c>
    </row>
    <row r="600" spans="9:14">
      <c r="I600" s="631" t="s">
        <v>1469</v>
      </c>
      <c r="J600" s="629"/>
      <c r="K600" s="648">
        <f t="shared" si="21"/>
        <v>24</v>
      </c>
      <c r="L600" s="649">
        <f t="shared" si="22"/>
        <v>17</v>
      </c>
      <c r="M600" s="903"/>
      <c r="N600" s="622" t="str">
        <f t="shared" si="23"/>
        <v/>
      </c>
    </row>
    <row r="601" spans="9:14">
      <c r="I601" s="631" t="s">
        <v>1470</v>
      </c>
      <c r="J601" s="629"/>
      <c r="K601" s="648">
        <f t="shared" si="21"/>
        <v>23</v>
      </c>
      <c r="L601" s="649">
        <f t="shared" si="22"/>
        <v>17</v>
      </c>
      <c r="M601" s="903"/>
      <c r="N601" s="622" t="str">
        <f t="shared" si="23"/>
        <v/>
      </c>
    </row>
    <row r="602" spans="9:14">
      <c r="I602" s="631" t="s">
        <v>1471</v>
      </c>
      <c r="J602" s="629"/>
      <c r="K602" s="648">
        <f t="shared" si="21"/>
        <v>22</v>
      </c>
      <c r="L602" s="649">
        <f t="shared" si="22"/>
        <v>17</v>
      </c>
      <c r="M602" s="903"/>
      <c r="N602" s="622" t="str">
        <f t="shared" si="23"/>
        <v/>
      </c>
    </row>
    <row r="603" spans="9:14">
      <c r="I603" s="631" t="s">
        <v>1472</v>
      </c>
      <c r="J603" s="629"/>
      <c r="K603" s="648">
        <f t="shared" si="21"/>
        <v>21</v>
      </c>
      <c r="L603" s="649">
        <f t="shared" si="22"/>
        <v>17</v>
      </c>
      <c r="M603" s="903"/>
      <c r="N603" s="622" t="str">
        <f t="shared" si="23"/>
        <v/>
      </c>
    </row>
    <row r="604" spans="9:14">
      <c r="I604" s="631" t="s">
        <v>1473</v>
      </c>
      <c r="J604" s="629"/>
      <c r="K604" s="648">
        <f t="shared" si="21"/>
        <v>20</v>
      </c>
      <c r="L604" s="649">
        <f t="shared" si="22"/>
        <v>17</v>
      </c>
      <c r="M604" s="903"/>
      <c r="N604" s="622" t="str">
        <f t="shared" si="23"/>
        <v/>
      </c>
    </row>
    <row r="605" spans="9:14">
      <c r="I605" s="631" t="s">
        <v>1474</v>
      </c>
      <c r="J605" s="629"/>
      <c r="K605" s="648">
        <f t="shared" si="21"/>
        <v>19</v>
      </c>
      <c r="L605" s="649">
        <f t="shared" si="22"/>
        <v>17</v>
      </c>
      <c r="M605" s="903"/>
      <c r="N605" s="622" t="str">
        <f t="shared" si="23"/>
        <v/>
      </c>
    </row>
    <row r="606" spans="9:14">
      <c r="I606" s="631" t="s">
        <v>1475</v>
      </c>
      <c r="J606" s="629"/>
      <c r="K606" s="648">
        <f t="shared" si="21"/>
        <v>18</v>
      </c>
      <c r="L606" s="649">
        <f t="shared" si="22"/>
        <v>17</v>
      </c>
      <c r="M606" s="903"/>
      <c r="N606" s="622" t="str">
        <f t="shared" si="23"/>
        <v/>
      </c>
    </row>
    <row r="607" spans="9:14">
      <c r="I607" s="631" t="s">
        <v>1476</v>
      </c>
      <c r="J607" s="629"/>
      <c r="K607" s="648">
        <f t="shared" si="21"/>
        <v>17</v>
      </c>
      <c r="L607" s="649">
        <f t="shared" si="22"/>
        <v>17</v>
      </c>
      <c r="M607" s="903"/>
      <c r="N607" s="622" t="str">
        <f t="shared" si="23"/>
        <v/>
      </c>
    </row>
    <row r="608" spans="9:14">
      <c r="I608" s="631" t="s">
        <v>1477</v>
      </c>
      <c r="J608" s="629"/>
      <c r="K608" s="648">
        <f t="shared" si="21"/>
        <v>16</v>
      </c>
      <c r="L608" s="649">
        <f t="shared" si="22"/>
        <v>17</v>
      </c>
      <c r="M608" s="903"/>
      <c r="N608" s="622" t="str">
        <f t="shared" si="23"/>
        <v/>
      </c>
    </row>
    <row r="609" spans="9:14">
      <c r="I609" s="631" t="s">
        <v>1478</v>
      </c>
      <c r="J609" s="629"/>
      <c r="K609" s="648">
        <f t="shared" si="21"/>
        <v>15</v>
      </c>
      <c r="L609" s="649">
        <f t="shared" si="22"/>
        <v>17</v>
      </c>
      <c r="M609" s="903"/>
      <c r="N609" s="622" t="str">
        <f t="shared" si="23"/>
        <v/>
      </c>
    </row>
    <row r="610" spans="9:14">
      <c r="I610" s="631" t="s">
        <v>1479</v>
      </c>
      <c r="J610" s="629"/>
      <c r="K610" s="648">
        <f t="shared" si="21"/>
        <v>14</v>
      </c>
      <c r="L610" s="649">
        <f t="shared" si="22"/>
        <v>17</v>
      </c>
      <c r="M610" s="903"/>
      <c r="N610" s="622" t="str">
        <f t="shared" si="23"/>
        <v/>
      </c>
    </row>
    <row r="611" spans="9:14">
      <c r="I611" s="631" t="s">
        <v>1480</v>
      </c>
      <c r="J611" s="629"/>
      <c r="K611" s="648">
        <f t="shared" si="21"/>
        <v>13</v>
      </c>
      <c r="L611" s="649">
        <f t="shared" si="22"/>
        <v>17</v>
      </c>
      <c r="M611" s="903"/>
      <c r="N611" s="622" t="str">
        <f t="shared" si="23"/>
        <v/>
      </c>
    </row>
    <row r="612" spans="9:14">
      <c r="I612" s="631" t="s">
        <v>1481</v>
      </c>
      <c r="J612" s="629"/>
      <c r="K612" s="648">
        <f t="shared" si="21"/>
        <v>12</v>
      </c>
      <c r="L612" s="649">
        <f t="shared" si="22"/>
        <v>17</v>
      </c>
      <c r="M612" s="903"/>
      <c r="N612" s="622" t="str">
        <f t="shared" si="23"/>
        <v/>
      </c>
    </row>
    <row r="613" spans="9:14">
      <c r="I613" s="631" t="s">
        <v>1482</v>
      </c>
      <c r="J613" s="629"/>
      <c r="K613" s="648">
        <f t="shared" si="21"/>
        <v>11</v>
      </c>
      <c r="L613" s="649">
        <f t="shared" si="22"/>
        <v>17</v>
      </c>
      <c r="M613" s="903"/>
      <c r="N613" s="622" t="str">
        <f t="shared" si="23"/>
        <v/>
      </c>
    </row>
    <row r="614" spans="9:14">
      <c r="I614" s="631" t="s">
        <v>1483</v>
      </c>
      <c r="J614" s="629"/>
      <c r="K614" s="648">
        <f t="shared" si="21"/>
        <v>10</v>
      </c>
      <c r="L614" s="649">
        <f t="shared" si="22"/>
        <v>17</v>
      </c>
      <c r="M614" s="903"/>
      <c r="N614" s="622" t="str">
        <f t="shared" si="23"/>
        <v/>
      </c>
    </row>
    <row r="615" spans="9:14">
      <c r="I615" s="631" t="s">
        <v>1484</v>
      </c>
      <c r="J615" s="629"/>
      <c r="K615" s="648">
        <f t="shared" si="21"/>
        <v>9</v>
      </c>
      <c r="L615" s="649">
        <f t="shared" si="22"/>
        <v>17</v>
      </c>
      <c r="M615" s="903"/>
      <c r="N615" s="622" t="str">
        <f t="shared" si="23"/>
        <v/>
      </c>
    </row>
    <row r="616" spans="9:14">
      <c r="I616" s="631" t="s">
        <v>1485</v>
      </c>
      <c r="J616" s="629"/>
      <c r="K616" s="648">
        <f t="shared" si="21"/>
        <v>8</v>
      </c>
      <c r="L616" s="649">
        <f t="shared" si="22"/>
        <v>17</v>
      </c>
      <c r="M616" s="903"/>
      <c r="N616" s="622" t="str">
        <f t="shared" si="23"/>
        <v/>
      </c>
    </row>
    <row r="617" spans="9:14">
      <c r="I617" s="631" t="s">
        <v>1486</v>
      </c>
      <c r="J617" s="629"/>
      <c r="K617" s="648">
        <f t="shared" si="21"/>
        <v>7</v>
      </c>
      <c r="L617" s="649">
        <f t="shared" si="22"/>
        <v>17</v>
      </c>
      <c r="M617" s="903"/>
      <c r="N617" s="622" t="str">
        <f t="shared" si="23"/>
        <v/>
      </c>
    </row>
    <row r="618" spans="9:14">
      <c r="I618" s="631" t="s">
        <v>1487</v>
      </c>
      <c r="J618" s="629"/>
      <c r="K618" s="648">
        <f t="shared" si="21"/>
        <v>6</v>
      </c>
      <c r="L618" s="649">
        <f t="shared" si="22"/>
        <v>17</v>
      </c>
      <c r="M618" s="903"/>
      <c r="N618" s="622" t="str">
        <f t="shared" si="23"/>
        <v/>
      </c>
    </row>
    <row r="619" spans="9:14">
      <c r="I619" s="631" t="s">
        <v>1488</v>
      </c>
      <c r="J619" s="629"/>
      <c r="K619" s="648">
        <f t="shared" si="21"/>
        <v>5</v>
      </c>
      <c r="L619" s="649">
        <f t="shared" si="22"/>
        <v>17</v>
      </c>
      <c r="M619" s="903"/>
      <c r="N619" s="622" t="str">
        <f t="shared" si="23"/>
        <v/>
      </c>
    </row>
    <row r="620" spans="9:14">
      <c r="I620" s="631" t="s">
        <v>1489</v>
      </c>
      <c r="J620" s="629"/>
      <c r="K620" s="648">
        <f t="shared" si="21"/>
        <v>4</v>
      </c>
      <c r="L620" s="649">
        <f t="shared" si="22"/>
        <v>17</v>
      </c>
      <c r="M620" s="903"/>
      <c r="N620" s="622" t="str">
        <f t="shared" si="23"/>
        <v/>
      </c>
    </row>
    <row r="621" spans="9:14">
      <c r="I621" s="631" t="s">
        <v>1490</v>
      </c>
      <c r="J621" s="629"/>
      <c r="K621" s="648">
        <f t="shared" si="21"/>
        <v>3</v>
      </c>
      <c r="L621" s="649">
        <f t="shared" si="22"/>
        <v>17</v>
      </c>
      <c r="M621" s="903"/>
      <c r="N621" s="622" t="str">
        <f t="shared" si="23"/>
        <v/>
      </c>
    </row>
    <row r="622" spans="9:14">
      <c r="I622" s="631" t="s">
        <v>1491</v>
      </c>
      <c r="J622" s="629"/>
      <c r="K622" s="648">
        <f t="shared" si="21"/>
        <v>2</v>
      </c>
      <c r="L622" s="649">
        <f t="shared" si="22"/>
        <v>17</v>
      </c>
      <c r="M622" s="903"/>
      <c r="N622" s="622" t="str">
        <f t="shared" si="23"/>
        <v/>
      </c>
    </row>
    <row r="623" spans="9:14">
      <c r="I623" s="631" t="s">
        <v>1492</v>
      </c>
      <c r="J623" s="629"/>
      <c r="K623" s="648">
        <f t="shared" si="21"/>
        <v>1</v>
      </c>
      <c r="L623" s="649">
        <f t="shared" si="22"/>
        <v>17</v>
      </c>
      <c r="M623" s="903"/>
      <c r="N623" s="622" t="str">
        <f t="shared" si="23"/>
        <v/>
      </c>
    </row>
    <row r="624" spans="9:14">
      <c r="I624" s="631" t="s">
        <v>1493</v>
      </c>
      <c r="J624" s="629"/>
      <c r="K624" s="648">
        <f t="shared" si="21"/>
        <v>28</v>
      </c>
      <c r="L624" s="649">
        <f t="shared" si="22"/>
        <v>18</v>
      </c>
      <c r="M624" s="903"/>
      <c r="N624" s="622" t="str">
        <f t="shared" si="23"/>
        <v/>
      </c>
    </row>
    <row r="625" spans="9:14">
      <c r="I625" s="631" t="s">
        <v>1494</v>
      </c>
      <c r="J625" s="629"/>
      <c r="K625" s="648">
        <f t="shared" si="21"/>
        <v>27</v>
      </c>
      <c r="L625" s="649">
        <f t="shared" si="22"/>
        <v>18</v>
      </c>
      <c r="M625" s="903"/>
      <c r="N625" s="622" t="str">
        <f t="shared" si="23"/>
        <v/>
      </c>
    </row>
    <row r="626" spans="9:14">
      <c r="I626" s="631" t="s">
        <v>1495</v>
      </c>
      <c r="J626" s="629"/>
      <c r="K626" s="648">
        <f t="shared" si="21"/>
        <v>26</v>
      </c>
      <c r="L626" s="649">
        <f t="shared" si="22"/>
        <v>18</v>
      </c>
      <c r="M626" s="903"/>
      <c r="N626" s="622" t="str">
        <f t="shared" si="23"/>
        <v/>
      </c>
    </row>
    <row r="627" spans="9:14">
      <c r="I627" s="631" t="s">
        <v>1496</v>
      </c>
      <c r="J627" s="629"/>
      <c r="K627" s="648">
        <f t="shared" si="21"/>
        <v>25</v>
      </c>
      <c r="L627" s="649">
        <f t="shared" si="22"/>
        <v>18</v>
      </c>
      <c r="M627" s="903"/>
      <c r="N627" s="622" t="str">
        <f t="shared" si="23"/>
        <v/>
      </c>
    </row>
    <row r="628" spans="9:14">
      <c r="I628" s="631" t="s">
        <v>1497</v>
      </c>
      <c r="J628" s="629"/>
      <c r="K628" s="648">
        <f t="shared" si="21"/>
        <v>24</v>
      </c>
      <c r="L628" s="649">
        <f t="shared" si="22"/>
        <v>18</v>
      </c>
      <c r="M628" s="903"/>
      <c r="N628" s="622" t="str">
        <f t="shared" si="23"/>
        <v/>
      </c>
    </row>
    <row r="629" spans="9:14">
      <c r="I629" s="631" t="s">
        <v>1498</v>
      </c>
      <c r="J629" s="629"/>
      <c r="K629" s="648">
        <f t="shared" si="21"/>
        <v>23</v>
      </c>
      <c r="L629" s="649">
        <f t="shared" si="22"/>
        <v>18</v>
      </c>
      <c r="M629" s="903"/>
      <c r="N629" s="622" t="str">
        <f t="shared" si="23"/>
        <v/>
      </c>
    </row>
    <row r="630" spans="9:14">
      <c r="I630" s="631" t="s">
        <v>1499</v>
      </c>
      <c r="J630" s="629"/>
      <c r="K630" s="648">
        <f t="shared" si="21"/>
        <v>22</v>
      </c>
      <c r="L630" s="649">
        <f t="shared" si="22"/>
        <v>18</v>
      </c>
      <c r="M630" s="903"/>
      <c r="N630" s="622" t="str">
        <f t="shared" si="23"/>
        <v/>
      </c>
    </row>
    <row r="631" spans="9:14">
      <c r="I631" s="631" t="s">
        <v>1500</v>
      </c>
      <c r="J631" s="629"/>
      <c r="K631" s="648">
        <f t="shared" si="21"/>
        <v>21</v>
      </c>
      <c r="L631" s="649">
        <f t="shared" si="22"/>
        <v>18</v>
      </c>
      <c r="M631" s="903"/>
      <c r="N631" s="622" t="str">
        <f t="shared" si="23"/>
        <v/>
      </c>
    </row>
    <row r="632" spans="9:14">
      <c r="I632" s="631" t="s">
        <v>1501</v>
      </c>
      <c r="J632" s="629"/>
      <c r="K632" s="648">
        <f t="shared" si="21"/>
        <v>20</v>
      </c>
      <c r="L632" s="649">
        <f t="shared" si="22"/>
        <v>18</v>
      </c>
      <c r="M632" s="903"/>
      <c r="N632" s="622" t="str">
        <f t="shared" si="23"/>
        <v/>
      </c>
    </row>
    <row r="633" spans="9:14">
      <c r="I633" s="631" t="s">
        <v>1502</v>
      </c>
      <c r="J633" s="629"/>
      <c r="K633" s="648">
        <f t="shared" si="21"/>
        <v>19</v>
      </c>
      <c r="L633" s="649">
        <f t="shared" si="22"/>
        <v>18</v>
      </c>
      <c r="M633" s="903"/>
      <c r="N633" s="622" t="str">
        <f t="shared" si="23"/>
        <v/>
      </c>
    </row>
    <row r="634" spans="9:14">
      <c r="I634" s="631" t="s">
        <v>1503</v>
      </c>
      <c r="J634" s="629"/>
      <c r="K634" s="648">
        <f t="shared" si="21"/>
        <v>18</v>
      </c>
      <c r="L634" s="649">
        <f t="shared" si="22"/>
        <v>18</v>
      </c>
      <c r="M634" s="903"/>
      <c r="N634" s="622" t="str">
        <f t="shared" si="23"/>
        <v/>
      </c>
    </row>
    <row r="635" spans="9:14">
      <c r="I635" s="631" t="s">
        <v>1504</v>
      </c>
      <c r="J635" s="629"/>
      <c r="K635" s="648">
        <f t="shared" si="21"/>
        <v>17</v>
      </c>
      <c r="L635" s="649">
        <f t="shared" si="22"/>
        <v>18</v>
      </c>
      <c r="M635" s="903"/>
      <c r="N635" s="622" t="str">
        <f t="shared" si="23"/>
        <v/>
      </c>
    </row>
    <row r="636" spans="9:14">
      <c r="I636" s="631" t="s">
        <v>1505</v>
      </c>
      <c r="J636" s="629"/>
      <c r="K636" s="648">
        <f t="shared" si="21"/>
        <v>16</v>
      </c>
      <c r="L636" s="649">
        <f t="shared" si="22"/>
        <v>18</v>
      </c>
      <c r="M636" s="903"/>
      <c r="N636" s="622" t="str">
        <f t="shared" si="23"/>
        <v/>
      </c>
    </row>
    <row r="637" spans="9:14">
      <c r="I637" s="631" t="s">
        <v>1506</v>
      </c>
      <c r="J637" s="629"/>
      <c r="K637" s="648">
        <f t="shared" si="21"/>
        <v>15</v>
      </c>
      <c r="L637" s="649">
        <f t="shared" si="22"/>
        <v>18</v>
      </c>
      <c r="M637" s="903"/>
      <c r="N637" s="622" t="str">
        <f t="shared" si="23"/>
        <v/>
      </c>
    </row>
    <row r="638" spans="9:14">
      <c r="I638" s="631" t="s">
        <v>1507</v>
      </c>
      <c r="J638" s="629"/>
      <c r="K638" s="648">
        <f t="shared" si="21"/>
        <v>14</v>
      </c>
      <c r="L638" s="649">
        <f t="shared" si="22"/>
        <v>18</v>
      </c>
      <c r="M638" s="903"/>
      <c r="N638" s="622" t="str">
        <f t="shared" si="23"/>
        <v/>
      </c>
    </row>
    <row r="639" spans="9:14">
      <c r="I639" s="631" t="s">
        <v>1508</v>
      </c>
      <c r="J639" s="629"/>
      <c r="K639" s="648">
        <f t="shared" si="21"/>
        <v>13</v>
      </c>
      <c r="L639" s="649">
        <f t="shared" si="22"/>
        <v>18</v>
      </c>
      <c r="M639" s="903"/>
      <c r="N639" s="622" t="str">
        <f t="shared" si="23"/>
        <v/>
      </c>
    </row>
    <row r="640" spans="9:14">
      <c r="I640" s="631" t="s">
        <v>1509</v>
      </c>
      <c r="J640" s="629"/>
      <c r="K640" s="648">
        <f t="shared" si="21"/>
        <v>12</v>
      </c>
      <c r="L640" s="649">
        <f t="shared" si="22"/>
        <v>18</v>
      </c>
      <c r="M640" s="903"/>
      <c r="N640" s="622" t="str">
        <f t="shared" si="23"/>
        <v/>
      </c>
    </row>
    <row r="641" spans="9:14">
      <c r="I641" s="631" t="s">
        <v>1510</v>
      </c>
      <c r="J641" s="629"/>
      <c r="K641" s="648">
        <f t="shared" si="21"/>
        <v>11</v>
      </c>
      <c r="L641" s="649">
        <f t="shared" si="22"/>
        <v>18</v>
      </c>
      <c r="M641" s="903"/>
      <c r="N641" s="622" t="str">
        <f t="shared" si="23"/>
        <v/>
      </c>
    </row>
    <row r="642" spans="9:14">
      <c r="I642" s="631" t="s">
        <v>1511</v>
      </c>
      <c r="J642" s="629"/>
      <c r="K642" s="648">
        <f t="shared" si="21"/>
        <v>10</v>
      </c>
      <c r="L642" s="649">
        <f t="shared" si="22"/>
        <v>18</v>
      </c>
      <c r="M642" s="903"/>
      <c r="N642" s="622" t="str">
        <f t="shared" si="23"/>
        <v/>
      </c>
    </row>
    <row r="643" spans="9:14">
      <c r="I643" s="631" t="s">
        <v>1512</v>
      </c>
      <c r="J643" s="629"/>
      <c r="K643" s="648">
        <f t="shared" si="21"/>
        <v>9</v>
      </c>
      <c r="L643" s="649">
        <f t="shared" si="22"/>
        <v>18</v>
      </c>
      <c r="M643" s="903"/>
      <c r="N643" s="622" t="str">
        <f t="shared" si="23"/>
        <v/>
      </c>
    </row>
    <row r="644" spans="9:14">
      <c r="I644" s="631" t="s">
        <v>1513</v>
      </c>
      <c r="J644" s="629"/>
      <c r="K644" s="648">
        <f t="shared" si="21"/>
        <v>8</v>
      </c>
      <c r="L644" s="649">
        <f t="shared" si="22"/>
        <v>18</v>
      </c>
      <c r="M644" s="903"/>
      <c r="N644" s="622" t="str">
        <f t="shared" si="23"/>
        <v/>
      </c>
    </row>
    <row r="645" spans="9:14">
      <c r="I645" s="631" t="s">
        <v>1514</v>
      </c>
      <c r="J645" s="629"/>
      <c r="K645" s="648">
        <f t="shared" si="21"/>
        <v>7</v>
      </c>
      <c r="L645" s="649">
        <f t="shared" si="22"/>
        <v>18</v>
      </c>
      <c r="M645" s="903"/>
      <c r="N645" s="622" t="str">
        <f t="shared" si="23"/>
        <v/>
      </c>
    </row>
    <row r="646" spans="9:14">
      <c r="I646" s="631" t="s">
        <v>1515</v>
      </c>
      <c r="J646" s="629"/>
      <c r="K646" s="648">
        <f t="shared" si="21"/>
        <v>6</v>
      </c>
      <c r="L646" s="649">
        <f t="shared" si="22"/>
        <v>18</v>
      </c>
      <c r="M646" s="903"/>
      <c r="N646" s="622" t="str">
        <f t="shared" si="23"/>
        <v/>
      </c>
    </row>
    <row r="647" spans="9:14">
      <c r="I647" s="631" t="s">
        <v>1516</v>
      </c>
      <c r="J647" s="629"/>
      <c r="K647" s="648">
        <f t="shared" si="21"/>
        <v>5</v>
      </c>
      <c r="L647" s="649">
        <f t="shared" si="22"/>
        <v>18</v>
      </c>
      <c r="M647" s="903"/>
      <c r="N647" s="622" t="str">
        <f t="shared" si="23"/>
        <v/>
      </c>
    </row>
    <row r="648" spans="9:14">
      <c r="I648" s="631" t="s">
        <v>1517</v>
      </c>
      <c r="J648" s="629"/>
      <c r="K648" s="648">
        <f t="shared" si="21"/>
        <v>4</v>
      </c>
      <c r="L648" s="649">
        <f t="shared" si="22"/>
        <v>18</v>
      </c>
      <c r="M648" s="903"/>
      <c r="N648" s="622" t="str">
        <f t="shared" si="23"/>
        <v/>
      </c>
    </row>
    <row r="649" spans="9:14">
      <c r="I649" s="631" t="s">
        <v>1518</v>
      </c>
      <c r="J649" s="629"/>
      <c r="K649" s="648">
        <f t="shared" si="21"/>
        <v>3</v>
      </c>
      <c r="L649" s="649">
        <f t="shared" si="22"/>
        <v>18</v>
      </c>
      <c r="M649" s="903"/>
      <c r="N649" s="622" t="str">
        <f t="shared" si="23"/>
        <v/>
      </c>
    </row>
    <row r="650" spans="9:14">
      <c r="I650" s="631" t="s">
        <v>1519</v>
      </c>
      <c r="J650" s="629"/>
      <c r="K650" s="648">
        <f t="shared" si="21"/>
        <v>2</v>
      </c>
      <c r="L650" s="649">
        <f t="shared" si="22"/>
        <v>18</v>
      </c>
      <c r="M650" s="903"/>
      <c r="N650" s="622" t="str">
        <f t="shared" si="23"/>
        <v/>
      </c>
    </row>
    <row r="651" spans="9:14">
      <c r="I651" s="631" t="s">
        <v>1520</v>
      </c>
      <c r="J651" s="629"/>
      <c r="K651" s="648">
        <f t="shared" si="21"/>
        <v>1</v>
      </c>
      <c r="L651" s="649">
        <f t="shared" si="22"/>
        <v>18</v>
      </c>
      <c r="M651" s="903"/>
      <c r="N651" s="622" t="str">
        <f t="shared" si="23"/>
        <v/>
      </c>
    </row>
    <row r="652" spans="9:14">
      <c r="I652" s="631" t="s">
        <v>1521</v>
      </c>
      <c r="J652" s="629"/>
      <c r="K652" s="648">
        <f t="shared" si="21"/>
        <v>28</v>
      </c>
      <c r="L652" s="649">
        <f t="shared" si="22"/>
        <v>19</v>
      </c>
      <c r="M652" s="903"/>
      <c r="N652" s="622" t="str">
        <f t="shared" si="23"/>
        <v/>
      </c>
    </row>
    <row r="653" spans="9:14">
      <c r="I653" s="631" t="s">
        <v>1522</v>
      </c>
      <c r="J653" s="629"/>
      <c r="K653" s="648">
        <f t="shared" si="21"/>
        <v>27</v>
      </c>
      <c r="L653" s="649">
        <f t="shared" si="22"/>
        <v>19</v>
      </c>
      <c r="M653" s="903"/>
      <c r="N653" s="622" t="str">
        <f t="shared" si="23"/>
        <v/>
      </c>
    </row>
    <row r="654" spans="9:14">
      <c r="I654" s="631" t="s">
        <v>1523</v>
      </c>
      <c r="J654" s="629"/>
      <c r="K654" s="648">
        <f t="shared" si="21"/>
        <v>26</v>
      </c>
      <c r="L654" s="649">
        <f t="shared" si="22"/>
        <v>19</v>
      </c>
      <c r="M654" s="903"/>
      <c r="N654" s="622" t="str">
        <f t="shared" si="23"/>
        <v/>
      </c>
    </row>
    <row r="655" spans="9:14">
      <c r="I655" s="631" t="s">
        <v>1524</v>
      </c>
      <c r="J655" s="629"/>
      <c r="K655" s="648">
        <f t="shared" si="21"/>
        <v>25</v>
      </c>
      <c r="L655" s="649">
        <f t="shared" si="22"/>
        <v>19</v>
      </c>
      <c r="M655" s="903"/>
      <c r="N655" s="622" t="str">
        <f t="shared" si="23"/>
        <v/>
      </c>
    </row>
    <row r="656" spans="9:14">
      <c r="I656" s="631" t="s">
        <v>1525</v>
      </c>
      <c r="J656" s="629"/>
      <c r="K656" s="648">
        <f t="shared" si="21"/>
        <v>24</v>
      </c>
      <c r="L656" s="649">
        <f t="shared" si="22"/>
        <v>19</v>
      </c>
      <c r="M656" s="903"/>
      <c r="N656" s="622" t="str">
        <f t="shared" si="23"/>
        <v/>
      </c>
    </row>
    <row r="657" spans="9:14">
      <c r="I657" s="631" t="s">
        <v>1526</v>
      </c>
      <c r="J657" s="629"/>
      <c r="K657" s="648">
        <f t="shared" si="21"/>
        <v>23</v>
      </c>
      <c r="L657" s="649">
        <f t="shared" si="22"/>
        <v>19</v>
      </c>
      <c r="M657" s="903"/>
      <c r="N657" s="622" t="str">
        <f t="shared" si="23"/>
        <v/>
      </c>
    </row>
    <row r="658" spans="9:14">
      <c r="I658" s="631" t="s">
        <v>1527</v>
      </c>
      <c r="J658" s="629"/>
      <c r="K658" s="648">
        <f t="shared" si="21"/>
        <v>22</v>
      </c>
      <c r="L658" s="649">
        <f t="shared" si="22"/>
        <v>19</v>
      </c>
      <c r="M658" s="903"/>
      <c r="N658" s="622" t="str">
        <f t="shared" si="23"/>
        <v/>
      </c>
    </row>
    <row r="659" spans="9:14">
      <c r="I659" s="631" t="s">
        <v>1528</v>
      </c>
      <c r="J659" s="629"/>
      <c r="K659" s="648">
        <f t="shared" si="21"/>
        <v>21</v>
      </c>
      <c r="L659" s="649">
        <f t="shared" si="22"/>
        <v>19</v>
      </c>
      <c r="M659" s="903"/>
      <c r="N659" s="622" t="str">
        <f t="shared" si="23"/>
        <v/>
      </c>
    </row>
    <row r="660" spans="9:14">
      <c r="I660" s="631" t="s">
        <v>1529</v>
      </c>
      <c r="J660" s="629"/>
      <c r="K660" s="648">
        <f t="shared" si="21"/>
        <v>20</v>
      </c>
      <c r="L660" s="649">
        <f t="shared" si="22"/>
        <v>19</v>
      </c>
      <c r="M660" s="903"/>
      <c r="N660" s="622" t="str">
        <f t="shared" si="23"/>
        <v/>
      </c>
    </row>
    <row r="661" spans="9:14">
      <c r="I661" s="631" t="s">
        <v>1530</v>
      </c>
      <c r="J661" s="629"/>
      <c r="K661" s="648">
        <f t="shared" ref="K661:K724" si="24">1+(RIGHT(I661,LEN(I661)-FIND(",",I661))-10)/20</f>
        <v>19</v>
      </c>
      <c r="L661" s="649">
        <f t="shared" ref="L661:L724" si="25">1+((LEFT(I661,FIND(",",I661)-1)*-1)-10)/20</f>
        <v>19</v>
      </c>
      <c r="M661" s="903"/>
      <c r="N661" s="622" t="str">
        <f t="shared" ref="N661:N724" si="26">IF(AND(K661&lt;=$I$144,K661&gt;=$I$145,L661&gt;=$M$143,L661&lt;=$N$143),MIN(ROUND(M661,2),633),"")</f>
        <v/>
      </c>
    </row>
    <row r="662" spans="9:14">
      <c r="I662" s="631" t="s">
        <v>1531</v>
      </c>
      <c r="J662" s="629"/>
      <c r="K662" s="648">
        <f t="shared" si="24"/>
        <v>18</v>
      </c>
      <c r="L662" s="649">
        <f t="shared" si="25"/>
        <v>19</v>
      </c>
      <c r="M662" s="903"/>
      <c r="N662" s="622" t="str">
        <f t="shared" si="26"/>
        <v/>
      </c>
    </row>
    <row r="663" spans="9:14">
      <c r="I663" s="631" t="s">
        <v>1532</v>
      </c>
      <c r="J663" s="629"/>
      <c r="K663" s="648">
        <f t="shared" si="24"/>
        <v>17</v>
      </c>
      <c r="L663" s="649">
        <f t="shared" si="25"/>
        <v>19</v>
      </c>
      <c r="M663" s="903"/>
      <c r="N663" s="622" t="str">
        <f t="shared" si="26"/>
        <v/>
      </c>
    </row>
    <row r="664" spans="9:14">
      <c r="I664" s="631" t="s">
        <v>1533</v>
      </c>
      <c r="J664" s="629"/>
      <c r="K664" s="648">
        <f t="shared" si="24"/>
        <v>16</v>
      </c>
      <c r="L664" s="649">
        <f t="shared" si="25"/>
        <v>19</v>
      </c>
      <c r="M664" s="903"/>
      <c r="N664" s="622" t="str">
        <f t="shared" si="26"/>
        <v/>
      </c>
    </row>
    <row r="665" spans="9:14">
      <c r="I665" s="631" t="s">
        <v>1534</v>
      </c>
      <c r="J665" s="629"/>
      <c r="K665" s="648">
        <f t="shared" si="24"/>
        <v>15</v>
      </c>
      <c r="L665" s="649">
        <f t="shared" si="25"/>
        <v>19</v>
      </c>
      <c r="M665" s="903"/>
      <c r="N665" s="622" t="str">
        <f t="shared" si="26"/>
        <v/>
      </c>
    </row>
    <row r="666" spans="9:14">
      <c r="I666" s="631" t="s">
        <v>1535</v>
      </c>
      <c r="J666" s="629"/>
      <c r="K666" s="648">
        <f t="shared" si="24"/>
        <v>14</v>
      </c>
      <c r="L666" s="649">
        <f t="shared" si="25"/>
        <v>19</v>
      </c>
      <c r="M666" s="903"/>
      <c r="N666" s="622" t="str">
        <f t="shared" si="26"/>
        <v/>
      </c>
    </row>
    <row r="667" spans="9:14">
      <c r="I667" s="631" t="s">
        <v>1536</v>
      </c>
      <c r="J667" s="629"/>
      <c r="K667" s="648">
        <f t="shared" si="24"/>
        <v>13</v>
      </c>
      <c r="L667" s="649">
        <f t="shared" si="25"/>
        <v>19</v>
      </c>
      <c r="M667" s="903"/>
      <c r="N667" s="622" t="str">
        <f t="shared" si="26"/>
        <v/>
      </c>
    </row>
    <row r="668" spans="9:14">
      <c r="I668" s="631" t="s">
        <v>1537</v>
      </c>
      <c r="J668" s="629"/>
      <c r="K668" s="648">
        <f t="shared" si="24"/>
        <v>12</v>
      </c>
      <c r="L668" s="649">
        <f t="shared" si="25"/>
        <v>19</v>
      </c>
      <c r="M668" s="903"/>
      <c r="N668" s="622" t="str">
        <f t="shared" si="26"/>
        <v/>
      </c>
    </row>
    <row r="669" spans="9:14">
      <c r="I669" s="631" t="s">
        <v>1538</v>
      </c>
      <c r="J669" s="629"/>
      <c r="K669" s="648">
        <f t="shared" si="24"/>
        <v>11</v>
      </c>
      <c r="L669" s="649">
        <f t="shared" si="25"/>
        <v>19</v>
      </c>
      <c r="M669" s="903"/>
      <c r="N669" s="622" t="str">
        <f t="shared" si="26"/>
        <v/>
      </c>
    </row>
    <row r="670" spans="9:14">
      <c r="I670" s="631" t="s">
        <v>1539</v>
      </c>
      <c r="J670" s="629"/>
      <c r="K670" s="648">
        <f t="shared" si="24"/>
        <v>10</v>
      </c>
      <c r="L670" s="649">
        <f t="shared" si="25"/>
        <v>19</v>
      </c>
      <c r="M670" s="903"/>
      <c r="N670" s="622" t="str">
        <f t="shared" si="26"/>
        <v/>
      </c>
    </row>
    <row r="671" spans="9:14">
      <c r="I671" s="631" t="s">
        <v>1540</v>
      </c>
      <c r="J671" s="629"/>
      <c r="K671" s="648">
        <f t="shared" si="24"/>
        <v>9</v>
      </c>
      <c r="L671" s="649">
        <f t="shared" si="25"/>
        <v>19</v>
      </c>
      <c r="M671" s="903"/>
      <c r="N671" s="622" t="str">
        <f t="shared" si="26"/>
        <v/>
      </c>
    </row>
    <row r="672" spans="9:14">
      <c r="I672" s="631" t="s">
        <v>1541</v>
      </c>
      <c r="J672" s="629"/>
      <c r="K672" s="648">
        <f t="shared" si="24"/>
        <v>8</v>
      </c>
      <c r="L672" s="649">
        <f t="shared" si="25"/>
        <v>19</v>
      </c>
      <c r="M672" s="903"/>
      <c r="N672" s="622" t="str">
        <f t="shared" si="26"/>
        <v/>
      </c>
    </row>
    <row r="673" spans="9:14">
      <c r="I673" s="631" t="s">
        <v>1542</v>
      </c>
      <c r="J673" s="629"/>
      <c r="K673" s="648">
        <f t="shared" si="24"/>
        <v>7</v>
      </c>
      <c r="L673" s="649">
        <f t="shared" si="25"/>
        <v>19</v>
      </c>
      <c r="M673" s="903"/>
      <c r="N673" s="622" t="str">
        <f t="shared" si="26"/>
        <v/>
      </c>
    </row>
    <row r="674" spans="9:14">
      <c r="I674" s="631" t="s">
        <v>1543</v>
      </c>
      <c r="J674" s="629"/>
      <c r="K674" s="648">
        <f t="shared" si="24"/>
        <v>6</v>
      </c>
      <c r="L674" s="649">
        <f t="shared" si="25"/>
        <v>19</v>
      </c>
      <c r="M674" s="903"/>
      <c r="N674" s="622" t="str">
        <f t="shared" si="26"/>
        <v/>
      </c>
    </row>
    <row r="675" spans="9:14">
      <c r="I675" s="631" t="s">
        <v>1544</v>
      </c>
      <c r="J675" s="629"/>
      <c r="K675" s="648">
        <f t="shared" si="24"/>
        <v>5</v>
      </c>
      <c r="L675" s="649">
        <f t="shared" si="25"/>
        <v>19</v>
      </c>
      <c r="M675" s="903"/>
      <c r="N675" s="622" t="str">
        <f t="shared" si="26"/>
        <v/>
      </c>
    </row>
    <row r="676" spans="9:14">
      <c r="I676" s="631" t="s">
        <v>1545</v>
      </c>
      <c r="J676" s="629"/>
      <c r="K676" s="648">
        <f t="shared" si="24"/>
        <v>4</v>
      </c>
      <c r="L676" s="649">
        <f t="shared" si="25"/>
        <v>19</v>
      </c>
      <c r="M676" s="903"/>
      <c r="N676" s="622" t="str">
        <f t="shared" si="26"/>
        <v/>
      </c>
    </row>
    <row r="677" spans="9:14">
      <c r="I677" s="631" t="s">
        <v>1546</v>
      </c>
      <c r="J677" s="629"/>
      <c r="K677" s="648">
        <f t="shared" si="24"/>
        <v>3</v>
      </c>
      <c r="L677" s="649">
        <f t="shared" si="25"/>
        <v>19</v>
      </c>
      <c r="M677" s="903"/>
      <c r="N677" s="622" t="str">
        <f t="shared" si="26"/>
        <v/>
      </c>
    </row>
    <row r="678" spans="9:14">
      <c r="I678" s="631" t="s">
        <v>1547</v>
      </c>
      <c r="J678" s="629"/>
      <c r="K678" s="648">
        <f t="shared" si="24"/>
        <v>2</v>
      </c>
      <c r="L678" s="649">
        <f t="shared" si="25"/>
        <v>19</v>
      </c>
      <c r="M678" s="903"/>
      <c r="N678" s="622" t="str">
        <f t="shared" si="26"/>
        <v/>
      </c>
    </row>
    <row r="679" spans="9:14">
      <c r="I679" s="631" t="s">
        <v>1548</v>
      </c>
      <c r="J679" s="629"/>
      <c r="K679" s="648">
        <f t="shared" si="24"/>
        <v>1</v>
      </c>
      <c r="L679" s="649">
        <f t="shared" si="25"/>
        <v>19</v>
      </c>
      <c r="M679" s="903"/>
      <c r="N679" s="622" t="str">
        <f t="shared" si="26"/>
        <v/>
      </c>
    </row>
    <row r="680" spans="9:14">
      <c r="I680" s="631" t="s">
        <v>1549</v>
      </c>
      <c r="J680" s="629"/>
      <c r="K680" s="648">
        <f t="shared" si="24"/>
        <v>28</v>
      </c>
      <c r="L680" s="649">
        <f t="shared" si="25"/>
        <v>20</v>
      </c>
      <c r="M680" s="903"/>
      <c r="N680" s="622" t="str">
        <f t="shared" si="26"/>
        <v/>
      </c>
    </row>
    <row r="681" spans="9:14">
      <c r="I681" s="631" t="s">
        <v>1550</v>
      </c>
      <c r="J681" s="629"/>
      <c r="K681" s="648">
        <f t="shared" si="24"/>
        <v>27</v>
      </c>
      <c r="L681" s="649">
        <f t="shared" si="25"/>
        <v>20</v>
      </c>
      <c r="M681" s="903"/>
      <c r="N681" s="622" t="str">
        <f t="shared" si="26"/>
        <v/>
      </c>
    </row>
    <row r="682" spans="9:14">
      <c r="I682" s="631" t="s">
        <v>1551</v>
      </c>
      <c r="J682" s="629"/>
      <c r="K682" s="648">
        <f t="shared" si="24"/>
        <v>26</v>
      </c>
      <c r="L682" s="649">
        <f t="shared" si="25"/>
        <v>20</v>
      </c>
      <c r="M682" s="903"/>
      <c r="N682" s="622" t="str">
        <f t="shared" si="26"/>
        <v/>
      </c>
    </row>
    <row r="683" spans="9:14">
      <c r="I683" s="631" t="s">
        <v>1552</v>
      </c>
      <c r="J683" s="629"/>
      <c r="K683" s="648">
        <f t="shared" si="24"/>
        <v>25</v>
      </c>
      <c r="L683" s="649">
        <f t="shared" si="25"/>
        <v>20</v>
      </c>
      <c r="M683" s="903"/>
      <c r="N683" s="622" t="str">
        <f t="shared" si="26"/>
        <v/>
      </c>
    </row>
    <row r="684" spans="9:14">
      <c r="I684" s="631" t="s">
        <v>1553</v>
      </c>
      <c r="J684" s="629"/>
      <c r="K684" s="648">
        <f t="shared" si="24"/>
        <v>24</v>
      </c>
      <c r="L684" s="649">
        <f t="shared" si="25"/>
        <v>20</v>
      </c>
      <c r="M684" s="903"/>
      <c r="N684" s="622" t="str">
        <f t="shared" si="26"/>
        <v/>
      </c>
    </row>
    <row r="685" spans="9:14">
      <c r="I685" s="631" t="s">
        <v>1554</v>
      </c>
      <c r="J685" s="629"/>
      <c r="K685" s="648">
        <f t="shared" si="24"/>
        <v>23</v>
      </c>
      <c r="L685" s="649">
        <f t="shared" si="25"/>
        <v>20</v>
      </c>
      <c r="M685" s="903"/>
      <c r="N685" s="622" t="str">
        <f t="shared" si="26"/>
        <v/>
      </c>
    </row>
    <row r="686" spans="9:14">
      <c r="I686" s="631" t="s">
        <v>1555</v>
      </c>
      <c r="J686" s="629"/>
      <c r="K686" s="648">
        <f t="shared" si="24"/>
        <v>22</v>
      </c>
      <c r="L686" s="649">
        <f t="shared" si="25"/>
        <v>20</v>
      </c>
      <c r="M686" s="903"/>
      <c r="N686" s="622" t="str">
        <f t="shared" si="26"/>
        <v/>
      </c>
    </row>
    <row r="687" spans="9:14">
      <c r="I687" s="631" t="s">
        <v>1556</v>
      </c>
      <c r="J687" s="629"/>
      <c r="K687" s="648">
        <f t="shared" si="24"/>
        <v>21</v>
      </c>
      <c r="L687" s="649">
        <f t="shared" si="25"/>
        <v>20</v>
      </c>
      <c r="M687" s="903"/>
      <c r="N687" s="622" t="str">
        <f t="shared" si="26"/>
        <v/>
      </c>
    </row>
    <row r="688" spans="9:14">
      <c r="I688" s="631" t="s">
        <v>1557</v>
      </c>
      <c r="J688" s="629"/>
      <c r="K688" s="648">
        <f t="shared" si="24"/>
        <v>20</v>
      </c>
      <c r="L688" s="649">
        <f t="shared" si="25"/>
        <v>20</v>
      </c>
      <c r="M688" s="903"/>
      <c r="N688" s="622" t="str">
        <f t="shared" si="26"/>
        <v/>
      </c>
    </row>
    <row r="689" spans="9:14">
      <c r="I689" s="631" t="s">
        <v>1558</v>
      </c>
      <c r="J689" s="629"/>
      <c r="K689" s="648">
        <f t="shared" si="24"/>
        <v>19</v>
      </c>
      <c r="L689" s="649">
        <f t="shared" si="25"/>
        <v>20</v>
      </c>
      <c r="M689" s="903"/>
      <c r="N689" s="622" t="str">
        <f t="shared" si="26"/>
        <v/>
      </c>
    </row>
    <row r="690" spans="9:14">
      <c r="I690" s="631" t="s">
        <v>1559</v>
      </c>
      <c r="J690" s="629"/>
      <c r="K690" s="648">
        <f t="shared" si="24"/>
        <v>18</v>
      </c>
      <c r="L690" s="649">
        <f t="shared" si="25"/>
        <v>20</v>
      </c>
      <c r="M690" s="903"/>
      <c r="N690" s="622" t="str">
        <f t="shared" si="26"/>
        <v/>
      </c>
    </row>
    <row r="691" spans="9:14">
      <c r="I691" s="631" t="s">
        <v>1560</v>
      </c>
      <c r="J691" s="629"/>
      <c r="K691" s="648">
        <f t="shared" si="24"/>
        <v>17</v>
      </c>
      <c r="L691" s="649">
        <f t="shared" si="25"/>
        <v>20</v>
      </c>
      <c r="M691" s="903"/>
      <c r="N691" s="622" t="str">
        <f t="shared" si="26"/>
        <v/>
      </c>
    </row>
    <row r="692" spans="9:14">
      <c r="I692" s="631" t="s">
        <v>1561</v>
      </c>
      <c r="J692" s="629"/>
      <c r="K692" s="648">
        <f t="shared" si="24"/>
        <v>16</v>
      </c>
      <c r="L692" s="649">
        <f t="shared" si="25"/>
        <v>20</v>
      </c>
      <c r="M692" s="903"/>
      <c r="N692" s="622" t="str">
        <f t="shared" si="26"/>
        <v/>
      </c>
    </row>
    <row r="693" spans="9:14">
      <c r="I693" s="631" t="s">
        <v>1562</v>
      </c>
      <c r="J693" s="629"/>
      <c r="K693" s="648">
        <f t="shared" si="24"/>
        <v>15</v>
      </c>
      <c r="L693" s="649">
        <f t="shared" si="25"/>
        <v>20</v>
      </c>
      <c r="M693" s="903"/>
      <c r="N693" s="622" t="str">
        <f t="shared" si="26"/>
        <v/>
      </c>
    </row>
    <row r="694" spans="9:14">
      <c r="I694" s="631" t="s">
        <v>1563</v>
      </c>
      <c r="J694" s="629"/>
      <c r="K694" s="648">
        <f t="shared" si="24"/>
        <v>14</v>
      </c>
      <c r="L694" s="649">
        <f t="shared" si="25"/>
        <v>20</v>
      </c>
      <c r="M694" s="903"/>
      <c r="N694" s="622" t="str">
        <f t="shared" si="26"/>
        <v/>
      </c>
    </row>
    <row r="695" spans="9:14">
      <c r="I695" s="631" t="s">
        <v>1564</v>
      </c>
      <c r="J695" s="629"/>
      <c r="K695" s="648">
        <f t="shared" si="24"/>
        <v>13</v>
      </c>
      <c r="L695" s="649">
        <f t="shared" si="25"/>
        <v>20</v>
      </c>
      <c r="M695" s="903"/>
      <c r="N695" s="622" t="str">
        <f t="shared" si="26"/>
        <v/>
      </c>
    </row>
    <row r="696" spans="9:14">
      <c r="I696" s="631" t="s">
        <v>1565</v>
      </c>
      <c r="J696" s="629"/>
      <c r="K696" s="648">
        <f t="shared" si="24"/>
        <v>12</v>
      </c>
      <c r="L696" s="649">
        <f t="shared" si="25"/>
        <v>20</v>
      </c>
      <c r="M696" s="903"/>
      <c r="N696" s="622" t="str">
        <f t="shared" si="26"/>
        <v/>
      </c>
    </row>
    <row r="697" spans="9:14">
      <c r="I697" s="631" t="s">
        <v>1566</v>
      </c>
      <c r="J697" s="629"/>
      <c r="K697" s="648">
        <f t="shared" si="24"/>
        <v>11</v>
      </c>
      <c r="L697" s="649">
        <f t="shared" si="25"/>
        <v>20</v>
      </c>
      <c r="M697" s="903"/>
      <c r="N697" s="622" t="str">
        <f t="shared" si="26"/>
        <v/>
      </c>
    </row>
    <row r="698" spans="9:14">
      <c r="I698" s="631" t="s">
        <v>1567</v>
      </c>
      <c r="J698" s="629"/>
      <c r="K698" s="648">
        <f t="shared" si="24"/>
        <v>10</v>
      </c>
      <c r="L698" s="649">
        <f t="shared" si="25"/>
        <v>20</v>
      </c>
      <c r="M698" s="903"/>
      <c r="N698" s="622" t="str">
        <f t="shared" si="26"/>
        <v/>
      </c>
    </row>
    <row r="699" spans="9:14">
      <c r="I699" s="631" t="s">
        <v>1568</v>
      </c>
      <c r="J699" s="629"/>
      <c r="K699" s="648">
        <f t="shared" si="24"/>
        <v>9</v>
      </c>
      <c r="L699" s="649">
        <f t="shared" si="25"/>
        <v>20</v>
      </c>
      <c r="M699" s="903"/>
      <c r="N699" s="622" t="str">
        <f t="shared" si="26"/>
        <v/>
      </c>
    </row>
    <row r="700" spans="9:14">
      <c r="I700" s="631" t="s">
        <v>1569</v>
      </c>
      <c r="J700" s="629"/>
      <c r="K700" s="648">
        <f t="shared" si="24"/>
        <v>8</v>
      </c>
      <c r="L700" s="649">
        <f t="shared" si="25"/>
        <v>20</v>
      </c>
      <c r="M700" s="903"/>
      <c r="N700" s="622" t="str">
        <f t="shared" si="26"/>
        <v/>
      </c>
    </row>
    <row r="701" spans="9:14">
      <c r="I701" s="631" t="s">
        <v>1570</v>
      </c>
      <c r="J701" s="629"/>
      <c r="K701" s="648">
        <f t="shared" si="24"/>
        <v>7</v>
      </c>
      <c r="L701" s="649">
        <f t="shared" si="25"/>
        <v>20</v>
      </c>
      <c r="M701" s="903"/>
      <c r="N701" s="622" t="str">
        <f t="shared" si="26"/>
        <v/>
      </c>
    </row>
    <row r="702" spans="9:14">
      <c r="I702" s="631" t="s">
        <v>1571</v>
      </c>
      <c r="J702" s="629"/>
      <c r="K702" s="648">
        <f t="shared" si="24"/>
        <v>6</v>
      </c>
      <c r="L702" s="649">
        <f t="shared" si="25"/>
        <v>20</v>
      </c>
      <c r="M702" s="903"/>
      <c r="N702" s="622" t="str">
        <f t="shared" si="26"/>
        <v/>
      </c>
    </row>
    <row r="703" spans="9:14">
      <c r="I703" s="631" t="s">
        <v>1572</v>
      </c>
      <c r="J703" s="629"/>
      <c r="K703" s="648">
        <f t="shared" si="24"/>
        <v>5</v>
      </c>
      <c r="L703" s="649">
        <f t="shared" si="25"/>
        <v>20</v>
      </c>
      <c r="M703" s="903"/>
      <c r="N703" s="622" t="str">
        <f t="shared" si="26"/>
        <v/>
      </c>
    </row>
    <row r="704" spans="9:14">
      <c r="I704" s="631" t="s">
        <v>1573</v>
      </c>
      <c r="J704" s="629"/>
      <c r="K704" s="648">
        <f t="shared" si="24"/>
        <v>4</v>
      </c>
      <c r="L704" s="649">
        <f t="shared" si="25"/>
        <v>20</v>
      </c>
      <c r="M704" s="903"/>
      <c r="N704" s="622" t="str">
        <f t="shared" si="26"/>
        <v/>
      </c>
    </row>
    <row r="705" spans="9:14">
      <c r="I705" s="631" t="s">
        <v>1574</v>
      </c>
      <c r="J705" s="629"/>
      <c r="K705" s="648">
        <f t="shared" si="24"/>
        <v>3</v>
      </c>
      <c r="L705" s="649">
        <f t="shared" si="25"/>
        <v>20</v>
      </c>
      <c r="M705" s="903"/>
      <c r="N705" s="622" t="str">
        <f t="shared" si="26"/>
        <v/>
      </c>
    </row>
    <row r="706" spans="9:14">
      <c r="I706" s="631" t="s">
        <v>1575</v>
      </c>
      <c r="J706" s="629"/>
      <c r="K706" s="648">
        <f t="shared" si="24"/>
        <v>2</v>
      </c>
      <c r="L706" s="649">
        <f t="shared" si="25"/>
        <v>20</v>
      </c>
      <c r="M706" s="903"/>
      <c r="N706" s="622" t="str">
        <f t="shared" si="26"/>
        <v/>
      </c>
    </row>
    <row r="707" spans="9:14">
      <c r="I707" s="631" t="s">
        <v>1576</v>
      </c>
      <c r="J707" s="629"/>
      <c r="K707" s="648">
        <f t="shared" si="24"/>
        <v>1</v>
      </c>
      <c r="L707" s="649">
        <f t="shared" si="25"/>
        <v>20</v>
      </c>
      <c r="M707" s="903"/>
      <c r="N707" s="622" t="str">
        <f t="shared" si="26"/>
        <v/>
      </c>
    </row>
    <row r="708" spans="9:14">
      <c r="I708" s="631" t="s">
        <v>1577</v>
      </c>
      <c r="J708" s="629"/>
      <c r="K708" s="648">
        <f t="shared" si="24"/>
        <v>28</v>
      </c>
      <c r="L708" s="649">
        <f t="shared" si="25"/>
        <v>21</v>
      </c>
      <c r="M708" s="903"/>
      <c r="N708" s="622" t="str">
        <f t="shared" si="26"/>
        <v/>
      </c>
    </row>
    <row r="709" spans="9:14">
      <c r="I709" s="631" t="s">
        <v>1578</v>
      </c>
      <c r="J709" s="629"/>
      <c r="K709" s="648">
        <f t="shared" si="24"/>
        <v>27</v>
      </c>
      <c r="L709" s="649">
        <f t="shared" si="25"/>
        <v>21</v>
      </c>
      <c r="M709" s="903"/>
      <c r="N709" s="622" t="str">
        <f t="shared" si="26"/>
        <v/>
      </c>
    </row>
    <row r="710" spans="9:14">
      <c r="I710" s="631" t="s">
        <v>1579</v>
      </c>
      <c r="J710" s="629"/>
      <c r="K710" s="648">
        <f t="shared" si="24"/>
        <v>26</v>
      </c>
      <c r="L710" s="649">
        <f t="shared" si="25"/>
        <v>21</v>
      </c>
      <c r="M710" s="903"/>
      <c r="N710" s="622" t="str">
        <f t="shared" si="26"/>
        <v/>
      </c>
    </row>
    <row r="711" spans="9:14">
      <c r="I711" s="631" t="s">
        <v>1580</v>
      </c>
      <c r="J711" s="629"/>
      <c r="K711" s="648">
        <f t="shared" si="24"/>
        <v>25</v>
      </c>
      <c r="L711" s="649">
        <f t="shared" si="25"/>
        <v>21</v>
      </c>
      <c r="M711" s="903"/>
      <c r="N711" s="622" t="str">
        <f t="shared" si="26"/>
        <v/>
      </c>
    </row>
    <row r="712" spans="9:14">
      <c r="I712" s="631" t="s">
        <v>1581</v>
      </c>
      <c r="J712" s="629"/>
      <c r="K712" s="648">
        <f t="shared" si="24"/>
        <v>24</v>
      </c>
      <c r="L712" s="649">
        <f t="shared" si="25"/>
        <v>21</v>
      </c>
      <c r="M712" s="903"/>
      <c r="N712" s="622" t="str">
        <f t="shared" si="26"/>
        <v/>
      </c>
    </row>
    <row r="713" spans="9:14">
      <c r="I713" s="631" t="s">
        <v>1582</v>
      </c>
      <c r="J713" s="629"/>
      <c r="K713" s="648">
        <f t="shared" si="24"/>
        <v>23</v>
      </c>
      <c r="L713" s="649">
        <f t="shared" si="25"/>
        <v>21</v>
      </c>
      <c r="M713" s="903"/>
      <c r="N713" s="622" t="str">
        <f t="shared" si="26"/>
        <v/>
      </c>
    </row>
    <row r="714" spans="9:14">
      <c r="I714" s="631" t="s">
        <v>1583</v>
      </c>
      <c r="J714" s="629"/>
      <c r="K714" s="648">
        <f t="shared" si="24"/>
        <v>22</v>
      </c>
      <c r="L714" s="649">
        <f t="shared" si="25"/>
        <v>21</v>
      </c>
      <c r="M714" s="903"/>
      <c r="N714" s="622" t="str">
        <f t="shared" si="26"/>
        <v/>
      </c>
    </row>
    <row r="715" spans="9:14">
      <c r="I715" s="631" t="s">
        <v>1584</v>
      </c>
      <c r="J715" s="629"/>
      <c r="K715" s="648">
        <f t="shared" si="24"/>
        <v>21</v>
      </c>
      <c r="L715" s="649">
        <f t="shared" si="25"/>
        <v>21</v>
      </c>
      <c r="M715" s="903"/>
      <c r="N715" s="622" t="str">
        <f t="shared" si="26"/>
        <v/>
      </c>
    </row>
    <row r="716" spans="9:14">
      <c r="I716" s="631" t="s">
        <v>1585</v>
      </c>
      <c r="J716" s="629"/>
      <c r="K716" s="648">
        <f t="shared" si="24"/>
        <v>20</v>
      </c>
      <c r="L716" s="649">
        <f t="shared" si="25"/>
        <v>21</v>
      </c>
      <c r="M716" s="903"/>
      <c r="N716" s="622" t="str">
        <f t="shared" si="26"/>
        <v/>
      </c>
    </row>
    <row r="717" spans="9:14">
      <c r="I717" s="631" t="s">
        <v>1586</v>
      </c>
      <c r="J717" s="629"/>
      <c r="K717" s="648">
        <f t="shared" si="24"/>
        <v>19</v>
      </c>
      <c r="L717" s="649">
        <f t="shared" si="25"/>
        <v>21</v>
      </c>
      <c r="M717" s="903"/>
      <c r="N717" s="622" t="str">
        <f t="shared" si="26"/>
        <v/>
      </c>
    </row>
    <row r="718" spans="9:14">
      <c r="I718" s="631" t="s">
        <v>1587</v>
      </c>
      <c r="J718" s="629"/>
      <c r="K718" s="648">
        <f t="shared" si="24"/>
        <v>18</v>
      </c>
      <c r="L718" s="649">
        <f t="shared" si="25"/>
        <v>21</v>
      </c>
      <c r="M718" s="903"/>
      <c r="N718" s="622" t="str">
        <f t="shared" si="26"/>
        <v/>
      </c>
    </row>
    <row r="719" spans="9:14">
      <c r="I719" s="631" t="s">
        <v>1588</v>
      </c>
      <c r="J719" s="629"/>
      <c r="K719" s="648">
        <f t="shared" si="24"/>
        <v>17</v>
      </c>
      <c r="L719" s="649">
        <f t="shared" si="25"/>
        <v>21</v>
      </c>
      <c r="M719" s="903"/>
      <c r="N719" s="622" t="str">
        <f t="shared" si="26"/>
        <v/>
      </c>
    </row>
    <row r="720" spans="9:14">
      <c r="I720" s="631" t="s">
        <v>1589</v>
      </c>
      <c r="J720" s="629"/>
      <c r="K720" s="648">
        <f t="shared" si="24"/>
        <v>16</v>
      </c>
      <c r="L720" s="649">
        <f t="shared" si="25"/>
        <v>21</v>
      </c>
      <c r="M720" s="903"/>
      <c r="N720" s="622" t="str">
        <f t="shared" si="26"/>
        <v/>
      </c>
    </row>
    <row r="721" spans="9:14">
      <c r="I721" s="631" t="s">
        <v>1590</v>
      </c>
      <c r="J721" s="629"/>
      <c r="K721" s="648">
        <f t="shared" si="24"/>
        <v>15</v>
      </c>
      <c r="L721" s="649">
        <f t="shared" si="25"/>
        <v>21</v>
      </c>
      <c r="M721" s="903"/>
      <c r="N721" s="622" t="str">
        <f t="shared" si="26"/>
        <v/>
      </c>
    </row>
    <row r="722" spans="9:14">
      <c r="I722" s="631" t="s">
        <v>1591</v>
      </c>
      <c r="J722" s="629"/>
      <c r="K722" s="648">
        <f t="shared" si="24"/>
        <v>14</v>
      </c>
      <c r="L722" s="649">
        <f t="shared" si="25"/>
        <v>21</v>
      </c>
      <c r="M722" s="903"/>
      <c r="N722" s="622" t="str">
        <f t="shared" si="26"/>
        <v/>
      </c>
    </row>
    <row r="723" spans="9:14">
      <c r="I723" s="631" t="s">
        <v>1592</v>
      </c>
      <c r="J723" s="629"/>
      <c r="K723" s="648">
        <f t="shared" si="24"/>
        <v>13</v>
      </c>
      <c r="L723" s="649">
        <f t="shared" si="25"/>
        <v>21</v>
      </c>
      <c r="M723" s="903"/>
      <c r="N723" s="622" t="str">
        <f t="shared" si="26"/>
        <v/>
      </c>
    </row>
    <row r="724" spans="9:14">
      <c r="I724" s="631" t="s">
        <v>1593</v>
      </c>
      <c r="J724" s="629"/>
      <c r="K724" s="648">
        <f t="shared" si="24"/>
        <v>12</v>
      </c>
      <c r="L724" s="649">
        <f t="shared" si="25"/>
        <v>21</v>
      </c>
      <c r="M724" s="903"/>
      <c r="N724" s="622" t="str">
        <f t="shared" si="26"/>
        <v/>
      </c>
    </row>
    <row r="725" spans="9:14">
      <c r="I725" s="631" t="s">
        <v>1594</v>
      </c>
      <c r="J725" s="629"/>
      <c r="K725" s="648">
        <f t="shared" ref="K725:K788" si="27">1+(RIGHT(I725,LEN(I725)-FIND(",",I725))-10)/20</f>
        <v>11</v>
      </c>
      <c r="L725" s="649">
        <f t="shared" ref="L725:L788" si="28">1+((LEFT(I725,FIND(",",I725)-1)*-1)-10)/20</f>
        <v>21</v>
      </c>
      <c r="M725" s="903"/>
      <c r="N725" s="622" t="str">
        <f t="shared" ref="N725:N788" si="29">IF(AND(K725&lt;=$I$144,K725&gt;=$I$145,L725&gt;=$M$143,L725&lt;=$N$143),MIN(ROUND(M725,2),633),"")</f>
        <v/>
      </c>
    </row>
    <row r="726" spans="9:14">
      <c r="I726" s="631" t="s">
        <v>1595</v>
      </c>
      <c r="J726" s="629"/>
      <c r="K726" s="648">
        <f t="shared" si="27"/>
        <v>10</v>
      </c>
      <c r="L726" s="649">
        <f t="shared" si="28"/>
        <v>21</v>
      </c>
      <c r="M726" s="903"/>
      <c r="N726" s="622" t="str">
        <f t="shared" si="29"/>
        <v/>
      </c>
    </row>
    <row r="727" spans="9:14">
      <c r="I727" s="631" t="s">
        <v>1596</v>
      </c>
      <c r="J727" s="629"/>
      <c r="K727" s="648">
        <f t="shared" si="27"/>
        <v>9</v>
      </c>
      <c r="L727" s="649">
        <f t="shared" si="28"/>
        <v>21</v>
      </c>
      <c r="M727" s="903"/>
      <c r="N727" s="622" t="str">
        <f t="shared" si="29"/>
        <v/>
      </c>
    </row>
    <row r="728" spans="9:14">
      <c r="I728" s="631" t="s">
        <v>1597</v>
      </c>
      <c r="J728" s="629"/>
      <c r="K728" s="648">
        <f t="shared" si="27"/>
        <v>8</v>
      </c>
      <c r="L728" s="649">
        <f t="shared" si="28"/>
        <v>21</v>
      </c>
      <c r="M728" s="903"/>
      <c r="N728" s="622" t="str">
        <f t="shared" si="29"/>
        <v/>
      </c>
    </row>
    <row r="729" spans="9:14">
      <c r="I729" s="631" t="s">
        <v>1598</v>
      </c>
      <c r="J729" s="629"/>
      <c r="K729" s="648">
        <f t="shared" si="27"/>
        <v>7</v>
      </c>
      <c r="L729" s="649">
        <f t="shared" si="28"/>
        <v>21</v>
      </c>
      <c r="M729" s="903"/>
      <c r="N729" s="622" t="str">
        <f t="shared" si="29"/>
        <v/>
      </c>
    </row>
    <row r="730" spans="9:14">
      <c r="I730" s="631" t="s">
        <v>1599</v>
      </c>
      <c r="J730" s="629"/>
      <c r="K730" s="648">
        <f t="shared" si="27"/>
        <v>6</v>
      </c>
      <c r="L730" s="649">
        <f t="shared" si="28"/>
        <v>21</v>
      </c>
      <c r="M730" s="903"/>
      <c r="N730" s="622" t="str">
        <f t="shared" si="29"/>
        <v/>
      </c>
    </row>
    <row r="731" spans="9:14">
      <c r="I731" s="631" t="s">
        <v>1600</v>
      </c>
      <c r="J731" s="629"/>
      <c r="K731" s="648">
        <f t="shared" si="27"/>
        <v>5</v>
      </c>
      <c r="L731" s="649">
        <f t="shared" si="28"/>
        <v>21</v>
      </c>
      <c r="M731" s="903"/>
      <c r="N731" s="622" t="str">
        <f t="shared" si="29"/>
        <v/>
      </c>
    </row>
    <row r="732" spans="9:14">
      <c r="I732" s="631" t="s">
        <v>1601</v>
      </c>
      <c r="J732" s="629"/>
      <c r="K732" s="648">
        <f t="shared" si="27"/>
        <v>4</v>
      </c>
      <c r="L732" s="649">
        <f t="shared" si="28"/>
        <v>21</v>
      </c>
      <c r="M732" s="903"/>
      <c r="N732" s="622" t="str">
        <f t="shared" si="29"/>
        <v/>
      </c>
    </row>
    <row r="733" spans="9:14">
      <c r="I733" s="631" t="s">
        <v>1602</v>
      </c>
      <c r="J733" s="629"/>
      <c r="K733" s="648">
        <f t="shared" si="27"/>
        <v>3</v>
      </c>
      <c r="L733" s="649">
        <f t="shared" si="28"/>
        <v>21</v>
      </c>
      <c r="M733" s="903"/>
      <c r="N733" s="622" t="str">
        <f t="shared" si="29"/>
        <v/>
      </c>
    </row>
    <row r="734" spans="9:14">
      <c r="I734" s="631" t="s">
        <v>1603</v>
      </c>
      <c r="J734" s="629"/>
      <c r="K734" s="648">
        <f t="shared" si="27"/>
        <v>2</v>
      </c>
      <c r="L734" s="649">
        <f t="shared" si="28"/>
        <v>21</v>
      </c>
      <c r="M734" s="903"/>
      <c r="N734" s="622" t="str">
        <f t="shared" si="29"/>
        <v/>
      </c>
    </row>
    <row r="735" spans="9:14">
      <c r="I735" s="631" t="s">
        <v>1604</v>
      </c>
      <c r="J735" s="629"/>
      <c r="K735" s="648">
        <f t="shared" si="27"/>
        <v>1</v>
      </c>
      <c r="L735" s="649">
        <f t="shared" si="28"/>
        <v>21</v>
      </c>
      <c r="M735" s="903"/>
      <c r="N735" s="622" t="str">
        <f t="shared" si="29"/>
        <v/>
      </c>
    </row>
    <row r="736" spans="9:14">
      <c r="I736" s="631" t="s">
        <v>1605</v>
      </c>
      <c r="J736" s="629"/>
      <c r="K736" s="648">
        <f t="shared" si="27"/>
        <v>28</v>
      </c>
      <c r="L736" s="649">
        <f t="shared" si="28"/>
        <v>22</v>
      </c>
      <c r="M736" s="903"/>
      <c r="N736" s="622" t="str">
        <f t="shared" si="29"/>
        <v/>
      </c>
    </row>
    <row r="737" spans="9:14">
      <c r="I737" s="631" t="s">
        <v>1606</v>
      </c>
      <c r="J737" s="629"/>
      <c r="K737" s="648">
        <f t="shared" si="27"/>
        <v>27</v>
      </c>
      <c r="L737" s="649">
        <f t="shared" si="28"/>
        <v>22</v>
      </c>
      <c r="M737" s="903"/>
      <c r="N737" s="622" t="str">
        <f t="shared" si="29"/>
        <v/>
      </c>
    </row>
    <row r="738" spans="9:14">
      <c r="I738" s="631" t="s">
        <v>1607</v>
      </c>
      <c r="J738" s="629"/>
      <c r="K738" s="648">
        <f t="shared" si="27"/>
        <v>26</v>
      </c>
      <c r="L738" s="649">
        <f t="shared" si="28"/>
        <v>22</v>
      </c>
      <c r="M738" s="903"/>
      <c r="N738" s="622" t="str">
        <f t="shared" si="29"/>
        <v/>
      </c>
    </row>
    <row r="739" spans="9:14">
      <c r="I739" s="631" t="s">
        <v>1608</v>
      </c>
      <c r="J739" s="629"/>
      <c r="K739" s="648">
        <f t="shared" si="27"/>
        <v>25</v>
      </c>
      <c r="L739" s="649">
        <f t="shared" si="28"/>
        <v>22</v>
      </c>
      <c r="M739" s="903"/>
      <c r="N739" s="622" t="str">
        <f t="shared" si="29"/>
        <v/>
      </c>
    </row>
    <row r="740" spans="9:14">
      <c r="I740" s="631" t="s">
        <v>1609</v>
      </c>
      <c r="J740" s="629"/>
      <c r="K740" s="648">
        <f t="shared" si="27"/>
        <v>24</v>
      </c>
      <c r="L740" s="649">
        <f t="shared" si="28"/>
        <v>22</v>
      </c>
      <c r="M740" s="903"/>
      <c r="N740" s="622" t="str">
        <f t="shared" si="29"/>
        <v/>
      </c>
    </row>
    <row r="741" spans="9:14">
      <c r="I741" s="631" t="s">
        <v>1610</v>
      </c>
      <c r="J741" s="629"/>
      <c r="K741" s="648">
        <f t="shared" si="27"/>
        <v>23</v>
      </c>
      <c r="L741" s="649">
        <f t="shared" si="28"/>
        <v>22</v>
      </c>
      <c r="M741" s="903"/>
      <c r="N741" s="622" t="str">
        <f t="shared" si="29"/>
        <v/>
      </c>
    </row>
    <row r="742" spans="9:14">
      <c r="I742" s="631" t="s">
        <v>1611</v>
      </c>
      <c r="J742" s="629"/>
      <c r="K742" s="648">
        <f t="shared" si="27"/>
        <v>22</v>
      </c>
      <c r="L742" s="649">
        <f t="shared" si="28"/>
        <v>22</v>
      </c>
      <c r="M742" s="903"/>
      <c r="N742" s="622" t="str">
        <f t="shared" si="29"/>
        <v/>
      </c>
    </row>
    <row r="743" spans="9:14">
      <c r="I743" s="631" t="s">
        <v>1612</v>
      </c>
      <c r="J743" s="629"/>
      <c r="K743" s="648">
        <f t="shared" si="27"/>
        <v>21</v>
      </c>
      <c r="L743" s="649">
        <f t="shared" si="28"/>
        <v>22</v>
      </c>
      <c r="M743" s="903"/>
      <c r="N743" s="622" t="str">
        <f t="shared" si="29"/>
        <v/>
      </c>
    </row>
    <row r="744" spans="9:14">
      <c r="I744" s="631" t="s">
        <v>1613</v>
      </c>
      <c r="J744" s="629"/>
      <c r="K744" s="648">
        <f t="shared" si="27"/>
        <v>20</v>
      </c>
      <c r="L744" s="649">
        <f t="shared" si="28"/>
        <v>22</v>
      </c>
      <c r="M744" s="903"/>
      <c r="N744" s="622" t="str">
        <f t="shared" si="29"/>
        <v/>
      </c>
    </row>
    <row r="745" spans="9:14">
      <c r="I745" s="631" t="s">
        <v>1614</v>
      </c>
      <c r="J745" s="629"/>
      <c r="K745" s="648">
        <f t="shared" si="27"/>
        <v>19</v>
      </c>
      <c r="L745" s="649">
        <f t="shared" si="28"/>
        <v>22</v>
      </c>
      <c r="M745" s="903"/>
      <c r="N745" s="622" t="str">
        <f t="shared" si="29"/>
        <v/>
      </c>
    </row>
    <row r="746" spans="9:14">
      <c r="I746" s="631" t="s">
        <v>1615</v>
      </c>
      <c r="J746" s="629"/>
      <c r="K746" s="648">
        <f t="shared" si="27"/>
        <v>18</v>
      </c>
      <c r="L746" s="649">
        <f t="shared" si="28"/>
        <v>22</v>
      </c>
      <c r="M746" s="903"/>
      <c r="N746" s="622" t="str">
        <f t="shared" si="29"/>
        <v/>
      </c>
    </row>
    <row r="747" spans="9:14">
      <c r="I747" s="631" t="s">
        <v>1616</v>
      </c>
      <c r="J747" s="629"/>
      <c r="K747" s="648">
        <f t="shared" si="27"/>
        <v>17</v>
      </c>
      <c r="L747" s="649">
        <f t="shared" si="28"/>
        <v>22</v>
      </c>
      <c r="M747" s="903"/>
      <c r="N747" s="622" t="str">
        <f t="shared" si="29"/>
        <v/>
      </c>
    </row>
    <row r="748" spans="9:14">
      <c r="I748" s="631" t="s">
        <v>1617</v>
      </c>
      <c r="J748" s="629"/>
      <c r="K748" s="648">
        <f t="shared" si="27"/>
        <v>16</v>
      </c>
      <c r="L748" s="649">
        <f t="shared" si="28"/>
        <v>22</v>
      </c>
      <c r="M748" s="903"/>
      <c r="N748" s="622" t="str">
        <f t="shared" si="29"/>
        <v/>
      </c>
    </row>
    <row r="749" spans="9:14">
      <c r="I749" s="631" t="s">
        <v>1618</v>
      </c>
      <c r="J749" s="629"/>
      <c r="K749" s="648">
        <f t="shared" si="27"/>
        <v>15</v>
      </c>
      <c r="L749" s="649">
        <f t="shared" si="28"/>
        <v>22</v>
      </c>
      <c r="M749" s="903"/>
      <c r="N749" s="622" t="str">
        <f t="shared" si="29"/>
        <v/>
      </c>
    </row>
    <row r="750" spans="9:14">
      <c r="I750" s="631" t="s">
        <v>1619</v>
      </c>
      <c r="J750" s="629"/>
      <c r="K750" s="648">
        <f t="shared" si="27"/>
        <v>14</v>
      </c>
      <c r="L750" s="649">
        <f t="shared" si="28"/>
        <v>22</v>
      </c>
      <c r="M750" s="903"/>
      <c r="N750" s="622" t="str">
        <f t="shared" si="29"/>
        <v/>
      </c>
    </row>
    <row r="751" spans="9:14">
      <c r="I751" s="631" t="s">
        <v>1620</v>
      </c>
      <c r="J751" s="629"/>
      <c r="K751" s="648">
        <f t="shared" si="27"/>
        <v>13</v>
      </c>
      <c r="L751" s="649">
        <f t="shared" si="28"/>
        <v>22</v>
      </c>
      <c r="M751" s="903"/>
      <c r="N751" s="622" t="str">
        <f t="shared" si="29"/>
        <v/>
      </c>
    </row>
    <row r="752" spans="9:14">
      <c r="I752" s="631" t="s">
        <v>1621</v>
      </c>
      <c r="J752" s="629"/>
      <c r="K752" s="648">
        <f t="shared" si="27"/>
        <v>12</v>
      </c>
      <c r="L752" s="649">
        <f t="shared" si="28"/>
        <v>22</v>
      </c>
      <c r="M752" s="903"/>
      <c r="N752" s="622" t="str">
        <f t="shared" si="29"/>
        <v/>
      </c>
    </row>
    <row r="753" spans="9:14">
      <c r="I753" s="631" t="s">
        <v>1622</v>
      </c>
      <c r="J753" s="629"/>
      <c r="K753" s="648">
        <f t="shared" si="27"/>
        <v>11</v>
      </c>
      <c r="L753" s="649">
        <f t="shared" si="28"/>
        <v>22</v>
      </c>
      <c r="M753" s="903"/>
      <c r="N753" s="622" t="str">
        <f t="shared" si="29"/>
        <v/>
      </c>
    </row>
    <row r="754" spans="9:14">
      <c r="I754" s="631" t="s">
        <v>1623</v>
      </c>
      <c r="J754" s="629"/>
      <c r="K754" s="648">
        <f t="shared" si="27"/>
        <v>10</v>
      </c>
      <c r="L754" s="649">
        <f t="shared" si="28"/>
        <v>22</v>
      </c>
      <c r="M754" s="903"/>
      <c r="N754" s="622" t="str">
        <f t="shared" si="29"/>
        <v/>
      </c>
    </row>
    <row r="755" spans="9:14">
      <c r="I755" s="631" t="s">
        <v>1624</v>
      </c>
      <c r="J755" s="629"/>
      <c r="K755" s="648">
        <f t="shared" si="27"/>
        <v>9</v>
      </c>
      <c r="L755" s="649">
        <f t="shared" si="28"/>
        <v>22</v>
      </c>
      <c r="M755" s="903"/>
      <c r="N755" s="622" t="str">
        <f t="shared" si="29"/>
        <v/>
      </c>
    </row>
    <row r="756" spans="9:14">
      <c r="I756" s="631" t="s">
        <v>1625</v>
      </c>
      <c r="J756" s="629"/>
      <c r="K756" s="648">
        <f t="shared" si="27"/>
        <v>8</v>
      </c>
      <c r="L756" s="649">
        <f t="shared" si="28"/>
        <v>22</v>
      </c>
      <c r="M756" s="903"/>
      <c r="N756" s="622" t="str">
        <f t="shared" si="29"/>
        <v/>
      </c>
    </row>
    <row r="757" spans="9:14">
      <c r="I757" s="631" t="s">
        <v>1626</v>
      </c>
      <c r="J757" s="629"/>
      <c r="K757" s="648">
        <f t="shared" si="27"/>
        <v>7</v>
      </c>
      <c r="L757" s="649">
        <f t="shared" si="28"/>
        <v>22</v>
      </c>
      <c r="M757" s="903"/>
      <c r="N757" s="622" t="str">
        <f t="shared" si="29"/>
        <v/>
      </c>
    </row>
    <row r="758" spans="9:14">
      <c r="I758" s="631" t="s">
        <v>1627</v>
      </c>
      <c r="J758" s="629"/>
      <c r="K758" s="648">
        <f t="shared" si="27"/>
        <v>6</v>
      </c>
      <c r="L758" s="649">
        <f t="shared" si="28"/>
        <v>22</v>
      </c>
      <c r="M758" s="903"/>
      <c r="N758" s="622" t="str">
        <f t="shared" si="29"/>
        <v/>
      </c>
    </row>
    <row r="759" spans="9:14">
      <c r="I759" s="631" t="s">
        <v>1628</v>
      </c>
      <c r="J759" s="629"/>
      <c r="K759" s="648">
        <f t="shared" si="27"/>
        <v>5</v>
      </c>
      <c r="L759" s="649">
        <f t="shared" si="28"/>
        <v>22</v>
      </c>
      <c r="M759" s="903"/>
      <c r="N759" s="622" t="str">
        <f t="shared" si="29"/>
        <v/>
      </c>
    </row>
    <row r="760" spans="9:14">
      <c r="I760" s="631" t="s">
        <v>1629</v>
      </c>
      <c r="J760" s="629"/>
      <c r="K760" s="648">
        <f t="shared" si="27"/>
        <v>4</v>
      </c>
      <c r="L760" s="649">
        <f t="shared" si="28"/>
        <v>22</v>
      </c>
      <c r="M760" s="903"/>
      <c r="N760" s="622" t="str">
        <f t="shared" si="29"/>
        <v/>
      </c>
    </row>
    <row r="761" spans="9:14">
      <c r="I761" s="631" t="s">
        <v>1630</v>
      </c>
      <c r="J761" s="629"/>
      <c r="K761" s="648">
        <f t="shared" si="27"/>
        <v>3</v>
      </c>
      <c r="L761" s="649">
        <f t="shared" si="28"/>
        <v>22</v>
      </c>
      <c r="M761" s="903"/>
      <c r="N761" s="622" t="str">
        <f t="shared" si="29"/>
        <v/>
      </c>
    </row>
    <row r="762" spans="9:14">
      <c r="I762" s="631" t="s">
        <v>1631</v>
      </c>
      <c r="J762" s="629"/>
      <c r="K762" s="648">
        <f t="shared" si="27"/>
        <v>2</v>
      </c>
      <c r="L762" s="649">
        <f t="shared" si="28"/>
        <v>22</v>
      </c>
      <c r="M762" s="903"/>
      <c r="N762" s="622" t="str">
        <f t="shared" si="29"/>
        <v/>
      </c>
    </row>
    <row r="763" spans="9:14">
      <c r="I763" s="631" t="s">
        <v>1632</v>
      </c>
      <c r="J763" s="629"/>
      <c r="K763" s="648">
        <f t="shared" si="27"/>
        <v>1</v>
      </c>
      <c r="L763" s="649">
        <f t="shared" si="28"/>
        <v>22</v>
      </c>
      <c r="M763" s="903"/>
      <c r="N763" s="622" t="str">
        <f t="shared" si="29"/>
        <v/>
      </c>
    </row>
    <row r="764" spans="9:14">
      <c r="I764" s="631" t="s">
        <v>1633</v>
      </c>
      <c r="J764" s="629"/>
      <c r="K764" s="648">
        <f t="shared" si="27"/>
        <v>28</v>
      </c>
      <c r="L764" s="649">
        <f t="shared" si="28"/>
        <v>23</v>
      </c>
      <c r="M764" s="903"/>
      <c r="N764" s="622" t="str">
        <f t="shared" si="29"/>
        <v/>
      </c>
    </row>
    <row r="765" spans="9:14">
      <c r="I765" s="631" t="s">
        <v>1634</v>
      </c>
      <c r="J765" s="629"/>
      <c r="K765" s="648">
        <f t="shared" si="27"/>
        <v>27</v>
      </c>
      <c r="L765" s="649">
        <f t="shared" si="28"/>
        <v>23</v>
      </c>
      <c r="M765" s="903"/>
      <c r="N765" s="622" t="str">
        <f t="shared" si="29"/>
        <v/>
      </c>
    </row>
    <row r="766" spans="9:14">
      <c r="I766" s="631" t="s">
        <v>1635</v>
      </c>
      <c r="J766" s="629"/>
      <c r="K766" s="648">
        <f t="shared" si="27"/>
        <v>26</v>
      </c>
      <c r="L766" s="649">
        <f t="shared" si="28"/>
        <v>23</v>
      </c>
      <c r="M766" s="903"/>
      <c r="N766" s="622" t="str">
        <f t="shared" si="29"/>
        <v/>
      </c>
    </row>
    <row r="767" spans="9:14">
      <c r="I767" s="631" t="s">
        <v>1636</v>
      </c>
      <c r="J767" s="629"/>
      <c r="K767" s="648">
        <f t="shared" si="27"/>
        <v>25</v>
      </c>
      <c r="L767" s="649">
        <f t="shared" si="28"/>
        <v>23</v>
      </c>
      <c r="M767" s="903"/>
      <c r="N767" s="622" t="str">
        <f t="shared" si="29"/>
        <v/>
      </c>
    </row>
    <row r="768" spans="9:14">
      <c r="I768" s="631" t="s">
        <v>1637</v>
      </c>
      <c r="J768" s="629"/>
      <c r="K768" s="648">
        <f t="shared" si="27"/>
        <v>24</v>
      </c>
      <c r="L768" s="649">
        <f t="shared" si="28"/>
        <v>23</v>
      </c>
      <c r="M768" s="903"/>
      <c r="N768" s="622" t="str">
        <f t="shared" si="29"/>
        <v/>
      </c>
    </row>
    <row r="769" spans="9:14">
      <c r="I769" s="631" t="s">
        <v>1638</v>
      </c>
      <c r="J769" s="629"/>
      <c r="K769" s="648">
        <f t="shared" si="27"/>
        <v>23</v>
      </c>
      <c r="L769" s="649">
        <f t="shared" si="28"/>
        <v>23</v>
      </c>
      <c r="M769" s="903"/>
      <c r="N769" s="622" t="str">
        <f t="shared" si="29"/>
        <v/>
      </c>
    </row>
    <row r="770" spans="9:14">
      <c r="I770" s="631" t="s">
        <v>1639</v>
      </c>
      <c r="J770" s="629"/>
      <c r="K770" s="648">
        <f t="shared" si="27"/>
        <v>22</v>
      </c>
      <c r="L770" s="649">
        <f t="shared" si="28"/>
        <v>23</v>
      </c>
      <c r="M770" s="903"/>
      <c r="N770" s="622" t="str">
        <f t="shared" si="29"/>
        <v/>
      </c>
    </row>
    <row r="771" spans="9:14">
      <c r="I771" s="631" t="s">
        <v>1640</v>
      </c>
      <c r="J771" s="629"/>
      <c r="K771" s="648">
        <f t="shared" si="27"/>
        <v>21</v>
      </c>
      <c r="L771" s="649">
        <f t="shared" si="28"/>
        <v>23</v>
      </c>
      <c r="M771" s="903"/>
      <c r="N771" s="622" t="str">
        <f t="shared" si="29"/>
        <v/>
      </c>
    </row>
    <row r="772" spans="9:14">
      <c r="I772" s="631" t="s">
        <v>1641</v>
      </c>
      <c r="J772" s="629"/>
      <c r="K772" s="648">
        <f t="shared" si="27"/>
        <v>20</v>
      </c>
      <c r="L772" s="649">
        <f t="shared" si="28"/>
        <v>23</v>
      </c>
      <c r="M772" s="903"/>
      <c r="N772" s="622" t="str">
        <f t="shared" si="29"/>
        <v/>
      </c>
    </row>
    <row r="773" spans="9:14">
      <c r="I773" s="631" t="s">
        <v>1642</v>
      </c>
      <c r="J773" s="629"/>
      <c r="K773" s="648">
        <f t="shared" si="27"/>
        <v>19</v>
      </c>
      <c r="L773" s="649">
        <f t="shared" si="28"/>
        <v>23</v>
      </c>
      <c r="M773" s="903"/>
      <c r="N773" s="622" t="str">
        <f t="shared" si="29"/>
        <v/>
      </c>
    </row>
    <row r="774" spans="9:14">
      <c r="I774" s="631" t="s">
        <v>1643</v>
      </c>
      <c r="J774" s="629"/>
      <c r="K774" s="648">
        <f t="shared" si="27"/>
        <v>18</v>
      </c>
      <c r="L774" s="649">
        <f t="shared" si="28"/>
        <v>23</v>
      </c>
      <c r="M774" s="903"/>
      <c r="N774" s="622" t="str">
        <f t="shared" si="29"/>
        <v/>
      </c>
    </row>
    <row r="775" spans="9:14">
      <c r="I775" s="631" t="s">
        <v>1644</v>
      </c>
      <c r="J775" s="629"/>
      <c r="K775" s="648">
        <f t="shared" si="27"/>
        <v>17</v>
      </c>
      <c r="L775" s="649">
        <f t="shared" si="28"/>
        <v>23</v>
      </c>
      <c r="M775" s="903"/>
      <c r="N775" s="622" t="str">
        <f t="shared" si="29"/>
        <v/>
      </c>
    </row>
    <row r="776" spans="9:14">
      <c r="I776" s="631" t="s">
        <v>1645</v>
      </c>
      <c r="J776" s="629"/>
      <c r="K776" s="648">
        <f t="shared" si="27"/>
        <v>16</v>
      </c>
      <c r="L776" s="649">
        <f t="shared" si="28"/>
        <v>23</v>
      </c>
      <c r="M776" s="903"/>
      <c r="N776" s="622" t="str">
        <f t="shared" si="29"/>
        <v/>
      </c>
    </row>
    <row r="777" spans="9:14">
      <c r="I777" s="631" t="s">
        <v>1646</v>
      </c>
      <c r="J777" s="629"/>
      <c r="K777" s="648">
        <f t="shared" si="27"/>
        <v>15</v>
      </c>
      <c r="L777" s="649">
        <f t="shared" si="28"/>
        <v>23</v>
      </c>
      <c r="M777" s="903"/>
      <c r="N777" s="622" t="str">
        <f t="shared" si="29"/>
        <v/>
      </c>
    </row>
    <row r="778" spans="9:14">
      <c r="I778" s="631" t="s">
        <v>1647</v>
      </c>
      <c r="J778" s="629"/>
      <c r="K778" s="648">
        <f t="shared" si="27"/>
        <v>14</v>
      </c>
      <c r="L778" s="649">
        <f t="shared" si="28"/>
        <v>23</v>
      </c>
      <c r="M778" s="903"/>
      <c r="N778" s="622" t="str">
        <f t="shared" si="29"/>
        <v/>
      </c>
    </row>
    <row r="779" spans="9:14">
      <c r="I779" s="631" t="s">
        <v>1648</v>
      </c>
      <c r="J779" s="629"/>
      <c r="K779" s="648">
        <f t="shared" si="27"/>
        <v>13</v>
      </c>
      <c r="L779" s="649">
        <f t="shared" si="28"/>
        <v>23</v>
      </c>
      <c r="M779" s="903"/>
      <c r="N779" s="622" t="str">
        <f t="shared" si="29"/>
        <v/>
      </c>
    </row>
    <row r="780" spans="9:14">
      <c r="I780" s="631" t="s">
        <v>1649</v>
      </c>
      <c r="J780" s="629"/>
      <c r="K780" s="648">
        <f t="shared" si="27"/>
        <v>12</v>
      </c>
      <c r="L780" s="649">
        <f t="shared" si="28"/>
        <v>23</v>
      </c>
      <c r="M780" s="903"/>
      <c r="N780" s="622" t="str">
        <f t="shared" si="29"/>
        <v/>
      </c>
    </row>
    <row r="781" spans="9:14">
      <c r="I781" s="631" t="s">
        <v>1650</v>
      </c>
      <c r="J781" s="629"/>
      <c r="K781" s="648">
        <f t="shared" si="27"/>
        <v>11</v>
      </c>
      <c r="L781" s="649">
        <f t="shared" si="28"/>
        <v>23</v>
      </c>
      <c r="M781" s="903"/>
      <c r="N781" s="622" t="str">
        <f t="shared" si="29"/>
        <v/>
      </c>
    </row>
    <row r="782" spans="9:14">
      <c r="I782" s="631" t="s">
        <v>1651</v>
      </c>
      <c r="J782" s="629"/>
      <c r="K782" s="648">
        <f t="shared" si="27"/>
        <v>10</v>
      </c>
      <c r="L782" s="649">
        <f t="shared" si="28"/>
        <v>23</v>
      </c>
      <c r="M782" s="903"/>
      <c r="N782" s="622" t="str">
        <f t="shared" si="29"/>
        <v/>
      </c>
    </row>
    <row r="783" spans="9:14">
      <c r="I783" s="631" t="s">
        <v>1652</v>
      </c>
      <c r="J783" s="629"/>
      <c r="K783" s="648">
        <f t="shared" si="27"/>
        <v>9</v>
      </c>
      <c r="L783" s="649">
        <f t="shared" si="28"/>
        <v>23</v>
      </c>
      <c r="M783" s="903"/>
      <c r="N783" s="622" t="str">
        <f t="shared" si="29"/>
        <v/>
      </c>
    </row>
    <row r="784" spans="9:14">
      <c r="I784" s="631" t="s">
        <v>1653</v>
      </c>
      <c r="J784" s="629"/>
      <c r="K784" s="648">
        <f t="shared" si="27"/>
        <v>8</v>
      </c>
      <c r="L784" s="649">
        <f t="shared" si="28"/>
        <v>23</v>
      </c>
      <c r="M784" s="903"/>
      <c r="N784" s="622" t="str">
        <f t="shared" si="29"/>
        <v/>
      </c>
    </row>
    <row r="785" spans="9:14">
      <c r="I785" s="631" t="s">
        <v>1654</v>
      </c>
      <c r="J785" s="629"/>
      <c r="K785" s="648">
        <f t="shared" si="27"/>
        <v>7</v>
      </c>
      <c r="L785" s="649">
        <f t="shared" si="28"/>
        <v>23</v>
      </c>
      <c r="M785" s="903"/>
      <c r="N785" s="622" t="str">
        <f t="shared" si="29"/>
        <v/>
      </c>
    </row>
    <row r="786" spans="9:14">
      <c r="I786" s="631" t="s">
        <v>1655</v>
      </c>
      <c r="J786" s="629"/>
      <c r="K786" s="648">
        <f t="shared" si="27"/>
        <v>6</v>
      </c>
      <c r="L786" s="649">
        <f t="shared" si="28"/>
        <v>23</v>
      </c>
      <c r="M786" s="903"/>
      <c r="N786" s="622" t="str">
        <f t="shared" si="29"/>
        <v/>
      </c>
    </row>
    <row r="787" spans="9:14">
      <c r="I787" s="631" t="s">
        <v>1656</v>
      </c>
      <c r="J787" s="629"/>
      <c r="K787" s="648">
        <f t="shared" si="27"/>
        <v>5</v>
      </c>
      <c r="L787" s="649">
        <f t="shared" si="28"/>
        <v>23</v>
      </c>
      <c r="M787" s="903"/>
      <c r="N787" s="622" t="str">
        <f t="shared" si="29"/>
        <v/>
      </c>
    </row>
    <row r="788" spans="9:14">
      <c r="I788" s="631" t="s">
        <v>1657</v>
      </c>
      <c r="J788" s="629"/>
      <c r="K788" s="648">
        <f t="shared" si="27"/>
        <v>4</v>
      </c>
      <c r="L788" s="649">
        <f t="shared" si="28"/>
        <v>23</v>
      </c>
      <c r="M788" s="903"/>
      <c r="N788" s="622" t="str">
        <f t="shared" si="29"/>
        <v/>
      </c>
    </row>
    <row r="789" spans="9:14">
      <c r="I789" s="631" t="s">
        <v>1658</v>
      </c>
      <c r="J789" s="629"/>
      <c r="K789" s="648">
        <f t="shared" ref="K789:K852" si="30">1+(RIGHT(I789,LEN(I789)-FIND(",",I789))-10)/20</f>
        <v>3</v>
      </c>
      <c r="L789" s="649">
        <f t="shared" ref="L789:L852" si="31">1+((LEFT(I789,FIND(",",I789)-1)*-1)-10)/20</f>
        <v>23</v>
      </c>
      <c r="M789" s="903"/>
      <c r="N789" s="622" t="str">
        <f t="shared" ref="N789:N852" si="32">IF(AND(K789&lt;=$I$144,K789&gt;=$I$145,L789&gt;=$M$143,L789&lt;=$N$143),MIN(ROUND(M789,2),633),"")</f>
        <v/>
      </c>
    </row>
    <row r="790" spans="9:14">
      <c r="I790" s="631" t="s">
        <v>1659</v>
      </c>
      <c r="J790" s="629"/>
      <c r="K790" s="648">
        <f t="shared" si="30"/>
        <v>2</v>
      </c>
      <c r="L790" s="649">
        <f t="shared" si="31"/>
        <v>23</v>
      </c>
      <c r="M790" s="903"/>
      <c r="N790" s="622" t="str">
        <f t="shared" si="32"/>
        <v/>
      </c>
    </row>
    <row r="791" spans="9:14">
      <c r="I791" s="631" t="s">
        <v>1660</v>
      </c>
      <c r="J791" s="629"/>
      <c r="K791" s="648">
        <f t="shared" si="30"/>
        <v>1</v>
      </c>
      <c r="L791" s="649">
        <f t="shared" si="31"/>
        <v>23</v>
      </c>
      <c r="M791" s="903"/>
      <c r="N791" s="622" t="str">
        <f t="shared" si="32"/>
        <v/>
      </c>
    </row>
    <row r="792" spans="9:14">
      <c r="I792" s="631" t="s">
        <v>1661</v>
      </c>
      <c r="J792" s="629"/>
      <c r="K792" s="648">
        <f t="shared" si="30"/>
        <v>28</v>
      </c>
      <c r="L792" s="649">
        <f t="shared" si="31"/>
        <v>24</v>
      </c>
      <c r="M792" s="903"/>
      <c r="N792" s="622" t="str">
        <f t="shared" si="32"/>
        <v/>
      </c>
    </row>
    <row r="793" spans="9:14">
      <c r="I793" s="631" t="s">
        <v>1662</v>
      </c>
      <c r="J793" s="629"/>
      <c r="K793" s="648">
        <f t="shared" si="30"/>
        <v>27</v>
      </c>
      <c r="L793" s="649">
        <f t="shared" si="31"/>
        <v>24</v>
      </c>
      <c r="M793" s="903"/>
      <c r="N793" s="622" t="str">
        <f t="shared" si="32"/>
        <v/>
      </c>
    </row>
    <row r="794" spans="9:14">
      <c r="I794" s="631" t="s">
        <v>1663</v>
      </c>
      <c r="J794" s="629"/>
      <c r="K794" s="648">
        <f t="shared" si="30"/>
        <v>26</v>
      </c>
      <c r="L794" s="649">
        <f t="shared" si="31"/>
        <v>24</v>
      </c>
      <c r="M794" s="903"/>
      <c r="N794" s="622" t="str">
        <f t="shared" si="32"/>
        <v/>
      </c>
    </row>
    <row r="795" spans="9:14">
      <c r="I795" s="631" t="s">
        <v>1664</v>
      </c>
      <c r="J795" s="629"/>
      <c r="K795" s="648">
        <f t="shared" si="30"/>
        <v>25</v>
      </c>
      <c r="L795" s="649">
        <f t="shared" si="31"/>
        <v>24</v>
      </c>
      <c r="M795" s="903"/>
      <c r="N795" s="622" t="str">
        <f t="shared" si="32"/>
        <v/>
      </c>
    </row>
    <row r="796" spans="9:14">
      <c r="I796" s="631" t="s">
        <v>1665</v>
      </c>
      <c r="J796" s="629"/>
      <c r="K796" s="648">
        <f t="shared" si="30"/>
        <v>24</v>
      </c>
      <c r="L796" s="649">
        <f t="shared" si="31"/>
        <v>24</v>
      </c>
      <c r="M796" s="903"/>
      <c r="N796" s="622" t="str">
        <f t="shared" si="32"/>
        <v/>
      </c>
    </row>
    <row r="797" spans="9:14">
      <c r="I797" s="631" t="s">
        <v>1666</v>
      </c>
      <c r="J797" s="629"/>
      <c r="K797" s="648">
        <f t="shared" si="30"/>
        <v>23</v>
      </c>
      <c r="L797" s="649">
        <f t="shared" si="31"/>
        <v>24</v>
      </c>
      <c r="M797" s="903"/>
      <c r="N797" s="622" t="str">
        <f t="shared" si="32"/>
        <v/>
      </c>
    </row>
    <row r="798" spans="9:14">
      <c r="I798" s="631" t="s">
        <v>1667</v>
      </c>
      <c r="J798" s="629"/>
      <c r="K798" s="648">
        <f t="shared" si="30"/>
        <v>22</v>
      </c>
      <c r="L798" s="649">
        <f t="shared" si="31"/>
        <v>24</v>
      </c>
      <c r="M798" s="903"/>
      <c r="N798" s="622" t="str">
        <f t="shared" si="32"/>
        <v/>
      </c>
    </row>
    <row r="799" spans="9:14">
      <c r="I799" s="631" t="s">
        <v>1668</v>
      </c>
      <c r="J799" s="629"/>
      <c r="K799" s="648">
        <f t="shared" si="30"/>
        <v>21</v>
      </c>
      <c r="L799" s="649">
        <f t="shared" si="31"/>
        <v>24</v>
      </c>
      <c r="M799" s="903"/>
      <c r="N799" s="622" t="str">
        <f t="shared" si="32"/>
        <v/>
      </c>
    </row>
    <row r="800" spans="9:14">
      <c r="I800" s="631" t="s">
        <v>1669</v>
      </c>
      <c r="J800" s="629"/>
      <c r="K800" s="648">
        <f t="shared" si="30"/>
        <v>20</v>
      </c>
      <c r="L800" s="649">
        <f t="shared" si="31"/>
        <v>24</v>
      </c>
      <c r="M800" s="903"/>
      <c r="N800" s="622" t="str">
        <f t="shared" si="32"/>
        <v/>
      </c>
    </row>
    <row r="801" spans="9:14">
      <c r="I801" s="631" t="s">
        <v>1670</v>
      </c>
      <c r="J801" s="629"/>
      <c r="K801" s="648">
        <f t="shared" si="30"/>
        <v>19</v>
      </c>
      <c r="L801" s="649">
        <f t="shared" si="31"/>
        <v>24</v>
      </c>
      <c r="M801" s="903"/>
      <c r="N801" s="622" t="str">
        <f t="shared" si="32"/>
        <v/>
      </c>
    </row>
    <row r="802" spans="9:14">
      <c r="I802" s="631" t="s">
        <v>1671</v>
      </c>
      <c r="J802" s="629"/>
      <c r="K802" s="648">
        <f t="shared" si="30"/>
        <v>18</v>
      </c>
      <c r="L802" s="649">
        <f t="shared" si="31"/>
        <v>24</v>
      </c>
      <c r="M802" s="903"/>
      <c r="N802" s="622" t="str">
        <f t="shared" si="32"/>
        <v/>
      </c>
    </row>
    <row r="803" spans="9:14">
      <c r="I803" s="631" t="s">
        <v>1672</v>
      </c>
      <c r="J803" s="629"/>
      <c r="K803" s="648">
        <f t="shared" si="30"/>
        <v>17</v>
      </c>
      <c r="L803" s="649">
        <f t="shared" si="31"/>
        <v>24</v>
      </c>
      <c r="M803" s="903"/>
      <c r="N803" s="622" t="str">
        <f t="shared" si="32"/>
        <v/>
      </c>
    </row>
    <row r="804" spans="9:14">
      <c r="I804" s="631" t="s">
        <v>1673</v>
      </c>
      <c r="J804" s="629"/>
      <c r="K804" s="648">
        <f t="shared" si="30"/>
        <v>16</v>
      </c>
      <c r="L804" s="649">
        <f t="shared" si="31"/>
        <v>24</v>
      </c>
      <c r="M804" s="903"/>
      <c r="N804" s="622" t="str">
        <f t="shared" si="32"/>
        <v/>
      </c>
    </row>
    <row r="805" spans="9:14">
      <c r="I805" s="631" t="s">
        <v>1674</v>
      </c>
      <c r="J805" s="629"/>
      <c r="K805" s="648">
        <f t="shared" si="30"/>
        <v>15</v>
      </c>
      <c r="L805" s="649">
        <f t="shared" si="31"/>
        <v>24</v>
      </c>
      <c r="M805" s="903"/>
      <c r="N805" s="622" t="str">
        <f t="shared" si="32"/>
        <v/>
      </c>
    </row>
    <row r="806" spans="9:14">
      <c r="I806" s="631" t="s">
        <v>1675</v>
      </c>
      <c r="J806" s="629"/>
      <c r="K806" s="648">
        <f t="shared" si="30"/>
        <v>14</v>
      </c>
      <c r="L806" s="649">
        <f t="shared" si="31"/>
        <v>24</v>
      </c>
      <c r="M806" s="903"/>
      <c r="N806" s="622" t="str">
        <f t="shared" si="32"/>
        <v/>
      </c>
    </row>
    <row r="807" spans="9:14">
      <c r="I807" s="631" t="s">
        <v>1676</v>
      </c>
      <c r="J807" s="629"/>
      <c r="K807" s="648">
        <f t="shared" si="30"/>
        <v>13</v>
      </c>
      <c r="L807" s="649">
        <f t="shared" si="31"/>
        <v>24</v>
      </c>
      <c r="M807" s="903"/>
      <c r="N807" s="622" t="str">
        <f t="shared" si="32"/>
        <v/>
      </c>
    </row>
    <row r="808" spans="9:14">
      <c r="I808" s="631" t="s">
        <v>1677</v>
      </c>
      <c r="J808" s="629"/>
      <c r="K808" s="648">
        <f t="shared" si="30"/>
        <v>12</v>
      </c>
      <c r="L808" s="649">
        <f t="shared" si="31"/>
        <v>24</v>
      </c>
      <c r="M808" s="903"/>
      <c r="N808" s="622" t="str">
        <f t="shared" si="32"/>
        <v/>
      </c>
    </row>
    <row r="809" spans="9:14">
      <c r="I809" s="631" t="s">
        <v>1678</v>
      </c>
      <c r="J809" s="629"/>
      <c r="K809" s="648">
        <f t="shared" si="30"/>
        <v>11</v>
      </c>
      <c r="L809" s="649">
        <f t="shared" si="31"/>
        <v>24</v>
      </c>
      <c r="M809" s="903"/>
      <c r="N809" s="622" t="str">
        <f t="shared" si="32"/>
        <v/>
      </c>
    </row>
    <row r="810" spans="9:14">
      <c r="I810" s="631" t="s">
        <v>1679</v>
      </c>
      <c r="J810" s="629"/>
      <c r="K810" s="648">
        <f t="shared" si="30"/>
        <v>10</v>
      </c>
      <c r="L810" s="649">
        <f t="shared" si="31"/>
        <v>24</v>
      </c>
      <c r="M810" s="903"/>
      <c r="N810" s="622" t="str">
        <f t="shared" si="32"/>
        <v/>
      </c>
    </row>
    <row r="811" spans="9:14">
      <c r="I811" s="631" t="s">
        <v>1680</v>
      </c>
      <c r="J811" s="629"/>
      <c r="K811" s="648">
        <f t="shared" si="30"/>
        <v>9</v>
      </c>
      <c r="L811" s="649">
        <f t="shared" si="31"/>
        <v>24</v>
      </c>
      <c r="M811" s="903"/>
      <c r="N811" s="622" t="str">
        <f t="shared" si="32"/>
        <v/>
      </c>
    </row>
    <row r="812" spans="9:14">
      <c r="I812" s="631" t="s">
        <v>1681</v>
      </c>
      <c r="J812" s="629"/>
      <c r="K812" s="648">
        <f t="shared" si="30"/>
        <v>8</v>
      </c>
      <c r="L812" s="649">
        <f t="shared" si="31"/>
        <v>24</v>
      </c>
      <c r="M812" s="903"/>
      <c r="N812" s="622" t="str">
        <f t="shared" si="32"/>
        <v/>
      </c>
    </row>
    <row r="813" spans="9:14">
      <c r="I813" s="631" t="s">
        <v>1682</v>
      </c>
      <c r="J813" s="629"/>
      <c r="K813" s="648">
        <f t="shared" si="30"/>
        <v>7</v>
      </c>
      <c r="L813" s="649">
        <f t="shared" si="31"/>
        <v>24</v>
      </c>
      <c r="M813" s="903"/>
      <c r="N813" s="622" t="str">
        <f t="shared" si="32"/>
        <v/>
      </c>
    </row>
    <row r="814" spans="9:14">
      <c r="I814" s="631" t="s">
        <v>1683</v>
      </c>
      <c r="J814" s="629"/>
      <c r="K814" s="648">
        <f t="shared" si="30"/>
        <v>6</v>
      </c>
      <c r="L814" s="649">
        <f t="shared" si="31"/>
        <v>24</v>
      </c>
      <c r="M814" s="903"/>
      <c r="N814" s="622" t="str">
        <f t="shared" si="32"/>
        <v/>
      </c>
    </row>
    <row r="815" spans="9:14">
      <c r="I815" s="631" t="s">
        <v>1684</v>
      </c>
      <c r="J815" s="629"/>
      <c r="K815" s="648">
        <f t="shared" si="30"/>
        <v>5</v>
      </c>
      <c r="L815" s="649">
        <f t="shared" si="31"/>
        <v>24</v>
      </c>
      <c r="M815" s="903"/>
      <c r="N815" s="622" t="str">
        <f t="shared" si="32"/>
        <v/>
      </c>
    </row>
    <row r="816" spans="9:14">
      <c r="I816" s="631" t="s">
        <v>1685</v>
      </c>
      <c r="J816" s="629"/>
      <c r="K816" s="648">
        <f t="shared" si="30"/>
        <v>4</v>
      </c>
      <c r="L816" s="649">
        <f t="shared" si="31"/>
        <v>24</v>
      </c>
      <c r="M816" s="903"/>
      <c r="N816" s="622" t="str">
        <f t="shared" si="32"/>
        <v/>
      </c>
    </row>
    <row r="817" spans="9:14">
      <c r="I817" s="631" t="s">
        <v>1686</v>
      </c>
      <c r="J817" s="629"/>
      <c r="K817" s="648">
        <f t="shared" si="30"/>
        <v>3</v>
      </c>
      <c r="L817" s="649">
        <f t="shared" si="31"/>
        <v>24</v>
      </c>
      <c r="M817" s="903"/>
      <c r="N817" s="622" t="str">
        <f t="shared" si="32"/>
        <v/>
      </c>
    </row>
    <row r="818" spans="9:14">
      <c r="I818" s="631" t="s">
        <v>1687</v>
      </c>
      <c r="J818" s="629"/>
      <c r="K818" s="648">
        <f t="shared" si="30"/>
        <v>2</v>
      </c>
      <c r="L818" s="649">
        <f t="shared" si="31"/>
        <v>24</v>
      </c>
      <c r="M818" s="903"/>
      <c r="N818" s="622" t="str">
        <f t="shared" si="32"/>
        <v/>
      </c>
    </row>
    <row r="819" spans="9:14">
      <c r="I819" s="631" t="s">
        <v>1688</v>
      </c>
      <c r="J819" s="629"/>
      <c r="K819" s="648">
        <f t="shared" si="30"/>
        <v>1</v>
      </c>
      <c r="L819" s="649">
        <f t="shared" si="31"/>
        <v>24</v>
      </c>
      <c r="M819" s="903"/>
      <c r="N819" s="622" t="str">
        <f t="shared" si="32"/>
        <v/>
      </c>
    </row>
    <row r="820" spans="9:14">
      <c r="I820" s="631" t="s">
        <v>1689</v>
      </c>
      <c r="J820" s="629"/>
      <c r="K820" s="648">
        <f t="shared" si="30"/>
        <v>28</v>
      </c>
      <c r="L820" s="649">
        <f t="shared" si="31"/>
        <v>25</v>
      </c>
      <c r="M820" s="903"/>
      <c r="N820" s="622" t="str">
        <f t="shared" si="32"/>
        <v/>
      </c>
    </row>
    <row r="821" spans="9:14">
      <c r="I821" s="631" t="s">
        <v>1690</v>
      </c>
      <c r="J821" s="629"/>
      <c r="K821" s="648">
        <f t="shared" si="30"/>
        <v>27</v>
      </c>
      <c r="L821" s="649">
        <f t="shared" si="31"/>
        <v>25</v>
      </c>
      <c r="M821" s="903"/>
      <c r="N821" s="622" t="str">
        <f t="shared" si="32"/>
        <v/>
      </c>
    </row>
    <row r="822" spans="9:14">
      <c r="I822" s="631" t="s">
        <v>1691</v>
      </c>
      <c r="J822" s="629"/>
      <c r="K822" s="648">
        <f t="shared" si="30"/>
        <v>26</v>
      </c>
      <c r="L822" s="649">
        <f t="shared" si="31"/>
        <v>25</v>
      </c>
      <c r="M822" s="903"/>
      <c r="N822" s="622" t="str">
        <f t="shared" si="32"/>
        <v/>
      </c>
    </row>
    <row r="823" spans="9:14">
      <c r="I823" s="631" t="s">
        <v>1692</v>
      </c>
      <c r="J823" s="629"/>
      <c r="K823" s="648">
        <f t="shared" si="30"/>
        <v>25</v>
      </c>
      <c r="L823" s="649">
        <f t="shared" si="31"/>
        <v>25</v>
      </c>
      <c r="M823" s="903"/>
      <c r="N823" s="622" t="str">
        <f t="shared" si="32"/>
        <v/>
      </c>
    </row>
    <row r="824" spans="9:14">
      <c r="I824" s="631" t="s">
        <v>1693</v>
      </c>
      <c r="J824" s="629"/>
      <c r="K824" s="648">
        <f t="shared" si="30"/>
        <v>24</v>
      </c>
      <c r="L824" s="649">
        <f t="shared" si="31"/>
        <v>25</v>
      </c>
      <c r="M824" s="903"/>
      <c r="N824" s="622" t="str">
        <f t="shared" si="32"/>
        <v/>
      </c>
    </row>
    <row r="825" spans="9:14">
      <c r="I825" s="631" t="s">
        <v>1694</v>
      </c>
      <c r="J825" s="629"/>
      <c r="K825" s="648">
        <f t="shared" si="30"/>
        <v>23</v>
      </c>
      <c r="L825" s="649">
        <f t="shared" si="31"/>
        <v>25</v>
      </c>
      <c r="M825" s="903"/>
      <c r="N825" s="622" t="str">
        <f t="shared" si="32"/>
        <v/>
      </c>
    </row>
    <row r="826" spans="9:14">
      <c r="I826" s="631" t="s">
        <v>1695</v>
      </c>
      <c r="J826" s="629"/>
      <c r="K826" s="648">
        <f t="shared" si="30"/>
        <v>22</v>
      </c>
      <c r="L826" s="649">
        <f t="shared" si="31"/>
        <v>25</v>
      </c>
      <c r="M826" s="903"/>
      <c r="N826" s="622" t="str">
        <f t="shared" si="32"/>
        <v/>
      </c>
    </row>
    <row r="827" spans="9:14">
      <c r="I827" s="631" t="s">
        <v>1696</v>
      </c>
      <c r="J827" s="629"/>
      <c r="K827" s="648">
        <f t="shared" si="30"/>
        <v>21</v>
      </c>
      <c r="L827" s="649">
        <f t="shared" si="31"/>
        <v>25</v>
      </c>
      <c r="M827" s="903"/>
      <c r="N827" s="622" t="str">
        <f t="shared" si="32"/>
        <v/>
      </c>
    </row>
    <row r="828" spans="9:14">
      <c r="I828" s="631" t="s">
        <v>1697</v>
      </c>
      <c r="J828" s="629"/>
      <c r="K828" s="648">
        <f t="shared" si="30"/>
        <v>20</v>
      </c>
      <c r="L828" s="649">
        <f t="shared" si="31"/>
        <v>25</v>
      </c>
      <c r="M828" s="903"/>
      <c r="N828" s="622" t="str">
        <f t="shared" si="32"/>
        <v/>
      </c>
    </row>
    <row r="829" spans="9:14">
      <c r="I829" s="631" t="s">
        <v>1698</v>
      </c>
      <c r="J829" s="629"/>
      <c r="K829" s="648">
        <f t="shared" si="30"/>
        <v>19</v>
      </c>
      <c r="L829" s="649">
        <f t="shared" si="31"/>
        <v>25</v>
      </c>
      <c r="M829" s="903"/>
      <c r="N829" s="622" t="str">
        <f t="shared" si="32"/>
        <v/>
      </c>
    </row>
    <row r="830" spans="9:14">
      <c r="I830" s="631" t="s">
        <v>1699</v>
      </c>
      <c r="J830" s="629"/>
      <c r="K830" s="648">
        <f t="shared" si="30"/>
        <v>18</v>
      </c>
      <c r="L830" s="649">
        <f t="shared" si="31"/>
        <v>25</v>
      </c>
      <c r="M830" s="903"/>
      <c r="N830" s="622" t="str">
        <f t="shared" si="32"/>
        <v/>
      </c>
    </row>
    <row r="831" spans="9:14">
      <c r="I831" s="631" t="s">
        <v>1700</v>
      </c>
      <c r="J831" s="629"/>
      <c r="K831" s="648">
        <f t="shared" si="30"/>
        <v>17</v>
      </c>
      <c r="L831" s="649">
        <f t="shared" si="31"/>
        <v>25</v>
      </c>
      <c r="M831" s="903"/>
      <c r="N831" s="622" t="str">
        <f t="shared" si="32"/>
        <v/>
      </c>
    </row>
    <row r="832" spans="9:14">
      <c r="I832" s="631" t="s">
        <v>1701</v>
      </c>
      <c r="J832" s="629"/>
      <c r="K832" s="648">
        <f t="shared" si="30"/>
        <v>16</v>
      </c>
      <c r="L832" s="649">
        <f t="shared" si="31"/>
        <v>25</v>
      </c>
      <c r="M832" s="903"/>
      <c r="N832" s="622" t="str">
        <f t="shared" si="32"/>
        <v/>
      </c>
    </row>
    <row r="833" spans="9:14">
      <c r="I833" s="631" t="s">
        <v>1702</v>
      </c>
      <c r="J833" s="629"/>
      <c r="K833" s="648">
        <f t="shared" si="30"/>
        <v>15</v>
      </c>
      <c r="L833" s="649">
        <f t="shared" si="31"/>
        <v>25</v>
      </c>
      <c r="M833" s="903"/>
      <c r="N833" s="622" t="str">
        <f t="shared" si="32"/>
        <v/>
      </c>
    </row>
    <row r="834" spans="9:14">
      <c r="I834" s="631" t="s">
        <v>1703</v>
      </c>
      <c r="J834" s="629"/>
      <c r="K834" s="648">
        <f t="shared" si="30"/>
        <v>14</v>
      </c>
      <c r="L834" s="649">
        <f t="shared" si="31"/>
        <v>25</v>
      </c>
      <c r="M834" s="903"/>
      <c r="N834" s="622" t="str">
        <f t="shared" si="32"/>
        <v/>
      </c>
    </row>
    <row r="835" spans="9:14">
      <c r="I835" s="631" t="s">
        <v>1704</v>
      </c>
      <c r="J835" s="629"/>
      <c r="K835" s="648">
        <f t="shared" si="30"/>
        <v>13</v>
      </c>
      <c r="L835" s="649">
        <f t="shared" si="31"/>
        <v>25</v>
      </c>
      <c r="M835" s="903"/>
      <c r="N835" s="622" t="str">
        <f t="shared" si="32"/>
        <v/>
      </c>
    </row>
    <row r="836" spans="9:14">
      <c r="I836" s="631" t="s">
        <v>1705</v>
      </c>
      <c r="J836" s="629"/>
      <c r="K836" s="648">
        <f t="shared" si="30"/>
        <v>12</v>
      </c>
      <c r="L836" s="649">
        <f t="shared" si="31"/>
        <v>25</v>
      </c>
      <c r="M836" s="903"/>
      <c r="N836" s="622" t="str">
        <f t="shared" si="32"/>
        <v/>
      </c>
    </row>
    <row r="837" spans="9:14">
      <c r="I837" s="631" t="s">
        <v>1706</v>
      </c>
      <c r="J837" s="629"/>
      <c r="K837" s="648">
        <f t="shared" si="30"/>
        <v>11</v>
      </c>
      <c r="L837" s="649">
        <f t="shared" si="31"/>
        <v>25</v>
      </c>
      <c r="M837" s="903"/>
      <c r="N837" s="622" t="str">
        <f t="shared" si="32"/>
        <v/>
      </c>
    </row>
    <row r="838" spans="9:14">
      <c r="I838" s="631" t="s">
        <v>1707</v>
      </c>
      <c r="J838" s="629"/>
      <c r="K838" s="648">
        <f t="shared" si="30"/>
        <v>10</v>
      </c>
      <c r="L838" s="649">
        <f t="shared" si="31"/>
        <v>25</v>
      </c>
      <c r="M838" s="903"/>
      <c r="N838" s="622" t="str">
        <f t="shared" si="32"/>
        <v/>
      </c>
    </row>
    <row r="839" spans="9:14">
      <c r="I839" s="631" t="s">
        <v>1708</v>
      </c>
      <c r="J839" s="629"/>
      <c r="K839" s="648">
        <f t="shared" si="30"/>
        <v>9</v>
      </c>
      <c r="L839" s="649">
        <f t="shared" si="31"/>
        <v>25</v>
      </c>
      <c r="M839" s="903"/>
      <c r="N839" s="622" t="str">
        <f t="shared" si="32"/>
        <v/>
      </c>
    </row>
    <row r="840" spans="9:14">
      <c r="I840" s="631" t="s">
        <v>1709</v>
      </c>
      <c r="J840" s="629"/>
      <c r="K840" s="648">
        <f t="shared" si="30"/>
        <v>8</v>
      </c>
      <c r="L840" s="649">
        <f t="shared" si="31"/>
        <v>25</v>
      </c>
      <c r="M840" s="903"/>
      <c r="N840" s="622" t="str">
        <f t="shared" si="32"/>
        <v/>
      </c>
    </row>
    <row r="841" spans="9:14">
      <c r="I841" s="631" t="s">
        <v>1710</v>
      </c>
      <c r="J841" s="629"/>
      <c r="K841" s="648">
        <f t="shared" si="30"/>
        <v>7</v>
      </c>
      <c r="L841" s="649">
        <f t="shared" si="31"/>
        <v>25</v>
      </c>
      <c r="M841" s="903"/>
      <c r="N841" s="622" t="str">
        <f t="shared" si="32"/>
        <v/>
      </c>
    </row>
    <row r="842" spans="9:14">
      <c r="I842" s="631" t="s">
        <v>1711</v>
      </c>
      <c r="J842" s="629"/>
      <c r="K842" s="648">
        <f t="shared" si="30"/>
        <v>6</v>
      </c>
      <c r="L842" s="649">
        <f t="shared" si="31"/>
        <v>25</v>
      </c>
      <c r="M842" s="903"/>
      <c r="N842" s="622" t="str">
        <f t="shared" si="32"/>
        <v/>
      </c>
    </row>
    <row r="843" spans="9:14">
      <c r="I843" s="631" t="s">
        <v>1712</v>
      </c>
      <c r="J843" s="629"/>
      <c r="K843" s="648">
        <f t="shared" si="30"/>
        <v>5</v>
      </c>
      <c r="L843" s="649">
        <f t="shared" si="31"/>
        <v>25</v>
      </c>
      <c r="M843" s="903"/>
      <c r="N843" s="622" t="str">
        <f t="shared" si="32"/>
        <v/>
      </c>
    </row>
    <row r="844" spans="9:14">
      <c r="I844" s="631" t="s">
        <v>1713</v>
      </c>
      <c r="J844" s="629"/>
      <c r="K844" s="648">
        <f t="shared" si="30"/>
        <v>4</v>
      </c>
      <c r="L844" s="649">
        <f t="shared" si="31"/>
        <v>25</v>
      </c>
      <c r="M844" s="903"/>
      <c r="N844" s="622" t="str">
        <f t="shared" si="32"/>
        <v/>
      </c>
    </row>
    <row r="845" spans="9:14">
      <c r="I845" s="631" t="s">
        <v>1714</v>
      </c>
      <c r="J845" s="629"/>
      <c r="K845" s="648">
        <f t="shared" si="30"/>
        <v>3</v>
      </c>
      <c r="L845" s="649">
        <f t="shared" si="31"/>
        <v>25</v>
      </c>
      <c r="M845" s="903"/>
      <c r="N845" s="622" t="str">
        <f t="shared" si="32"/>
        <v/>
      </c>
    </row>
    <row r="846" spans="9:14">
      <c r="I846" s="631" t="s">
        <v>1715</v>
      </c>
      <c r="J846" s="629"/>
      <c r="K846" s="648">
        <f t="shared" si="30"/>
        <v>2</v>
      </c>
      <c r="L846" s="649">
        <f t="shared" si="31"/>
        <v>25</v>
      </c>
      <c r="M846" s="903"/>
      <c r="N846" s="622" t="str">
        <f t="shared" si="32"/>
        <v/>
      </c>
    </row>
    <row r="847" spans="9:14">
      <c r="I847" s="631" t="s">
        <v>1716</v>
      </c>
      <c r="J847" s="629"/>
      <c r="K847" s="648">
        <f t="shared" si="30"/>
        <v>1</v>
      </c>
      <c r="L847" s="649">
        <f t="shared" si="31"/>
        <v>25</v>
      </c>
      <c r="M847" s="903"/>
      <c r="N847" s="622" t="str">
        <f t="shared" si="32"/>
        <v/>
      </c>
    </row>
    <row r="848" spans="9:14">
      <c r="I848" s="631" t="s">
        <v>1717</v>
      </c>
      <c r="J848" s="629"/>
      <c r="K848" s="648">
        <f t="shared" si="30"/>
        <v>28</v>
      </c>
      <c r="L848" s="649">
        <f t="shared" si="31"/>
        <v>26</v>
      </c>
      <c r="M848" s="903"/>
      <c r="N848" s="622" t="str">
        <f t="shared" si="32"/>
        <v/>
      </c>
    </row>
    <row r="849" spans="9:14">
      <c r="I849" s="631" t="s">
        <v>1718</v>
      </c>
      <c r="J849" s="629"/>
      <c r="K849" s="648">
        <f t="shared" si="30"/>
        <v>27</v>
      </c>
      <c r="L849" s="649">
        <f t="shared" si="31"/>
        <v>26</v>
      </c>
      <c r="M849" s="903"/>
      <c r="N849" s="622" t="str">
        <f t="shared" si="32"/>
        <v/>
      </c>
    </row>
    <row r="850" spans="9:14">
      <c r="I850" s="631" t="s">
        <v>1719</v>
      </c>
      <c r="J850" s="629"/>
      <c r="K850" s="648">
        <f t="shared" si="30"/>
        <v>26</v>
      </c>
      <c r="L850" s="649">
        <f t="shared" si="31"/>
        <v>26</v>
      </c>
      <c r="M850" s="903"/>
      <c r="N850" s="622" t="str">
        <f t="shared" si="32"/>
        <v/>
      </c>
    </row>
    <row r="851" spans="9:14">
      <c r="I851" s="631" t="s">
        <v>1720</v>
      </c>
      <c r="J851" s="629"/>
      <c r="K851" s="648">
        <f t="shared" si="30"/>
        <v>25</v>
      </c>
      <c r="L851" s="649">
        <f t="shared" si="31"/>
        <v>26</v>
      </c>
      <c r="M851" s="903"/>
      <c r="N851" s="622" t="str">
        <f t="shared" si="32"/>
        <v/>
      </c>
    </row>
    <row r="852" spans="9:14">
      <c r="I852" s="631" t="s">
        <v>1721</v>
      </c>
      <c r="J852" s="629"/>
      <c r="K852" s="648">
        <f t="shared" si="30"/>
        <v>24</v>
      </c>
      <c r="L852" s="649">
        <f t="shared" si="31"/>
        <v>26</v>
      </c>
      <c r="M852" s="903"/>
      <c r="N852" s="622" t="str">
        <f t="shared" si="32"/>
        <v/>
      </c>
    </row>
    <row r="853" spans="9:14">
      <c r="I853" s="631" t="s">
        <v>1722</v>
      </c>
      <c r="J853" s="629"/>
      <c r="K853" s="648">
        <f t="shared" ref="K853:K916" si="33">1+(RIGHT(I853,LEN(I853)-FIND(",",I853))-10)/20</f>
        <v>23</v>
      </c>
      <c r="L853" s="649">
        <f t="shared" ref="L853:L916" si="34">1+((LEFT(I853,FIND(",",I853)-1)*-1)-10)/20</f>
        <v>26</v>
      </c>
      <c r="M853" s="903"/>
      <c r="N853" s="622" t="str">
        <f t="shared" ref="N853:N916" si="35">IF(AND(K853&lt;=$I$144,K853&gt;=$I$145,L853&gt;=$M$143,L853&lt;=$N$143),MIN(ROUND(M853,2),633),"")</f>
        <v/>
      </c>
    </row>
    <row r="854" spans="9:14">
      <c r="I854" s="631" t="s">
        <v>1723</v>
      </c>
      <c r="J854" s="629"/>
      <c r="K854" s="648">
        <f t="shared" si="33"/>
        <v>22</v>
      </c>
      <c r="L854" s="649">
        <f t="shared" si="34"/>
        <v>26</v>
      </c>
      <c r="M854" s="903"/>
      <c r="N854" s="622" t="str">
        <f t="shared" si="35"/>
        <v/>
      </c>
    </row>
    <row r="855" spans="9:14">
      <c r="I855" s="631" t="s">
        <v>1724</v>
      </c>
      <c r="J855" s="629"/>
      <c r="K855" s="648">
        <f t="shared" si="33"/>
        <v>21</v>
      </c>
      <c r="L855" s="649">
        <f t="shared" si="34"/>
        <v>26</v>
      </c>
      <c r="M855" s="903"/>
      <c r="N855" s="622" t="str">
        <f t="shared" si="35"/>
        <v/>
      </c>
    </row>
    <row r="856" spans="9:14">
      <c r="I856" s="631" t="s">
        <v>1725</v>
      </c>
      <c r="J856" s="629"/>
      <c r="K856" s="648">
        <f t="shared" si="33"/>
        <v>20</v>
      </c>
      <c r="L856" s="649">
        <f t="shared" si="34"/>
        <v>26</v>
      </c>
      <c r="M856" s="903"/>
      <c r="N856" s="622" t="str">
        <f t="shared" si="35"/>
        <v/>
      </c>
    </row>
    <row r="857" spans="9:14">
      <c r="I857" s="631" t="s">
        <v>1726</v>
      </c>
      <c r="J857" s="629"/>
      <c r="K857" s="648">
        <f t="shared" si="33"/>
        <v>19</v>
      </c>
      <c r="L857" s="649">
        <f t="shared" si="34"/>
        <v>26</v>
      </c>
      <c r="M857" s="903"/>
      <c r="N857" s="622" t="str">
        <f t="shared" si="35"/>
        <v/>
      </c>
    </row>
    <row r="858" spans="9:14">
      <c r="I858" s="631" t="s">
        <v>1727</v>
      </c>
      <c r="J858" s="629"/>
      <c r="K858" s="648">
        <f t="shared" si="33"/>
        <v>18</v>
      </c>
      <c r="L858" s="649">
        <f t="shared" si="34"/>
        <v>26</v>
      </c>
      <c r="M858" s="903"/>
      <c r="N858" s="622" t="str">
        <f t="shared" si="35"/>
        <v/>
      </c>
    </row>
    <row r="859" spans="9:14">
      <c r="I859" s="631" t="s">
        <v>1728</v>
      </c>
      <c r="J859" s="629"/>
      <c r="K859" s="648">
        <f t="shared" si="33"/>
        <v>17</v>
      </c>
      <c r="L859" s="649">
        <f t="shared" si="34"/>
        <v>26</v>
      </c>
      <c r="M859" s="903"/>
      <c r="N859" s="622" t="str">
        <f t="shared" si="35"/>
        <v/>
      </c>
    </row>
    <row r="860" spans="9:14">
      <c r="I860" s="631" t="s">
        <v>1729</v>
      </c>
      <c r="J860" s="629"/>
      <c r="K860" s="648">
        <f t="shared" si="33"/>
        <v>16</v>
      </c>
      <c r="L860" s="649">
        <f t="shared" si="34"/>
        <v>26</v>
      </c>
      <c r="M860" s="903"/>
      <c r="N860" s="622" t="str">
        <f t="shared" si="35"/>
        <v/>
      </c>
    </row>
    <row r="861" spans="9:14">
      <c r="I861" s="631" t="s">
        <v>1730</v>
      </c>
      <c r="J861" s="629"/>
      <c r="K861" s="648">
        <f t="shared" si="33"/>
        <v>15</v>
      </c>
      <c r="L861" s="649">
        <f t="shared" si="34"/>
        <v>26</v>
      </c>
      <c r="M861" s="903"/>
      <c r="N861" s="622" t="str">
        <f t="shared" si="35"/>
        <v/>
      </c>
    </row>
    <row r="862" spans="9:14">
      <c r="I862" s="631" t="s">
        <v>1731</v>
      </c>
      <c r="J862" s="629"/>
      <c r="K862" s="648">
        <f t="shared" si="33"/>
        <v>14</v>
      </c>
      <c r="L862" s="649">
        <f t="shared" si="34"/>
        <v>26</v>
      </c>
      <c r="M862" s="903"/>
      <c r="N862" s="622" t="str">
        <f t="shared" si="35"/>
        <v/>
      </c>
    </row>
    <row r="863" spans="9:14">
      <c r="I863" s="631" t="s">
        <v>1732</v>
      </c>
      <c r="J863" s="629"/>
      <c r="K863" s="648">
        <f t="shared" si="33"/>
        <v>13</v>
      </c>
      <c r="L863" s="649">
        <f t="shared" si="34"/>
        <v>26</v>
      </c>
      <c r="M863" s="903"/>
      <c r="N863" s="622" t="str">
        <f t="shared" si="35"/>
        <v/>
      </c>
    </row>
    <row r="864" spans="9:14">
      <c r="I864" s="631" t="s">
        <v>1733</v>
      </c>
      <c r="J864" s="629"/>
      <c r="K864" s="648">
        <f t="shared" si="33"/>
        <v>12</v>
      </c>
      <c r="L864" s="649">
        <f t="shared" si="34"/>
        <v>26</v>
      </c>
      <c r="M864" s="903"/>
      <c r="N864" s="622" t="str">
        <f t="shared" si="35"/>
        <v/>
      </c>
    </row>
    <row r="865" spans="9:14">
      <c r="I865" s="631" t="s">
        <v>1734</v>
      </c>
      <c r="J865" s="629"/>
      <c r="K865" s="648">
        <f t="shared" si="33"/>
        <v>11</v>
      </c>
      <c r="L865" s="649">
        <f t="shared" si="34"/>
        <v>26</v>
      </c>
      <c r="M865" s="903"/>
      <c r="N865" s="622" t="str">
        <f t="shared" si="35"/>
        <v/>
      </c>
    </row>
    <row r="866" spans="9:14">
      <c r="I866" s="631" t="s">
        <v>1735</v>
      </c>
      <c r="J866" s="629"/>
      <c r="K866" s="648">
        <f t="shared" si="33"/>
        <v>10</v>
      </c>
      <c r="L866" s="649">
        <f t="shared" si="34"/>
        <v>26</v>
      </c>
      <c r="M866" s="903"/>
      <c r="N866" s="622" t="str">
        <f t="shared" si="35"/>
        <v/>
      </c>
    </row>
    <row r="867" spans="9:14">
      <c r="I867" s="631" t="s">
        <v>1736</v>
      </c>
      <c r="J867" s="629"/>
      <c r="K867" s="648">
        <f t="shared" si="33"/>
        <v>9</v>
      </c>
      <c r="L867" s="649">
        <f t="shared" si="34"/>
        <v>26</v>
      </c>
      <c r="M867" s="903"/>
      <c r="N867" s="622" t="str">
        <f t="shared" si="35"/>
        <v/>
      </c>
    </row>
    <row r="868" spans="9:14">
      <c r="I868" s="631" t="s">
        <v>1737</v>
      </c>
      <c r="J868" s="629"/>
      <c r="K868" s="648">
        <f t="shared" si="33"/>
        <v>8</v>
      </c>
      <c r="L868" s="649">
        <f t="shared" si="34"/>
        <v>26</v>
      </c>
      <c r="M868" s="903"/>
      <c r="N868" s="622" t="str">
        <f t="shared" si="35"/>
        <v/>
      </c>
    </row>
    <row r="869" spans="9:14">
      <c r="I869" s="631" t="s">
        <v>1738</v>
      </c>
      <c r="J869" s="629"/>
      <c r="K869" s="648">
        <f t="shared" si="33"/>
        <v>7</v>
      </c>
      <c r="L869" s="649">
        <f t="shared" si="34"/>
        <v>26</v>
      </c>
      <c r="M869" s="903"/>
      <c r="N869" s="622" t="str">
        <f t="shared" si="35"/>
        <v/>
      </c>
    </row>
    <row r="870" spans="9:14">
      <c r="I870" s="631" t="s">
        <v>1739</v>
      </c>
      <c r="J870" s="629"/>
      <c r="K870" s="648">
        <f t="shared" si="33"/>
        <v>6</v>
      </c>
      <c r="L870" s="649">
        <f t="shared" si="34"/>
        <v>26</v>
      </c>
      <c r="M870" s="903"/>
      <c r="N870" s="622" t="str">
        <f t="shared" si="35"/>
        <v/>
      </c>
    </row>
    <row r="871" spans="9:14">
      <c r="I871" s="631" t="s">
        <v>1740</v>
      </c>
      <c r="J871" s="629"/>
      <c r="K871" s="648">
        <f t="shared" si="33"/>
        <v>5</v>
      </c>
      <c r="L871" s="649">
        <f t="shared" si="34"/>
        <v>26</v>
      </c>
      <c r="M871" s="903"/>
      <c r="N871" s="622" t="str">
        <f t="shared" si="35"/>
        <v/>
      </c>
    </row>
    <row r="872" spans="9:14">
      <c r="I872" s="631" t="s">
        <v>1741</v>
      </c>
      <c r="J872" s="629"/>
      <c r="K872" s="648">
        <f t="shared" si="33"/>
        <v>4</v>
      </c>
      <c r="L872" s="649">
        <f t="shared" si="34"/>
        <v>26</v>
      </c>
      <c r="M872" s="903"/>
      <c r="N872" s="622" t="str">
        <f t="shared" si="35"/>
        <v/>
      </c>
    </row>
    <row r="873" spans="9:14">
      <c r="I873" s="631" t="s">
        <v>1742</v>
      </c>
      <c r="J873" s="629"/>
      <c r="K873" s="648">
        <f t="shared" si="33"/>
        <v>3</v>
      </c>
      <c r="L873" s="649">
        <f t="shared" si="34"/>
        <v>26</v>
      </c>
      <c r="M873" s="903"/>
      <c r="N873" s="622" t="str">
        <f t="shared" si="35"/>
        <v/>
      </c>
    </row>
    <row r="874" spans="9:14">
      <c r="I874" s="631" t="s">
        <v>1743</v>
      </c>
      <c r="J874" s="629"/>
      <c r="K874" s="648">
        <f t="shared" si="33"/>
        <v>2</v>
      </c>
      <c r="L874" s="649">
        <f t="shared" si="34"/>
        <v>26</v>
      </c>
      <c r="M874" s="903"/>
      <c r="N874" s="622" t="str">
        <f t="shared" si="35"/>
        <v/>
      </c>
    </row>
    <row r="875" spans="9:14">
      <c r="I875" s="631" t="s">
        <v>1744</v>
      </c>
      <c r="J875" s="629"/>
      <c r="K875" s="648">
        <f t="shared" si="33"/>
        <v>1</v>
      </c>
      <c r="L875" s="649">
        <f t="shared" si="34"/>
        <v>26</v>
      </c>
      <c r="M875" s="903"/>
      <c r="N875" s="622" t="str">
        <f t="shared" si="35"/>
        <v/>
      </c>
    </row>
    <row r="876" spans="9:14">
      <c r="I876" s="631" t="s">
        <v>1745</v>
      </c>
      <c r="J876" s="629"/>
      <c r="K876" s="648">
        <f t="shared" si="33"/>
        <v>28</v>
      </c>
      <c r="L876" s="649">
        <f t="shared" si="34"/>
        <v>27</v>
      </c>
      <c r="M876" s="903"/>
      <c r="N876" s="622" t="str">
        <f t="shared" si="35"/>
        <v/>
      </c>
    </row>
    <row r="877" spans="9:14">
      <c r="I877" s="631" t="s">
        <v>1746</v>
      </c>
      <c r="J877" s="629"/>
      <c r="K877" s="648">
        <f t="shared" si="33"/>
        <v>27</v>
      </c>
      <c r="L877" s="649">
        <f t="shared" si="34"/>
        <v>27</v>
      </c>
      <c r="M877" s="903"/>
      <c r="N877" s="622" t="str">
        <f t="shared" si="35"/>
        <v/>
      </c>
    </row>
    <row r="878" spans="9:14">
      <c r="I878" s="631" t="s">
        <v>1747</v>
      </c>
      <c r="J878" s="629"/>
      <c r="K878" s="648">
        <f t="shared" si="33"/>
        <v>26</v>
      </c>
      <c r="L878" s="649">
        <f t="shared" si="34"/>
        <v>27</v>
      </c>
      <c r="M878" s="903"/>
      <c r="N878" s="622" t="str">
        <f t="shared" si="35"/>
        <v/>
      </c>
    </row>
    <row r="879" spans="9:14">
      <c r="I879" s="631" t="s">
        <v>1748</v>
      </c>
      <c r="J879" s="629"/>
      <c r="K879" s="648">
        <f t="shared" si="33"/>
        <v>25</v>
      </c>
      <c r="L879" s="649">
        <f t="shared" si="34"/>
        <v>27</v>
      </c>
      <c r="M879" s="903"/>
      <c r="N879" s="622" t="str">
        <f t="shared" si="35"/>
        <v/>
      </c>
    </row>
    <row r="880" spans="9:14">
      <c r="I880" s="631" t="s">
        <v>1749</v>
      </c>
      <c r="J880" s="629"/>
      <c r="K880" s="648">
        <f t="shared" si="33"/>
        <v>24</v>
      </c>
      <c r="L880" s="649">
        <f t="shared" si="34"/>
        <v>27</v>
      </c>
      <c r="M880" s="903"/>
      <c r="N880" s="622" t="str">
        <f t="shared" si="35"/>
        <v/>
      </c>
    </row>
    <row r="881" spans="9:14">
      <c r="I881" s="631" t="s">
        <v>1750</v>
      </c>
      <c r="J881" s="629"/>
      <c r="K881" s="648">
        <f t="shared" si="33"/>
        <v>23</v>
      </c>
      <c r="L881" s="649">
        <f t="shared" si="34"/>
        <v>27</v>
      </c>
      <c r="M881" s="903"/>
      <c r="N881" s="622" t="str">
        <f t="shared" si="35"/>
        <v/>
      </c>
    </row>
    <row r="882" spans="9:14">
      <c r="I882" s="631" t="s">
        <v>1751</v>
      </c>
      <c r="J882" s="629"/>
      <c r="K882" s="648">
        <f t="shared" si="33"/>
        <v>22</v>
      </c>
      <c r="L882" s="649">
        <f t="shared" si="34"/>
        <v>27</v>
      </c>
      <c r="M882" s="903"/>
      <c r="N882" s="622" t="str">
        <f t="shared" si="35"/>
        <v/>
      </c>
    </row>
    <row r="883" spans="9:14">
      <c r="I883" s="631" t="s">
        <v>1752</v>
      </c>
      <c r="J883" s="629"/>
      <c r="K883" s="648">
        <f t="shared" si="33"/>
        <v>21</v>
      </c>
      <c r="L883" s="649">
        <f t="shared" si="34"/>
        <v>27</v>
      </c>
      <c r="M883" s="903"/>
      <c r="N883" s="622" t="str">
        <f t="shared" si="35"/>
        <v/>
      </c>
    </row>
    <row r="884" spans="9:14">
      <c r="I884" s="631" t="s">
        <v>1753</v>
      </c>
      <c r="J884" s="629"/>
      <c r="K884" s="648">
        <f t="shared" si="33"/>
        <v>20</v>
      </c>
      <c r="L884" s="649">
        <f t="shared" si="34"/>
        <v>27</v>
      </c>
      <c r="M884" s="903"/>
      <c r="N884" s="622" t="str">
        <f t="shared" si="35"/>
        <v/>
      </c>
    </row>
    <row r="885" spans="9:14">
      <c r="I885" s="631" t="s">
        <v>1754</v>
      </c>
      <c r="J885" s="629"/>
      <c r="K885" s="648">
        <f t="shared" si="33"/>
        <v>19</v>
      </c>
      <c r="L885" s="649">
        <f t="shared" si="34"/>
        <v>27</v>
      </c>
      <c r="M885" s="903"/>
      <c r="N885" s="622" t="str">
        <f t="shared" si="35"/>
        <v/>
      </c>
    </row>
    <row r="886" spans="9:14">
      <c r="I886" s="631" t="s">
        <v>1755</v>
      </c>
      <c r="J886" s="629"/>
      <c r="K886" s="648">
        <f t="shared" si="33"/>
        <v>18</v>
      </c>
      <c r="L886" s="649">
        <f t="shared" si="34"/>
        <v>27</v>
      </c>
      <c r="M886" s="903"/>
      <c r="N886" s="622" t="str">
        <f t="shared" si="35"/>
        <v/>
      </c>
    </row>
    <row r="887" spans="9:14">
      <c r="I887" s="631" t="s">
        <v>1756</v>
      </c>
      <c r="J887" s="629"/>
      <c r="K887" s="648">
        <f t="shared" si="33"/>
        <v>17</v>
      </c>
      <c r="L887" s="649">
        <f t="shared" si="34"/>
        <v>27</v>
      </c>
      <c r="M887" s="903"/>
      <c r="N887" s="622" t="str">
        <f t="shared" si="35"/>
        <v/>
      </c>
    </row>
    <row r="888" spans="9:14">
      <c r="I888" s="631" t="s">
        <v>1757</v>
      </c>
      <c r="J888" s="629"/>
      <c r="K888" s="648">
        <f t="shared" si="33"/>
        <v>16</v>
      </c>
      <c r="L888" s="649">
        <f t="shared" si="34"/>
        <v>27</v>
      </c>
      <c r="M888" s="903"/>
      <c r="N888" s="622" t="str">
        <f t="shared" si="35"/>
        <v/>
      </c>
    </row>
    <row r="889" spans="9:14">
      <c r="I889" s="631" t="s">
        <v>1758</v>
      </c>
      <c r="J889" s="629"/>
      <c r="K889" s="648">
        <f t="shared" si="33"/>
        <v>15</v>
      </c>
      <c r="L889" s="649">
        <f t="shared" si="34"/>
        <v>27</v>
      </c>
      <c r="M889" s="903"/>
      <c r="N889" s="622" t="str">
        <f t="shared" si="35"/>
        <v/>
      </c>
    </row>
    <row r="890" spans="9:14">
      <c r="I890" s="631" t="s">
        <v>1759</v>
      </c>
      <c r="J890" s="629"/>
      <c r="K890" s="648">
        <f t="shared" si="33"/>
        <v>14</v>
      </c>
      <c r="L890" s="649">
        <f t="shared" si="34"/>
        <v>27</v>
      </c>
      <c r="M890" s="903"/>
      <c r="N890" s="622" t="str">
        <f t="shared" si="35"/>
        <v/>
      </c>
    </row>
    <row r="891" spans="9:14">
      <c r="I891" s="631" t="s">
        <v>1760</v>
      </c>
      <c r="J891" s="629"/>
      <c r="K891" s="648">
        <f t="shared" si="33"/>
        <v>13</v>
      </c>
      <c r="L891" s="649">
        <f t="shared" si="34"/>
        <v>27</v>
      </c>
      <c r="M891" s="903"/>
      <c r="N891" s="622" t="str">
        <f t="shared" si="35"/>
        <v/>
      </c>
    </row>
    <row r="892" spans="9:14">
      <c r="I892" s="631" t="s">
        <v>1761</v>
      </c>
      <c r="J892" s="629"/>
      <c r="K892" s="648">
        <f t="shared" si="33"/>
        <v>12</v>
      </c>
      <c r="L892" s="649">
        <f t="shared" si="34"/>
        <v>27</v>
      </c>
      <c r="M892" s="903"/>
      <c r="N892" s="622" t="str">
        <f t="shared" si="35"/>
        <v/>
      </c>
    </row>
    <row r="893" spans="9:14">
      <c r="I893" s="631" t="s">
        <v>1762</v>
      </c>
      <c r="J893" s="629"/>
      <c r="K893" s="648">
        <f t="shared" si="33"/>
        <v>11</v>
      </c>
      <c r="L893" s="649">
        <f t="shared" si="34"/>
        <v>27</v>
      </c>
      <c r="M893" s="903"/>
      <c r="N893" s="622" t="str">
        <f t="shared" si="35"/>
        <v/>
      </c>
    </row>
    <row r="894" spans="9:14">
      <c r="I894" s="631" t="s">
        <v>1763</v>
      </c>
      <c r="J894" s="629"/>
      <c r="K894" s="648">
        <f t="shared" si="33"/>
        <v>10</v>
      </c>
      <c r="L894" s="649">
        <f t="shared" si="34"/>
        <v>27</v>
      </c>
      <c r="M894" s="903"/>
      <c r="N894" s="622" t="str">
        <f t="shared" si="35"/>
        <v/>
      </c>
    </row>
    <row r="895" spans="9:14">
      <c r="I895" s="631" t="s">
        <v>1764</v>
      </c>
      <c r="J895" s="629"/>
      <c r="K895" s="648">
        <f t="shared" si="33"/>
        <v>9</v>
      </c>
      <c r="L895" s="649">
        <f t="shared" si="34"/>
        <v>27</v>
      </c>
      <c r="M895" s="903"/>
      <c r="N895" s="622" t="str">
        <f t="shared" si="35"/>
        <v/>
      </c>
    </row>
    <row r="896" spans="9:14">
      <c r="I896" s="631" t="s">
        <v>1765</v>
      </c>
      <c r="J896" s="629"/>
      <c r="K896" s="648">
        <f t="shared" si="33"/>
        <v>8</v>
      </c>
      <c r="L896" s="649">
        <f t="shared" si="34"/>
        <v>27</v>
      </c>
      <c r="M896" s="903"/>
      <c r="N896" s="622" t="str">
        <f t="shared" si="35"/>
        <v/>
      </c>
    </row>
    <row r="897" spans="9:14">
      <c r="I897" s="631" t="s">
        <v>1766</v>
      </c>
      <c r="J897" s="629"/>
      <c r="K897" s="648">
        <f t="shared" si="33"/>
        <v>7</v>
      </c>
      <c r="L897" s="649">
        <f t="shared" si="34"/>
        <v>27</v>
      </c>
      <c r="M897" s="903"/>
      <c r="N897" s="622" t="str">
        <f t="shared" si="35"/>
        <v/>
      </c>
    </row>
    <row r="898" spans="9:14">
      <c r="I898" s="631" t="s">
        <v>1767</v>
      </c>
      <c r="J898" s="629"/>
      <c r="K898" s="648">
        <f t="shared" si="33"/>
        <v>6</v>
      </c>
      <c r="L898" s="649">
        <f t="shared" si="34"/>
        <v>27</v>
      </c>
      <c r="M898" s="903"/>
      <c r="N898" s="622" t="str">
        <f t="shared" si="35"/>
        <v/>
      </c>
    </row>
    <row r="899" spans="9:14">
      <c r="I899" s="631" t="s">
        <v>1768</v>
      </c>
      <c r="J899" s="629"/>
      <c r="K899" s="648">
        <f t="shared" si="33"/>
        <v>5</v>
      </c>
      <c r="L899" s="649">
        <f t="shared" si="34"/>
        <v>27</v>
      </c>
      <c r="M899" s="903"/>
      <c r="N899" s="622" t="str">
        <f t="shared" si="35"/>
        <v/>
      </c>
    </row>
    <row r="900" spans="9:14">
      <c r="I900" s="631" t="s">
        <v>1769</v>
      </c>
      <c r="J900" s="629"/>
      <c r="K900" s="648">
        <f t="shared" si="33"/>
        <v>4</v>
      </c>
      <c r="L900" s="649">
        <f t="shared" si="34"/>
        <v>27</v>
      </c>
      <c r="M900" s="903"/>
      <c r="N900" s="622" t="str">
        <f t="shared" si="35"/>
        <v/>
      </c>
    </row>
    <row r="901" spans="9:14">
      <c r="I901" s="631" t="s">
        <v>1770</v>
      </c>
      <c r="J901" s="629"/>
      <c r="K901" s="648">
        <f t="shared" si="33"/>
        <v>3</v>
      </c>
      <c r="L901" s="649">
        <f t="shared" si="34"/>
        <v>27</v>
      </c>
      <c r="M901" s="903"/>
      <c r="N901" s="622" t="str">
        <f t="shared" si="35"/>
        <v/>
      </c>
    </row>
    <row r="902" spans="9:14">
      <c r="I902" s="631" t="s">
        <v>1771</v>
      </c>
      <c r="J902" s="629"/>
      <c r="K902" s="648">
        <f t="shared" si="33"/>
        <v>2</v>
      </c>
      <c r="L902" s="649">
        <f t="shared" si="34"/>
        <v>27</v>
      </c>
      <c r="M902" s="903"/>
      <c r="N902" s="622" t="str">
        <f t="shared" si="35"/>
        <v/>
      </c>
    </row>
    <row r="903" spans="9:14">
      <c r="I903" s="631" t="s">
        <v>1772</v>
      </c>
      <c r="J903" s="629"/>
      <c r="K903" s="648">
        <f t="shared" si="33"/>
        <v>1</v>
      </c>
      <c r="L903" s="649">
        <f t="shared" si="34"/>
        <v>27</v>
      </c>
      <c r="M903" s="903"/>
      <c r="N903" s="622" t="str">
        <f t="shared" si="35"/>
        <v/>
      </c>
    </row>
    <row r="904" spans="9:14">
      <c r="I904" s="631" t="s">
        <v>1773</v>
      </c>
      <c r="J904" s="629"/>
      <c r="K904" s="648">
        <f t="shared" si="33"/>
        <v>28</v>
      </c>
      <c r="L904" s="649">
        <f t="shared" si="34"/>
        <v>28</v>
      </c>
      <c r="M904" s="903"/>
      <c r="N904" s="622" t="str">
        <f t="shared" si="35"/>
        <v/>
      </c>
    </row>
    <row r="905" spans="9:14">
      <c r="I905" s="631" t="s">
        <v>1774</v>
      </c>
      <c r="J905" s="629"/>
      <c r="K905" s="648">
        <f t="shared" si="33"/>
        <v>27</v>
      </c>
      <c r="L905" s="649">
        <f t="shared" si="34"/>
        <v>28</v>
      </c>
      <c r="M905" s="903"/>
      <c r="N905" s="622" t="str">
        <f t="shared" si="35"/>
        <v/>
      </c>
    </row>
    <row r="906" spans="9:14">
      <c r="I906" s="631" t="s">
        <v>1775</v>
      </c>
      <c r="J906" s="629"/>
      <c r="K906" s="648">
        <f t="shared" si="33"/>
        <v>26</v>
      </c>
      <c r="L906" s="649">
        <f t="shared" si="34"/>
        <v>28</v>
      </c>
      <c r="M906" s="903"/>
      <c r="N906" s="622" t="str">
        <f t="shared" si="35"/>
        <v/>
      </c>
    </row>
    <row r="907" spans="9:14">
      <c r="I907" s="631" t="s">
        <v>1776</v>
      </c>
      <c r="J907" s="629"/>
      <c r="K907" s="648">
        <f t="shared" si="33"/>
        <v>25</v>
      </c>
      <c r="L907" s="649">
        <f t="shared" si="34"/>
        <v>28</v>
      </c>
      <c r="M907" s="903"/>
      <c r="N907" s="622" t="str">
        <f t="shared" si="35"/>
        <v/>
      </c>
    </row>
    <row r="908" spans="9:14">
      <c r="I908" s="631" t="s">
        <v>1777</v>
      </c>
      <c r="J908" s="629"/>
      <c r="K908" s="648">
        <f t="shared" si="33"/>
        <v>24</v>
      </c>
      <c r="L908" s="649">
        <f t="shared" si="34"/>
        <v>28</v>
      </c>
      <c r="M908" s="903"/>
      <c r="N908" s="622" t="str">
        <f t="shared" si="35"/>
        <v/>
      </c>
    </row>
    <row r="909" spans="9:14">
      <c r="I909" s="631" t="s">
        <v>1778</v>
      </c>
      <c r="J909" s="629"/>
      <c r="K909" s="648">
        <f t="shared" si="33"/>
        <v>23</v>
      </c>
      <c r="L909" s="649">
        <f t="shared" si="34"/>
        <v>28</v>
      </c>
      <c r="M909" s="903"/>
      <c r="N909" s="622" t="str">
        <f t="shared" si="35"/>
        <v/>
      </c>
    </row>
    <row r="910" spans="9:14">
      <c r="I910" s="631" t="s">
        <v>1779</v>
      </c>
      <c r="J910" s="629"/>
      <c r="K910" s="648">
        <f t="shared" si="33"/>
        <v>22</v>
      </c>
      <c r="L910" s="649">
        <f t="shared" si="34"/>
        <v>28</v>
      </c>
      <c r="M910" s="903"/>
      <c r="N910" s="622" t="str">
        <f t="shared" si="35"/>
        <v/>
      </c>
    </row>
    <row r="911" spans="9:14">
      <c r="I911" s="631" t="s">
        <v>1780</v>
      </c>
      <c r="J911" s="629"/>
      <c r="K911" s="648">
        <f t="shared" si="33"/>
        <v>21</v>
      </c>
      <c r="L911" s="649">
        <f t="shared" si="34"/>
        <v>28</v>
      </c>
      <c r="M911" s="903"/>
      <c r="N911" s="622" t="str">
        <f t="shared" si="35"/>
        <v/>
      </c>
    </row>
    <row r="912" spans="9:14">
      <c r="I912" s="631" t="s">
        <v>1781</v>
      </c>
      <c r="J912" s="629"/>
      <c r="K912" s="648">
        <f t="shared" si="33"/>
        <v>20</v>
      </c>
      <c r="L912" s="649">
        <f t="shared" si="34"/>
        <v>28</v>
      </c>
      <c r="M912" s="903"/>
      <c r="N912" s="622" t="str">
        <f t="shared" si="35"/>
        <v/>
      </c>
    </row>
    <row r="913" spans="9:14">
      <c r="I913" s="631" t="s">
        <v>1782</v>
      </c>
      <c r="J913" s="629"/>
      <c r="K913" s="648">
        <f t="shared" si="33"/>
        <v>19</v>
      </c>
      <c r="L913" s="649">
        <f t="shared" si="34"/>
        <v>28</v>
      </c>
      <c r="M913" s="903"/>
      <c r="N913" s="622" t="str">
        <f t="shared" si="35"/>
        <v/>
      </c>
    </row>
    <row r="914" spans="9:14">
      <c r="I914" s="631" t="s">
        <v>1783</v>
      </c>
      <c r="J914" s="629"/>
      <c r="K914" s="648">
        <f t="shared" si="33"/>
        <v>18</v>
      </c>
      <c r="L914" s="649">
        <f t="shared" si="34"/>
        <v>28</v>
      </c>
      <c r="M914" s="903"/>
      <c r="N914" s="622" t="str">
        <f t="shared" si="35"/>
        <v/>
      </c>
    </row>
    <row r="915" spans="9:14">
      <c r="I915" s="631" t="s">
        <v>1784</v>
      </c>
      <c r="J915" s="629"/>
      <c r="K915" s="648">
        <f t="shared" si="33"/>
        <v>17</v>
      </c>
      <c r="L915" s="649">
        <f t="shared" si="34"/>
        <v>28</v>
      </c>
      <c r="M915" s="903"/>
      <c r="N915" s="622" t="str">
        <f t="shared" si="35"/>
        <v/>
      </c>
    </row>
    <row r="916" spans="9:14">
      <c r="I916" s="631" t="s">
        <v>1785</v>
      </c>
      <c r="J916" s="629"/>
      <c r="K916" s="648">
        <f t="shared" si="33"/>
        <v>16</v>
      </c>
      <c r="L916" s="649">
        <f t="shared" si="34"/>
        <v>28</v>
      </c>
      <c r="M916" s="903"/>
      <c r="N916" s="622" t="str">
        <f t="shared" si="35"/>
        <v/>
      </c>
    </row>
    <row r="917" spans="9:14">
      <c r="I917" s="631" t="s">
        <v>1786</v>
      </c>
      <c r="J917" s="629"/>
      <c r="K917" s="648">
        <f t="shared" ref="K917:K980" si="36">1+(RIGHT(I917,LEN(I917)-FIND(",",I917))-10)/20</f>
        <v>15</v>
      </c>
      <c r="L917" s="649">
        <f t="shared" ref="L917:L980" si="37">1+((LEFT(I917,FIND(",",I917)-1)*-1)-10)/20</f>
        <v>28</v>
      </c>
      <c r="M917" s="903"/>
      <c r="N917" s="622" t="str">
        <f t="shared" ref="N917:N980" si="38">IF(AND(K917&lt;=$I$144,K917&gt;=$I$145,L917&gt;=$M$143,L917&lt;=$N$143),MIN(ROUND(M917,2),633),"")</f>
        <v/>
      </c>
    </row>
    <row r="918" spans="9:14">
      <c r="I918" s="631" t="s">
        <v>1787</v>
      </c>
      <c r="J918" s="629"/>
      <c r="K918" s="648">
        <f t="shared" si="36"/>
        <v>14</v>
      </c>
      <c r="L918" s="649">
        <f t="shared" si="37"/>
        <v>28</v>
      </c>
      <c r="M918" s="903"/>
      <c r="N918" s="622" t="str">
        <f t="shared" si="38"/>
        <v/>
      </c>
    </row>
    <row r="919" spans="9:14">
      <c r="I919" s="631" t="s">
        <v>1788</v>
      </c>
      <c r="J919" s="629"/>
      <c r="K919" s="648">
        <f t="shared" si="36"/>
        <v>13</v>
      </c>
      <c r="L919" s="649">
        <f t="shared" si="37"/>
        <v>28</v>
      </c>
      <c r="M919" s="903"/>
      <c r="N919" s="622" t="str">
        <f t="shared" si="38"/>
        <v/>
      </c>
    </row>
    <row r="920" spans="9:14">
      <c r="I920" s="631" t="s">
        <v>1789</v>
      </c>
      <c r="J920" s="629"/>
      <c r="K920" s="648">
        <f t="shared" si="36"/>
        <v>12</v>
      </c>
      <c r="L920" s="649">
        <f t="shared" si="37"/>
        <v>28</v>
      </c>
      <c r="M920" s="903"/>
      <c r="N920" s="622" t="str">
        <f t="shared" si="38"/>
        <v/>
      </c>
    </row>
    <row r="921" spans="9:14">
      <c r="I921" s="631" t="s">
        <v>1790</v>
      </c>
      <c r="J921" s="629"/>
      <c r="K921" s="648">
        <f t="shared" si="36"/>
        <v>11</v>
      </c>
      <c r="L921" s="649">
        <f t="shared" si="37"/>
        <v>28</v>
      </c>
      <c r="M921" s="903"/>
      <c r="N921" s="622" t="str">
        <f t="shared" si="38"/>
        <v/>
      </c>
    </row>
    <row r="922" spans="9:14">
      <c r="I922" s="631" t="s">
        <v>1791</v>
      </c>
      <c r="J922" s="629"/>
      <c r="K922" s="648">
        <f t="shared" si="36"/>
        <v>10</v>
      </c>
      <c r="L922" s="649">
        <f t="shared" si="37"/>
        <v>28</v>
      </c>
      <c r="M922" s="903"/>
      <c r="N922" s="622" t="str">
        <f t="shared" si="38"/>
        <v/>
      </c>
    </row>
    <row r="923" spans="9:14">
      <c r="I923" s="631" t="s">
        <v>1792</v>
      </c>
      <c r="J923" s="629"/>
      <c r="K923" s="648">
        <f t="shared" si="36"/>
        <v>9</v>
      </c>
      <c r="L923" s="649">
        <f t="shared" si="37"/>
        <v>28</v>
      </c>
      <c r="M923" s="903"/>
      <c r="N923" s="622" t="str">
        <f t="shared" si="38"/>
        <v/>
      </c>
    </row>
    <row r="924" spans="9:14">
      <c r="I924" s="631" t="s">
        <v>1793</v>
      </c>
      <c r="J924" s="629"/>
      <c r="K924" s="648">
        <f t="shared" si="36"/>
        <v>8</v>
      </c>
      <c r="L924" s="649">
        <f t="shared" si="37"/>
        <v>28</v>
      </c>
      <c r="M924" s="903"/>
      <c r="N924" s="622" t="str">
        <f t="shared" si="38"/>
        <v/>
      </c>
    </row>
    <row r="925" spans="9:14">
      <c r="I925" s="631" t="s">
        <v>1794</v>
      </c>
      <c r="J925" s="629"/>
      <c r="K925" s="648">
        <f t="shared" si="36"/>
        <v>7</v>
      </c>
      <c r="L925" s="649">
        <f t="shared" si="37"/>
        <v>28</v>
      </c>
      <c r="M925" s="903"/>
      <c r="N925" s="622" t="str">
        <f t="shared" si="38"/>
        <v/>
      </c>
    </row>
    <row r="926" spans="9:14">
      <c r="I926" s="631" t="s">
        <v>1795</v>
      </c>
      <c r="J926" s="629"/>
      <c r="K926" s="648">
        <f t="shared" si="36"/>
        <v>6</v>
      </c>
      <c r="L926" s="649">
        <f t="shared" si="37"/>
        <v>28</v>
      </c>
      <c r="M926" s="903"/>
      <c r="N926" s="622" t="str">
        <f t="shared" si="38"/>
        <v/>
      </c>
    </row>
    <row r="927" spans="9:14">
      <c r="I927" s="631" t="s">
        <v>1796</v>
      </c>
      <c r="J927" s="629"/>
      <c r="K927" s="648">
        <f t="shared" si="36"/>
        <v>5</v>
      </c>
      <c r="L927" s="649">
        <f t="shared" si="37"/>
        <v>28</v>
      </c>
      <c r="M927" s="903"/>
      <c r="N927" s="622" t="str">
        <f t="shared" si="38"/>
        <v/>
      </c>
    </row>
    <row r="928" spans="9:14">
      <c r="I928" s="631" t="s">
        <v>1797</v>
      </c>
      <c r="J928" s="629"/>
      <c r="K928" s="648">
        <f t="shared" si="36"/>
        <v>4</v>
      </c>
      <c r="L928" s="649">
        <f t="shared" si="37"/>
        <v>28</v>
      </c>
      <c r="M928" s="903"/>
      <c r="N928" s="622" t="str">
        <f t="shared" si="38"/>
        <v/>
      </c>
    </row>
    <row r="929" spans="9:14">
      <c r="I929" s="631" t="s">
        <v>1798</v>
      </c>
      <c r="J929" s="629"/>
      <c r="K929" s="648">
        <f t="shared" si="36"/>
        <v>3</v>
      </c>
      <c r="L929" s="649">
        <f t="shared" si="37"/>
        <v>28</v>
      </c>
      <c r="M929" s="903"/>
      <c r="N929" s="622" t="str">
        <f t="shared" si="38"/>
        <v/>
      </c>
    </row>
    <row r="930" spans="9:14">
      <c r="I930" s="631" t="s">
        <v>1799</v>
      </c>
      <c r="J930" s="629"/>
      <c r="K930" s="648">
        <f t="shared" si="36"/>
        <v>2</v>
      </c>
      <c r="L930" s="649">
        <f t="shared" si="37"/>
        <v>28</v>
      </c>
      <c r="M930" s="903"/>
      <c r="N930" s="622" t="str">
        <f t="shared" si="38"/>
        <v/>
      </c>
    </row>
    <row r="931" spans="9:14">
      <c r="I931" s="631" t="s">
        <v>1800</v>
      </c>
      <c r="J931" s="629"/>
      <c r="K931" s="648">
        <f t="shared" si="36"/>
        <v>1</v>
      </c>
      <c r="L931" s="649">
        <f t="shared" si="37"/>
        <v>28</v>
      </c>
      <c r="M931" s="903"/>
      <c r="N931" s="622" t="str">
        <f t="shared" si="38"/>
        <v/>
      </c>
    </row>
    <row r="932" spans="9:14">
      <c r="I932" s="631" t="s">
        <v>1801</v>
      </c>
      <c r="J932" s="629"/>
      <c r="K932" s="648">
        <f t="shared" si="36"/>
        <v>28</v>
      </c>
      <c r="L932" s="649">
        <f t="shared" si="37"/>
        <v>29</v>
      </c>
      <c r="M932" s="903"/>
      <c r="N932" s="622" t="str">
        <f t="shared" si="38"/>
        <v/>
      </c>
    </row>
    <row r="933" spans="9:14">
      <c r="I933" s="631" t="s">
        <v>1802</v>
      </c>
      <c r="J933" s="629"/>
      <c r="K933" s="648">
        <f t="shared" si="36"/>
        <v>27</v>
      </c>
      <c r="L933" s="649">
        <f t="shared" si="37"/>
        <v>29</v>
      </c>
      <c r="M933" s="903"/>
      <c r="N933" s="622" t="str">
        <f t="shared" si="38"/>
        <v/>
      </c>
    </row>
    <row r="934" spans="9:14">
      <c r="I934" s="631" t="s">
        <v>1803</v>
      </c>
      <c r="J934" s="629"/>
      <c r="K934" s="648">
        <f t="shared" si="36"/>
        <v>26</v>
      </c>
      <c r="L934" s="649">
        <f t="shared" si="37"/>
        <v>29</v>
      </c>
      <c r="M934" s="903"/>
      <c r="N934" s="622" t="str">
        <f t="shared" si="38"/>
        <v/>
      </c>
    </row>
    <row r="935" spans="9:14">
      <c r="I935" s="631" t="s">
        <v>1804</v>
      </c>
      <c r="J935" s="629"/>
      <c r="K935" s="648">
        <f t="shared" si="36"/>
        <v>25</v>
      </c>
      <c r="L935" s="649">
        <f t="shared" si="37"/>
        <v>29</v>
      </c>
      <c r="M935" s="903"/>
      <c r="N935" s="622" t="str">
        <f t="shared" si="38"/>
        <v/>
      </c>
    </row>
    <row r="936" spans="9:14">
      <c r="I936" s="631" t="s">
        <v>1805</v>
      </c>
      <c r="J936" s="629"/>
      <c r="K936" s="648">
        <f t="shared" si="36"/>
        <v>24</v>
      </c>
      <c r="L936" s="649">
        <f t="shared" si="37"/>
        <v>29</v>
      </c>
      <c r="M936" s="903"/>
      <c r="N936" s="622" t="str">
        <f t="shared" si="38"/>
        <v/>
      </c>
    </row>
    <row r="937" spans="9:14">
      <c r="I937" s="631" t="s">
        <v>1806</v>
      </c>
      <c r="J937" s="629"/>
      <c r="K937" s="648">
        <f t="shared" si="36"/>
        <v>23</v>
      </c>
      <c r="L937" s="649">
        <f t="shared" si="37"/>
        <v>29</v>
      </c>
      <c r="M937" s="903"/>
      <c r="N937" s="622" t="str">
        <f t="shared" si="38"/>
        <v/>
      </c>
    </row>
    <row r="938" spans="9:14">
      <c r="I938" s="631" t="s">
        <v>1807</v>
      </c>
      <c r="J938" s="629"/>
      <c r="K938" s="648">
        <f t="shared" si="36"/>
        <v>22</v>
      </c>
      <c r="L938" s="649">
        <f t="shared" si="37"/>
        <v>29</v>
      </c>
      <c r="M938" s="903"/>
      <c r="N938" s="622" t="str">
        <f t="shared" si="38"/>
        <v/>
      </c>
    </row>
    <row r="939" spans="9:14">
      <c r="I939" s="631" t="s">
        <v>1808</v>
      </c>
      <c r="J939" s="629"/>
      <c r="K939" s="648">
        <f t="shared" si="36"/>
        <v>21</v>
      </c>
      <c r="L939" s="649">
        <f t="shared" si="37"/>
        <v>29</v>
      </c>
      <c r="M939" s="903"/>
      <c r="N939" s="622" t="str">
        <f t="shared" si="38"/>
        <v/>
      </c>
    </row>
    <row r="940" spans="9:14">
      <c r="I940" s="631" t="s">
        <v>1809</v>
      </c>
      <c r="J940" s="629"/>
      <c r="K940" s="648">
        <f t="shared" si="36"/>
        <v>20</v>
      </c>
      <c r="L940" s="649">
        <f t="shared" si="37"/>
        <v>29</v>
      </c>
      <c r="M940" s="903"/>
      <c r="N940" s="622" t="str">
        <f t="shared" si="38"/>
        <v/>
      </c>
    </row>
    <row r="941" spans="9:14">
      <c r="I941" s="631" t="s">
        <v>1810</v>
      </c>
      <c r="J941" s="629"/>
      <c r="K941" s="648">
        <f t="shared" si="36"/>
        <v>19</v>
      </c>
      <c r="L941" s="649">
        <f t="shared" si="37"/>
        <v>29</v>
      </c>
      <c r="M941" s="903"/>
      <c r="N941" s="622" t="str">
        <f t="shared" si="38"/>
        <v/>
      </c>
    </row>
    <row r="942" spans="9:14">
      <c r="I942" s="631" t="s">
        <v>1811</v>
      </c>
      <c r="J942" s="629"/>
      <c r="K942" s="648">
        <f t="shared" si="36"/>
        <v>18</v>
      </c>
      <c r="L942" s="649">
        <f t="shared" si="37"/>
        <v>29</v>
      </c>
      <c r="M942" s="903"/>
      <c r="N942" s="622" t="str">
        <f t="shared" si="38"/>
        <v/>
      </c>
    </row>
    <row r="943" spans="9:14">
      <c r="I943" s="631" t="s">
        <v>1812</v>
      </c>
      <c r="J943" s="629"/>
      <c r="K943" s="648">
        <f t="shared" si="36"/>
        <v>17</v>
      </c>
      <c r="L943" s="649">
        <f t="shared" si="37"/>
        <v>29</v>
      </c>
      <c r="M943" s="903"/>
      <c r="N943" s="622" t="str">
        <f t="shared" si="38"/>
        <v/>
      </c>
    </row>
    <row r="944" spans="9:14">
      <c r="I944" s="631" t="s">
        <v>1813</v>
      </c>
      <c r="J944" s="629"/>
      <c r="K944" s="648">
        <f t="shared" si="36"/>
        <v>16</v>
      </c>
      <c r="L944" s="649">
        <f t="shared" si="37"/>
        <v>29</v>
      </c>
      <c r="M944" s="903"/>
      <c r="N944" s="622" t="str">
        <f t="shared" si="38"/>
        <v/>
      </c>
    </row>
    <row r="945" spans="9:14">
      <c r="I945" s="631" t="s">
        <v>1814</v>
      </c>
      <c r="J945" s="629"/>
      <c r="K945" s="648">
        <f t="shared" si="36"/>
        <v>15</v>
      </c>
      <c r="L945" s="649">
        <f t="shared" si="37"/>
        <v>29</v>
      </c>
      <c r="M945" s="903"/>
      <c r="N945" s="622" t="str">
        <f t="shared" si="38"/>
        <v/>
      </c>
    </row>
    <row r="946" spans="9:14">
      <c r="I946" s="631" t="s">
        <v>1815</v>
      </c>
      <c r="J946" s="629"/>
      <c r="K946" s="648">
        <f t="shared" si="36"/>
        <v>14</v>
      </c>
      <c r="L946" s="649">
        <f t="shared" si="37"/>
        <v>29</v>
      </c>
      <c r="M946" s="903"/>
      <c r="N946" s="622" t="str">
        <f t="shared" si="38"/>
        <v/>
      </c>
    </row>
    <row r="947" spans="9:14">
      <c r="I947" s="631" t="s">
        <v>1816</v>
      </c>
      <c r="J947" s="629"/>
      <c r="K947" s="648">
        <f t="shared" si="36"/>
        <v>13</v>
      </c>
      <c r="L947" s="649">
        <f t="shared" si="37"/>
        <v>29</v>
      </c>
      <c r="M947" s="903"/>
      <c r="N947" s="622" t="str">
        <f t="shared" si="38"/>
        <v/>
      </c>
    </row>
    <row r="948" spans="9:14">
      <c r="I948" s="631" t="s">
        <v>1817</v>
      </c>
      <c r="J948" s="629"/>
      <c r="K948" s="648">
        <f t="shared" si="36"/>
        <v>12</v>
      </c>
      <c r="L948" s="649">
        <f t="shared" si="37"/>
        <v>29</v>
      </c>
      <c r="M948" s="903"/>
      <c r="N948" s="622" t="str">
        <f t="shared" si="38"/>
        <v/>
      </c>
    </row>
    <row r="949" spans="9:14">
      <c r="I949" s="631" t="s">
        <v>1818</v>
      </c>
      <c r="J949" s="629"/>
      <c r="K949" s="648">
        <f t="shared" si="36"/>
        <v>11</v>
      </c>
      <c r="L949" s="649">
        <f t="shared" si="37"/>
        <v>29</v>
      </c>
      <c r="M949" s="903"/>
      <c r="N949" s="622" t="str">
        <f t="shared" si="38"/>
        <v/>
      </c>
    </row>
    <row r="950" spans="9:14">
      <c r="I950" s="631" t="s">
        <v>1819</v>
      </c>
      <c r="J950" s="629"/>
      <c r="K950" s="648">
        <f t="shared" si="36"/>
        <v>10</v>
      </c>
      <c r="L950" s="649">
        <f t="shared" si="37"/>
        <v>29</v>
      </c>
      <c r="M950" s="903"/>
      <c r="N950" s="622" t="str">
        <f t="shared" si="38"/>
        <v/>
      </c>
    </row>
    <row r="951" spans="9:14">
      <c r="I951" s="631" t="s">
        <v>1820</v>
      </c>
      <c r="J951" s="629"/>
      <c r="K951" s="648">
        <f t="shared" si="36"/>
        <v>9</v>
      </c>
      <c r="L951" s="649">
        <f t="shared" si="37"/>
        <v>29</v>
      </c>
      <c r="M951" s="903"/>
      <c r="N951" s="622" t="str">
        <f t="shared" si="38"/>
        <v/>
      </c>
    </row>
    <row r="952" spans="9:14">
      <c r="I952" s="631" t="s">
        <v>1821</v>
      </c>
      <c r="J952" s="629"/>
      <c r="K952" s="648">
        <f t="shared" si="36"/>
        <v>8</v>
      </c>
      <c r="L952" s="649">
        <f t="shared" si="37"/>
        <v>29</v>
      </c>
      <c r="M952" s="903"/>
      <c r="N952" s="622" t="str">
        <f t="shared" si="38"/>
        <v/>
      </c>
    </row>
    <row r="953" spans="9:14">
      <c r="I953" s="631" t="s">
        <v>1822</v>
      </c>
      <c r="J953" s="629"/>
      <c r="K953" s="648">
        <f t="shared" si="36"/>
        <v>7</v>
      </c>
      <c r="L953" s="649">
        <f t="shared" si="37"/>
        <v>29</v>
      </c>
      <c r="M953" s="903"/>
      <c r="N953" s="622" t="str">
        <f t="shared" si="38"/>
        <v/>
      </c>
    </row>
    <row r="954" spans="9:14">
      <c r="I954" s="631" t="s">
        <v>1823</v>
      </c>
      <c r="J954" s="629"/>
      <c r="K954" s="648">
        <f t="shared" si="36"/>
        <v>6</v>
      </c>
      <c r="L954" s="649">
        <f t="shared" si="37"/>
        <v>29</v>
      </c>
      <c r="M954" s="903"/>
      <c r="N954" s="622" t="str">
        <f t="shared" si="38"/>
        <v/>
      </c>
    </row>
    <row r="955" spans="9:14">
      <c r="I955" s="631" t="s">
        <v>1824</v>
      </c>
      <c r="J955" s="629"/>
      <c r="K955" s="648">
        <f t="shared" si="36"/>
        <v>5</v>
      </c>
      <c r="L955" s="649">
        <f t="shared" si="37"/>
        <v>29</v>
      </c>
      <c r="M955" s="903"/>
      <c r="N955" s="622" t="str">
        <f t="shared" si="38"/>
        <v/>
      </c>
    </row>
    <row r="956" spans="9:14">
      <c r="I956" s="631" t="s">
        <v>1825</v>
      </c>
      <c r="J956" s="629"/>
      <c r="K956" s="648">
        <f t="shared" si="36"/>
        <v>4</v>
      </c>
      <c r="L956" s="649">
        <f t="shared" si="37"/>
        <v>29</v>
      </c>
      <c r="M956" s="903"/>
      <c r="N956" s="622" t="str">
        <f t="shared" si="38"/>
        <v/>
      </c>
    </row>
    <row r="957" spans="9:14">
      <c r="I957" s="631" t="s">
        <v>1826</v>
      </c>
      <c r="J957" s="629"/>
      <c r="K957" s="648">
        <f t="shared" si="36"/>
        <v>3</v>
      </c>
      <c r="L957" s="649">
        <f t="shared" si="37"/>
        <v>29</v>
      </c>
      <c r="M957" s="903"/>
      <c r="N957" s="622" t="str">
        <f t="shared" si="38"/>
        <v/>
      </c>
    </row>
    <row r="958" spans="9:14">
      <c r="I958" s="631" t="s">
        <v>1827</v>
      </c>
      <c r="J958" s="629"/>
      <c r="K958" s="648">
        <f t="shared" si="36"/>
        <v>2</v>
      </c>
      <c r="L958" s="649">
        <f t="shared" si="37"/>
        <v>29</v>
      </c>
      <c r="M958" s="903"/>
      <c r="N958" s="622" t="str">
        <f t="shared" si="38"/>
        <v/>
      </c>
    </row>
    <row r="959" spans="9:14">
      <c r="I959" s="631" t="s">
        <v>1828</v>
      </c>
      <c r="J959" s="629"/>
      <c r="K959" s="648">
        <f t="shared" si="36"/>
        <v>1</v>
      </c>
      <c r="L959" s="649">
        <f t="shared" si="37"/>
        <v>29</v>
      </c>
      <c r="M959" s="903"/>
      <c r="N959" s="622" t="str">
        <f t="shared" si="38"/>
        <v/>
      </c>
    </row>
    <row r="960" spans="9:14">
      <c r="I960" s="631" t="s">
        <v>1829</v>
      </c>
      <c r="J960" s="629"/>
      <c r="K960" s="648">
        <f t="shared" si="36"/>
        <v>28</v>
      </c>
      <c r="L960" s="649">
        <f t="shared" si="37"/>
        <v>30</v>
      </c>
      <c r="M960" s="903"/>
      <c r="N960" s="622" t="str">
        <f t="shared" si="38"/>
        <v/>
      </c>
    </row>
    <row r="961" spans="9:14">
      <c r="I961" s="631" t="s">
        <v>1830</v>
      </c>
      <c r="J961" s="629"/>
      <c r="K961" s="648">
        <f t="shared" si="36"/>
        <v>27</v>
      </c>
      <c r="L961" s="649">
        <f t="shared" si="37"/>
        <v>30</v>
      </c>
      <c r="M961" s="903"/>
      <c r="N961" s="622" t="str">
        <f t="shared" si="38"/>
        <v/>
      </c>
    </row>
    <row r="962" spans="9:14">
      <c r="I962" s="631" t="s">
        <v>1831</v>
      </c>
      <c r="J962" s="629"/>
      <c r="K962" s="648">
        <f t="shared" si="36"/>
        <v>26</v>
      </c>
      <c r="L962" s="649">
        <f t="shared" si="37"/>
        <v>30</v>
      </c>
      <c r="M962" s="903"/>
      <c r="N962" s="622" t="str">
        <f t="shared" si="38"/>
        <v/>
      </c>
    </row>
    <row r="963" spans="9:14">
      <c r="I963" s="631" t="s">
        <v>1832</v>
      </c>
      <c r="J963" s="629"/>
      <c r="K963" s="648">
        <f t="shared" si="36"/>
        <v>25</v>
      </c>
      <c r="L963" s="649">
        <f t="shared" si="37"/>
        <v>30</v>
      </c>
      <c r="M963" s="903"/>
      <c r="N963" s="622" t="str">
        <f t="shared" si="38"/>
        <v/>
      </c>
    </row>
    <row r="964" spans="9:14">
      <c r="I964" s="631" t="s">
        <v>1833</v>
      </c>
      <c r="J964" s="629"/>
      <c r="K964" s="648">
        <f t="shared" si="36"/>
        <v>24</v>
      </c>
      <c r="L964" s="649">
        <f t="shared" si="37"/>
        <v>30</v>
      </c>
      <c r="M964" s="903"/>
      <c r="N964" s="622" t="str">
        <f t="shared" si="38"/>
        <v/>
      </c>
    </row>
    <row r="965" spans="9:14">
      <c r="I965" s="631" t="s">
        <v>1834</v>
      </c>
      <c r="J965" s="629"/>
      <c r="K965" s="648">
        <f t="shared" si="36"/>
        <v>23</v>
      </c>
      <c r="L965" s="649">
        <f t="shared" si="37"/>
        <v>30</v>
      </c>
      <c r="M965" s="903"/>
      <c r="N965" s="622" t="str">
        <f t="shared" si="38"/>
        <v/>
      </c>
    </row>
    <row r="966" spans="9:14">
      <c r="I966" s="631" t="s">
        <v>1835</v>
      </c>
      <c r="J966" s="629"/>
      <c r="K966" s="648">
        <f t="shared" si="36"/>
        <v>22</v>
      </c>
      <c r="L966" s="649">
        <f t="shared" si="37"/>
        <v>30</v>
      </c>
      <c r="M966" s="903"/>
      <c r="N966" s="622" t="str">
        <f t="shared" si="38"/>
        <v/>
      </c>
    </row>
    <row r="967" spans="9:14">
      <c r="I967" s="631" t="s">
        <v>1836</v>
      </c>
      <c r="J967" s="629"/>
      <c r="K967" s="648">
        <f t="shared" si="36"/>
        <v>21</v>
      </c>
      <c r="L967" s="649">
        <f t="shared" si="37"/>
        <v>30</v>
      </c>
      <c r="M967" s="903"/>
      <c r="N967" s="622" t="str">
        <f t="shared" si="38"/>
        <v/>
      </c>
    </row>
    <row r="968" spans="9:14">
      <c r="I968" s="631" t="s">
        <v>1837</v>
      </c>
      <c r="J968" s="629"/>
      <c r="K968" s="648">
        <f t="shared" si="36"/>
        <v>20</v>
      </c>
      <c r="L968" s="649">
        <f t="shared" si="37"/>
        <v>30</v>
      </c>
      <c r="M968" s="903"/>
      <c r="N968" s="622" t="str">
        <f t="shared" si="38"/>
        <v/>
      </c>
    </row>
    <row r="969" spans="9:14">
      <c r="I969" s="631" t="s">
        <v>1838</v>
      </c>
      <c r="J969" s="629"/>
      <c r="K969" s="648">
        <f t="shared" si="36"/>
        <v>19</v>
      </c>
      <c r="L969" s="649">
        <f t="shared" si="37"/>
        <v>30</v>
      </c>
      <c r="M969" s="903"/>
      <c r="N969" s="622" t="str">
        <f t="shared" si="38"/>
        <v/>
      </c>
    </row>
    <row r="970" spans="9:14">
      <c r="I970" s="631" t="s">
        <v>1839</v>
      </c>
      <c r="J970" s="629"/>
      <c r="K970" s="648">
        <f t="shared" si="36"/>
        <v>18</v>
      </c>
      <c r="L970" s="649">
        <f t="shared" si="37"/>
        <v>30</v>
      </c>
      <c r="M970" s="903"/>
      <c r="N970" s="622" t="str">
        <f t="shared" si="38"/>
        <v/>
      </c>
    </row>
    <row r="971" spans="9:14">
      <c r="I971" s="631" t="s">
        <v>1840</v>
      </c>
      <c r="J971" s="629"/>
      <c r="K971" s="648">
        <f t="shared" si="36"/>
        <v>17</v>
      </c>
      <c r="L971" s="649">
        <f t="shared" si="37"/>
        <v>30</v>
      </c>
      <c r="M971" s="903"/>
      <c r="N971" s="622" t="str">
        <f t="shared" si="38"/>
        <v/>
      </c>
    </row>
    <row r="972" spans="9:14">
      <c r="I972" s="631" t="s">
        <v>1841</v>
      </c>
      <c r="J972" s="629"/>
      <c r="K972" s="648">
        <f t="shared" si="36"/>
        <v>16</v>
      </c>
      <c r="L972" s="649">
        <f t="shared" si="37"/>
        <v>30</v>
      </c>
      <c r="M972" s="903"/>
      <c r="N972" s="622" t="str">
        <f t="shared" si="38"/>
        <v/>
      </c>
    </row>
    <row r="973" spans="9:14">
      <c r="I973" s="631" t="s">
        <v>1842</v>
      </c>
      <c r="J973" s="629"/>
      <c r="K973" s="648">
        <f t="shared" si="36"/>
        <v>15</v>
      </c>
      <c r="L973" s="649">
        <f t="shared" si="37"/>
        <v>30</v>
      </c>
      <c r="M973" s="903"/>
      <c r="N973" s="622" t="str">
        <f t="shared" si="38"/>
        <v/>
      </c>
    </row>
    <row r="974" spans="9:14">
      <c r="I974" s="631" t="s">
        <v>1843</v>
      </c>
      <c r="J974" s="629"/>
      <c r="K974" s="648">
        <f t="shared" si="36"/>
        <v>14</v>
      </c>
      <c r="L974" s="649">
        <f t="shared" si="37"/>
        <v>30</v>
      </c>
      <c r="M974" s="903"/>
      <c r="N974" s="622" t="str">
        <f t="shared" si="38"/>
        <v/>
      </c>
    </row>
    <row r="975" spans="9:14">
      <c r="I975" s="631" t="s">
        <v>1844</v>
      </c>
      <c r="J975" s="629"/>
      <c r="K975" s="648">
        <f t="shared" si="36"/>
        <v>13</v>
      </c>
      <c r="L975" s="649">
        <f t="shared" si="37"/>
        <v>30</v>
      </c>
      <c r="M975" s="903"/>
      <c r="N975" s="622" t="str">
        <f t="shared" si="38"/>
        <v/>
      </c>
    </row>
    <row r="976" spans="9:14">
      <c r="I976" s="631" t="s">
        <v>1845</v>
      </c>
      <c r="J976" s="629"/>
      <c r="K976" s="648">
        <f t="shared" si="36"/>
        <v>12</v>
      </c>
      <c r="L976" s="649">
        <f t="shared" si="37"/>
        <v>30</v>
      </c>
      <c r="M976" s="903"/>
      <c r="N976" s="622" t="str">
        <f t="shared" si="38"/>
        <v/>
      </c>
    </row>
    <row r="977" spans="9:14">
      <c r="I977" s="631" t="s">
        <v>1846</v>
      </c>
      <c r="J977" s="629"/>
      <c r="K977" s="648">
        <f t="shared" si="36"/>
        <v>11</v>
      </c>
      <c r="L977" s="649">
        <f t="shared" si="37"/>
        <v>30</v>
      </c>
      <c r="M977" s="903"/>
      <c r="N977" s="622" t="str">
        <f t="shared" si="38"/>
        <v/>
      </c>
    </row>
    <row r="978" spans="9:14">
      <c r="I978" s="631" t="s">
        <v>1847</v>
      </c>
      <c r="J978" s="629"/>
      <c r="K978" s="648">
        <f t="shared" si="36"/>
        <v>10</v>
      </c>
      <c r="L978" s="649">
        <f t="shared" si="37"/>
        <v>30</v>
      </c>
      <c r="M978" s="903"/>
      <c r="N978" s="622" t="str">
        <f t="shared" si="38"/>
        <v/>
      </c>
    </row>
    <row r="979" spans="9:14">
      <c r="I979" s="631" t="s">
        <v>1848</v>
      </c>
      <c r="J979" s="629"/>
      <c r="K979" s="648">
        <f t="shared" si="36"/>
        <v>9</v>
      </c>
      <c r="L979" s="649">
        <f t="shared" si="37"/>
        <v>30</v>
      </c>
      <c r="M979" s="903"/>
      <c r="N979" s="622" t="str">
        <f t="shared" si="38"/>
        <v/>
      </c>
    </row>
    <row r="980" spans="9:14">
      <c r="I980" s="631" t="s">
        <v>1849</v>
      </c>
      <c r="J980" s="629"/>
      <c r="K980" s="648">
        <f t="shared" si="36"/>
        <v>8</v>
      </c>
      <c r="L980" s="649">
        <f t="shared" si="37"/>
        <v>30</v>
      </c>
      <c r="M980" s="903"/>
      <c r="N980" s="622" t="str">
        <f t="shared" si="38"/>
        <v/>
      </c>
    </row>
    <row r="981" spans="9:14">
      <c r="I981" s="631" t="s">
        <v>1850</v>
      </c>
      <c r="J981" s="629"/>
      <c r="K981" s="648">
        <f t="shared" ref="K981:K1044" si="39">1+(RIGHT(I981,LEN(I981)-FIND(",",I981))-10)/20</f>
        <v>7</v>
      </c>
      <c r="L981" s="649">
        <f t="shared" ref="L981:L1044" si="40">1+((LEFT(I981,FIND(",",I981)-1)*-1)-10)/20</f>
        <v>30</v>
      </c>
      <c r="M981" s="903"/>
      <c r="N981" s="622" t="str">
        <f t="shared" ref="N981:N1044" si="41">IF(AND(K981&lt;=$I$144,K981&gt;=$I$145,L981&gt;=$M$143,L981&lt;=$N$143),MIN(ROUND(M981,2),633),"")</f>
        <v/>
      </c>
    </row>
    <row r="982" spans="9:14">
      <c r="I982" s="631" t="s">
        <v>1851</v>
      </c>
      <c r="J982" s="629"/>
      <c r="K982" s="648">
        <f t="shared" si="39"/>
        <v>6</v>
      </c>
      <c r="L982" s="649">
        <f t="shared" si="40"/>
        <v>30</v>
      </c>
      <c r="M982" s="903"/>
      <c r="N982" s="622" t="str">
        <f t="shared" si="41"/>
        <v/>
      </c>
    </row>
    <row r="983" spans="9:14">
      <c r="I983" s="631" t="s">
        <v>1852</v>
      </c>
      <c r="J983" s="629"/>
      <c r="K983" s="648">
        <f t="shared" si="39"/>
        <v>5</v>
      </c>
      <c r="L983" s="649">
        <f t="shared" si="40"/>
        <v>30</v>
      </c>
      <c r="M983" s="903"/>
      <c r="N983" s="622" t="str">
        <f t="shared" si="41"/>
        <v/>
      </c>
    </row>
    <row r="984" spans="9:14">
      <c r="I984" s="631" t="s">
        <v>1853</v>
      </c>
      <c r="J984" s="629"/>
      <c r="K984" s="648">
        <f t="shared" si="39"/>
        <v>4</v>
      </c>
      <c r="L984" s="649">
        <f t="shared" si="40"/>
        <v>30</v>
      </c>
      <c r="M984" s="903"/>
      <c r="N984" s="622" t="str">
        <f t="shared" si="41"/>
        <v/>
      </c>
    </row>
    <row r="985" spans="9:14">
      <c r="I985" s="631" t="s">
        <v>1854</v>
      </c>
      <c r="J985" s="629"/>
      <c r="K985" s="648">
        <f t="shared" si="39"/>
        <v>3</v>
      </c>
      <c r="L985" s="649">
        <f t="shared" si="40"/>
        <v>30</v>
      </c>
      <c r="M985" s="903"/>
      <c r="N985" s="622" t="str">
        <f t="shared" si="41"/>
        <v/>
      </c>
    </row>
    <row r="986" spans="9:14">
      <c r="I986" s="631" t="s">
        <v>1855</v>
      </c>
      <c r="J986" s="629"/>
      <c r="K986" s="648">
        <f t="shared" si="39"/>
        <v>2</v>
      </c>
      <c r="L986" s="649">
        <f t="shared" si="40"/>
        <v>30</v>
      </c>
      <c r="M986" s="903"/>
      <c r="N986" s="622" t="str">
        <f t="shared" si="41"/>
        <v/>
      </c>
    </row>
    <row r="987" spans="9:14">
      <c r="I987" s="631" t="s">
        <v>1856</v>
      </c>
      <c r="J987" s="629"/>
      <c r="K987" s="648">
        <f t="shared" si="39"/>
        <v>1</v>
      </c>
      <c r="L987" s="649">
        <f t="shared" si="40"/>
        <v>30</v>
      </c>
      <c r="M987" s="903"/>
      <c r="N987" s="622" t="str">
        <f t="shared" si="41"/>
        <v/>
      </c>
    </row>
    <row r="988" spans="9:14">
      <c r="I988" s="631" t="s">
        <v>1857</v>
      </c>
      <c r="J988" s="629"/>
      <c r="K988" s="648">
        <f t="shared" si="39"/>
        <v>28</v>
      </c>
      <c r="L988" s="649">
        <f t="shared" si="40"/>
        <v>31</v>
      </c>
      <c r="M988" s="903"/>
      <c r="N988" s="622" t="str">
        <f t="shared" si="41"/>
        <v/>
      </c>
    </row>
    <row r="989" spans="9:14">
      <c r="I989" s="631" t="s">
        <v>1858</v>
      </c>
      <c r="J989" s="629"/>
      <c r="K989" s="648">
        <f t="shared" si="39"/>
        <v>27</v>
      </c>
      <c r="L989" s="649">
        <f t="shared" si="40"/>
        <v>31</v>
      </c>
      <c r="M989" s="903"/>
      <c r="N989" s="622" t="str">
        <f t="shared" si="41"/>
        <v/>
      </c>
    </row>
    <row r="990" spans="9:14">
      <c r="I990" s="631" t="s">
        <v>1859</v>
      </c>
      <c r="J990" s="629"/>
      <c r="K990" s="648">
        <f t="shared" si="39"/>
        <v>26</v>
      </c>
      <c r="L990" s="649">
        <f t="shared" si="40"/>
        <v>31</v>
      </c>
      <c r="M990" s="903"/>
      <c r="N990" s="622" t="str">
        <f t="shared" si="41"/>
        <v/>
      </c>
    </row>
    <row r="991" spans="9:14">
      <c r="I991" s="631" t="s">
        <v>1860</v>
      </c>
      <c r="J991" s="629"/>
      <c r="K991" s="648">
        <f t="shared" si="39"/>
        <v>25</v>
      </c>
      <c r="L991" s="649">
        <f t="shared" si="40"/>
        <v>31</v>
      </c>
      <c r="M991" s="903"/>
      <c r="N991" s="622" t="str">
        <f t="shared" si="41"/>
        <v/>
      </c>
    </row>
    <row r="992" spans="9:14">
      <c r="I992" s="631" t="s">
        <v>1861</v>
      </c>
      <c r="J992" s="629"/>
      <c r="K992" s="648">
        <f t="shared" si="39"/>
        <v>24</v>
      </c>
      <c r="L992" s="649">
        <f t="shared" si="40"/>
        <v>31</v>
      </c>
      <c r="M992" s="903"/>
      <c r="N992" s="622" t="str">
        <f t="shared" si="41"/>
        <v/>
      </c>
    </row>
    <row r="993" spans="9:14">
      <c r="I993" s="631" t="s">
        <v>1862</v>
      </c>
      <c r="J993" s="629"/>
      <c r="K993" s="648">
        <f t="shared" si="39"/>
        <v>23</v>
      </c>
      <c r="L993" s="649">
        <f t="shared" si="40"/>
        <v>31</v>
      </c>
      <c r="M993" s="903"/>
      <c r="N993" s="622" t="str">
        <f t="shared" si="41"/>
        <v/>
      </c>
    </row>
    <row r="994" spans="9:14">
      <c r="I994" s="631" t="s">
        <v>1863</v>
      </c>
      <c r="J994" s="629"/>
      <c r="K994" s="648">
        <f t="shared" si="39"/>
        <v>22</v>
      </c>
      <c r="L994" s="649">
        <f t="shared" si="40"/>
        <v>31</v>
      </c>
      <c r="M994" s="903"/>
      <c r="N994" s="622" t="str">
        <f t="shared" si="41"/>
        <v/>
      </c>
    </row>
    <row r="995" spans="9:14">
      <c r="I995" s="631" t="s">
        <v>1864</v>
      </c>
      <c r="J995" s="629"/>
      <c r="K995" s="648">
        <f t="shared" si="39"/>
        <v>21</v>
      </c>
      <c r="L995" s="649">
        <f t="shared" si="40"/>
        <v>31</v>
      </c>
      <c r="M995" s="903"/>
      <c r="N995" s="622" t="str">
        <f t="shared" si="41"/>
        <v/>
      </c>
    </row>
    <row r="996" spans="9:14">
      <c r="I996" s="631" t="s">
        <v>1865</v>
      </c>
      <c r="J996" s="629"/>
      <c r="K996" s="648">
        <f t="shared" si="39"/>
        <v>20</v>
      </c>
      <c r="L996" s="649">
        <f t="shared" si="40"/>
        <v>31</v>
      </c>
      <c r="M996" s="903"/>
      <c r="N996" s="622" t="str">
        <f t="shared" si="41"/>
        <v/>
      </c>
    </row>
    <row r="997" spans="9:14">
      <c r="I997" s="631" t="s">
        <v>1866</v>
      </c>
      <c r="J997" s="629"/>
      <c r="K997" s="648">
        <f t="shared" si="39"/>
        <v>19</v>
      </c>
      <c r="L997" s="649">
        <f t="shared" si="40"/>
        <v>31</v>
      </c>
      <c r="M997" s="903"/>
      <c r="N997" s="622" t="str">
        <f t="shared" si="41"/>
        <v/>
      </c>
    </row>
    <row r="998" spans="9:14">
      <c r="I998" s="631" t="s">
        <v>1867</v>
      </c>
      <c r="J998" s="629"/>
      <c r="K998" s="648">
        <f t="shared" si="39"/>
        <v>18</v>
      </c>
      <c r="L998" s="649">
        <f t="shared" si="40"/>
        <v>31</v>
      </c>
      <c r="M998" s="903"/>
      <c r="N998" s="622" t="str">
        <f t="shared" si="41"/>
        <v/>
      </c>
    </row>
    <row r="999" spans="9:14">
      <c r="I999" s="631" t="s">
        <v>1868</v>
      </c>
      <c r="J999" s="629"/>
      <c r="K999" s="648">
        <f t="shared" si="39"/>
        <v>17</v>
      </c>
      <c r="L999" s="649">
        <f t="shared" si="40"/>
        <v>31</v>
      </c>
      <c r="M999" s="903"/>
      <c r="N999" s="622" t="str">
        <f t="shared" si="41"/>
        <v/>
      </c>
    </row>
    <row r="1000" spans="9:14">
      <c r="I1000" s="631" t="s">
        <v>1869</v>
      </c>
      <c r="J1000" s="629"/>
      <c r="K1000" s="648">
        <f t="shared" si="39"/>
        <v>16</v>
      </c>
      <c r="L1000" s="649">
        <f t="shared" si="40"/>
        <v>31</v>
      </c>
      <c r="M1000" s="903"/>
      <c r="N1000" s="622" t="str">
        <f t="shared" si="41"/>
        <v/>
      </c>
    </row>
    <row r="1001" spans="9:14">
      <c r="I1001" s="631" t="s">
        <v>1870</v>
      </c>
      <c r="J1001" s="629"/>
      <c r="K1001" s="648">
        <f t="shared" si="39"/>
        <v>15</v>
      </c>
      <c r="L1001" s="649">
        <f t="shared" si="40"/>
        <v>31</v>
      </c>
      <c r="M1001" s="903"/>
      <c r="N1001" s="622" t="str">
        <f t="shared" si="41"/>
        <v/>
      </c>
    </row>
    <row r="1002" spans="9:14">
      <c r="I1002" s="631" t="s">
        <v>1871</v>
      </c>
      <c r="J1002" s="629"/>
      <c r="K1002" s="648">
        <f t="shared" si="39"/>
        <v>14</v>
      </c>
      <c r="L1002" s="649">
        <f t="shared" si="40"/>
        <v>31</v>
      </c>
      <c r="M1002" s="903"/>
      <c r="N1002" s="622" t="str">
        <f t="shared" si="41"/>
        <v/>
      </c>
    </row>
    <row r="1003" spans="9:14">
      <c r="I1003" s="631" t="s">
        <v>1872</v>
      </c>
      <c r="J1003" s="629"/>
      <c r="K1003" s="648">
        <f t="shared" si="39"/>
        <v>13</v>
      </c>
      <c r="L1003" s="649">
        <f t="shared" si="40"/>
        <v>31</v>
      </c>
      <c r="M1003" s="903"/>
      <c r="N1003" s="622" t="str">
        <f t="shared" si="41"/>
        <v/>
      </c>
    </row>
    <row r="1004" spans="9:14">
      <c r="I1004" s="631" t="s">
        <v>1873</v>
      </c>
      <c r="J1004" s="629"/>
      <c r="K1004" s="648">
        <f t="shared" si="39"/>
        <v>12</v>
      </c>
      <c r="L1004" s="649">
        <f t="shared" si="40"/>
        <v>31</v>
      </c>
      <c r="M1004" s="903"/>
      <c r="N1004" s="622" t="str">
        <f t="shared" si="41"/>
        <v/>
      </c>
    </row>
    <row r="1005" spans="9:14">
      <c r="I1005" s="631" t="s">
        <v>1874</v>
      </c>
      <c r="J1005" s="629"/>
      <c r="K1005" s="648">
        <f t="shared" si="39"/>
        <v>11</v>
      </c>
      <c r="L1005" s="649">
        <f t="shared" si="40"/>
        <v>31</v>
      </c>
      <c r="M1005" s="903"/>
      <c r="N1005" s="622" t="str">
        <f t="shared" si="41"/>
        <v/>
      </c>
    </row>
    <row r="1006" spans="9:14">
      <c r="I1006" s="631" t="s">
        <v>1875</v>
      </c>
      <c r="J1006" s="629"/>
      <c r="K1006" s="648">
        <f t="shared" si="39"/>
        <v>10</v>
      </c>
      <c r="L1006" s="649">
        <f t="shared" si="40"/>
        <v>31</v>
      </c>
      <c r="M1006" s="903"/>
      <c r="N1006" s="622" t="str">
        <f t="shared" si="41"/>
        <v/>
      </c>
    </row>
    <row r="1007" spans="9:14">
      <c r="I1007" s="631" t="s">
        <v>1876</v>
      </c>
      <c r="J1007" s="629"/>
      <c r="K1007" s="648">
        <f t="shared" si="39"/>
        <v>9</v>
      </c>
      <c r="L1007" s="649">
        <f t="shared" si="40"/>
        <v>31</v>
      </c>
      <c r="M1007" s="903"/>
      <c r="N1007" s="622" t="str">
        <f t="shared" si="41"/>
        <v/>
      </c>
    </row>
    <row r="1008" spans="9:14">
      <c r="I1008" s="631" t="s">
        <v>1877</v>
      </c>
      <c r="J1008" s="629"/>
      <c r="K1008" s="648">
        <f t="shared" si="39"/>
        <v>8</v>
      </c>
      <c r="L1008" s="649">
        <f t="shared" si="40"/>
        <v>31</v>
      </c>
      <c r="M1008" s="903"/>
      <c r="N1008" s="622" t="str">
        <f t="shared" si="41"/>
        <v/>
      </c>
    </row>
    <row r="1009" spans="9:14">
      <c r="I1009" s="631" t="s">
        <v>1878</v>
      </c>
      <c r="J1009" s="629"/>
      <c r="K1009" s="648">
        <f t="shared" si="39"/>
        <v>7</v>
      </c>
      <c r="L1009" s="649">
        <f t="shared" si="40"/>
        <v>31</v>
      </c>
      <c r="M1009" s="903"/>
      <c r="N1009" s="622" t="str">
        <f t="shared" si="41"/>
        <v/>
      </c>
    </row>
    <row r="1010" spans="9:14">
      <c r="I1010" s="631" t="s">
        <v>1879</v>
      </c>
      <c r="J1010" s="629"/>
      <c r="K1010" s="648">
        <f t="shared" si="39"/>
        <v>6</v>
      </c>
      <c r="L1010" s="649">
        <f t="shared" si="40"/>
        <v>31</v>
      </c>
      <c r="M1010" s="903"/>
      <c r="N1010" s="622" t="str">
        <f t="shared" si="41"/>
        <v/>
      </c>
    </row>
    <row r="1011" spans="9:14">
      <c r="I1011" s="631" t="s">
        <v>1880</v>
      </c>
      <c r="J1011" s="629"/>
      <c r="K1011" s="648">
        <f t="shared" si="39"/>
        <v>5</v>
      </c>
      <c r="L1011" s="649">
        <f t="shared" si="40"/>
        <v>31</v>
      </c>
      <c r="M1011" s="903"/>
      <c r="N1011" s="622" t="str">
        <f t="shared" si="41"/>
        <v/>
      </c>
    </row>
    <row r="1012" spans="9:14">
      <c r="I1012" s="631" t="s">
        <v>1881</v>
      </c>
      <c r="J1012" s="629"/>
      <c r="K1012" s="648">
        <f t="shared" si="39"/>
        <v>4</v>
      </c>
      <c r="L1012" s="649">
        <f t="shared" si="40"/>
        <v>31</v>
      </c>
      <c r="M1012" s="903"/>
      <c r="N1012" s="622" t="str">
        <f t="shared" si="41"/>
        <v/>
      </c>
    </row>
    <row r="1013" spans="9:14">
      <c r="I1013" s="631" t="s">
        <v>1882</v>
      </c>
      <c r="J1013" s="629"/>
      <c r="K1013" s="648">
        <f t="shared" si="39"/>
        <v>3</v>
      </c>
      <c r="L1013" s="649">
        <f t="shared" si="40"/>
        <v>31</v>
      </c>
      <c r="M1013" s="903"/>
      <c r="N1013" s="622" t="str">
        <f t="shared" si="41"/>
        <v/>
      </c>
    </row>
    <row r="1014" spans="9:14">
      <c r="I1014" s="631" t="s">
        <v>1883</v>
      </c>
      <c r="J1014" s="629"/>
      <c r="K1014" s="648">
        <f t="shared" si="39"/>
        <v>2</v>
      </c>
      <c r="L1014" s="649">
        <f t="shared" si="40"/>
        <v>31</v>
      </c>
      <c r="M1014" s="903"/>
      <c r="N1014" s="622" t="str">
        <f t="shared" si="41"/>
        <v/>
      </c>
    </row>
    <row r="1015" spans="9:14">
      <c r="I1015" s="631" t="s">
        <v>1884</v>
      </c>
      <c r="J1015" s="629"/>
      <c r="K1015" s="648">
        <f t="shared" si="39"/>
        <v>1</v>
      </c>
      <c r="L1015" s="649">
        <f t="shared" si="40"/>
        <v>31</v>
      </c>
      <c r="M1015" s="903"/>
      <c r="N1015" s="622" t="str">
        <f t="shared" si="41"/>
        <v/>
      </c>
    </row>
    <row r="1016" spans="9:14">
      <c r="I1016" s="631" t="s">
        <v>1885</v>
      </c>
      <c r="J1016" s="629"/>
      <c r="K1016" s="648">
        <f t="shared" si="39"/>
        <v>28</v>
      </c>
      <c r="L1016" s="649">
        <f t="shared" si="40"/>
        <v>32</v>
      </c>
      <c r="M1016" s="903"/>
      <c r="N1016" s="622" t="str">
        <f t="shared" si="41"/>
        <v/>
      </c>
    </row>
    <row r="1017" spans="9:14">
      <c r="I1017" s="631" t="s">
        <v>1886</v>
      </c>
      <c r="J1017" s="629"/>
      <c r="K1017" s="648">
        <f t="shared" si="39"/>
        <v>27</v>
      </c>
      <c r="L1017" s="649">
        <f t="shared" si="40"/>
        <v>32</v>
      </c>
      <c r="M1017" s="903"/>
      <c r="N1017" s="622" t="str">
        <f t="shared" si="41"/>
        <v/>
      </c>
    </row>
    <row r="1018" spans="9:14">
      <c r="I1018" s="631" t="s">
        <v>1887</v>
      </c>
      <c r="J1018" s="629"/>
      <c r="K1018" s="648">
        <f t="shared" si="39"/>
        <v>26</v>
      </c>
      <c r="L1018" s="649">
        <f t="shared" si="40"/>
        <v>32</v>
      </c>
      <c r="M1018" s="903"/>
      <c r="N1018" s="622" t="str">
        <f t="shared" si="41"/>
        <v/>
      </c>
    </row>
    <row r="1019" spans="9:14">
      <c r="I1019" s="631" t="s">
        <v>1888</v>
      </c>
      <c r="J1019" s="629"/>
      <c r="K1019" s="648">
        <f t="shared" si="39"/>
        <v>25</v>
      </c>
      <c r="L1019" s="649">
        <f t="shared" si="40"/>
        <v>32</v>
      </c>
      <c r="M1019" s="903"/>
      <c r="N1019" s="622" t="str">
        <f t="shared" si="41"/>
        <v/>
      </c>
    </row>
    <row r="1020" spans="9:14">
      <c r="I1020" s="631" t="s">
        <v>1889</v>
      </c>
      <c r="J1020" s="629"/>
      <c r="K1020" s="648">
        <f t="shared" si="39"/>
        <v>24</v>
      </c>
      <c r="L1020" s="649">
        <f t="shared" si="40"/>
        <v>32</v>
      </c>
      <c r="M1020" s="903"/>
      <c r="N1020" s="622" t="str">
        <f t="shared" si="41"/>
        <v/>
      </c>
    </row>
    <row r="1021" spans="9:14">
      <c r="I1021" s="631" t="s">
        <v>1890</v>
      </c>
      <c r="J1021" s="629"/>
      <c r="K1021" s="648">
        <f t="shared" si="39"/>
        <v>23</v>
      </c>
      <c r="L1021" s="649">
        <f t="shared" si="40"/>
        <v>32</v>
      </c>
      <c r="M1021" s="903"/>
      <c r="N1021" s="622" t="str">
        <f t="shared" si="41"/>
        <v/>
      </c>
    </row>
    <row r="1022" spans="9:14">
      <c r="I1022" s="631" t="s">
        <v>1891</v>
      </c>
      <c r="J1022" s="629"/>
      <c r="K1022" s="648">
        <f t="shared" si="39"/>
        <v>22</v>
      </c>
      <c r="L1022" s="649">
        <f t="shared" si="40"/>
        <v>32</v>
      </c>
      <c r="M1022" s="903"/>
      <c r="N1022" s="622" t="str">
        <f t="shared" si="41"/>
        <v/>
      </c>
    </row>
    <row r="1023" spans="9:14">
      <c r="I1023" s="631" t="s">
        <v>1892</v>
      </c>
      <c r="J1023" s="629"/>
      <c r="K1023" s="648">
        <f t="shared" si="39"/>
        <v>21</v>
      </c>
      <c r="L1023" s="649">
        <f t="shared" si="40"/>
        <v>32</v>
      </c>
      <c r="M1023" s="903"/>
      <c r="N1023" s="622" t="str">
        <f t="shared" si="41"/>
        <v/>
      </c>
    </row>
    <row r="1024" spans="9:14">
      <c r="I1024" s="631" t="s">
        <v>1893</v>
      </c>
      <c r="J1024" s="629"/>
      <c r="K1024" s="648">
        <f t="shared" si="39"/>
        <v>20</v>
      </c>
      <c r="L1024" s="649">
        <f t="shared" si="40"/>
        <v>32</v>
      </c>
      <c r="M1024" s="903"/>
      <c r="N1024" s="622" t="str">
        <f t="shared" si="41"/>
        <v/>
      </c>
    </row>
    <row r="1025" spans="9:14">
      <c r="I1025" s="631" t="s">
        <v>1894</v>
      </c>
      <c r="J1025" s="629"/>
      <c r="K1025" s="648">
        <f t="shared" si="39"/>
        <v>19</v>
      </c>
      <c r="L1025" s="649">
        <f t="shared" si="40"/>
        <v>32</v>
      </c>
      <c r="M1025" s="903"/>
      <c r="N1025" s="622" t="str">
        <f t="shared" si="41"/>
        <v/>
      </c>
    </row>
    <row r="1026" spans="9:14">
      <c r="I1026" s="631" t="s">
        <v>1895</v>
      </c>
      <c r="J1026" s="629"/>
      <c r="K1026" s="648">
        <f t="shared" si="39"/>
        <v>18</v>
      </c>
      <c r="L1026" s="649">
        <f t="shared" si="40"/>
        <v>32</v>
      </c>
      <c r="M1026" s="903"/>
      <c r="N1026" s="622" t="str">
        <f t="shared" si="41"/>
        <v/>
      </c>
    </row>
    <row r="1027" spans="9:14">
      <c r="I1027" s="631" t="s">
        <v>1896</v>
      </c>
      <c r="J1027" s="629"/>
      <c r="K1027" s="648">
        <f t="shared" si="39"/>
        <v>17</v>
      </c>
      <c r="L1027" s="649">
        <f t="shared" si="40"/>
        <v>32</v>
      </c>
      <c r="M1027" s="903"/>
      <c r="N1027" s="622" t="str">
        <f t="shared" si="41"/>
        <v/>
      </c>
    </row>
    <row r="1028" spans="9:14">
      <c r="I1028" s="631" t="s">
        <v>1897</v>
      </c>
      <c r="J1028" s="629"/>
      <c r="K1028" s="648">
        <f t="shared" si="39"/>
        <v>16</v>
      </c>
      <c r="L1028" s="649">
        <f t="shared" si="40"/>
        <v>32</v>
      </c>
      <c r="M1028" s="903"/>
      <c r="N1028" s="622" t="str">
        <f t="shared" si="41"/>
        <v/>
      </c>
    </row>
    <row r="1029" spans="9:14">
      <c r="I1029" s="631" t="s">
        <v>1898</v>
      </c>
      <c r="J1029" s="629"/>
      <c r="K1029" s="648">
        <f t="shared" si="39"/>
        <v>15</v>
      </c>
      <c r="L1029" s="649">
        <f t="shared" si="40"/>
        <v>32</v>
      </c>
      <c r="M1029" s="903"/>
      <c r="N1029" s="622" t="str">
        <f t="shared" si="41"/>
        <v/>
      </c>
    </row>
    <row r="1030" spans="9:14">
      <c r="I1030" s="631" t="s">
        <v>1899</v>
      </c>
      <c r="J1030" s="629"/>
      <c r="K1030" s="648">
        <f t="shared" si="39"/>
        <v>14</v>
      </c>
      <c r="L1030" s="649">
        <f t="shared" si="40"/>
        <v>32</v>
      </c>
      <c r="M1030" s="903"/>
      <c r="N1030" s="622" t="str">
        <f t="shared" si="41"/>
        <v/>
      </c>
    </row>
    <row r="1031" spans="9:14">
      <c r="I1031" s="631" t="s">
        <v>1900</v>
      </c>
      <c r="J1031" s="629"/>
      <c r="K1031" s="648">
        <f t="shared" si="39"/>
        <v>13</v>
      </c>
      <c r="L1031" s="649">
        <f t="shared" si="40"/>
        <v>32</v>
      </c>
      <c r="M1031" s="903"/>
      <c r="N1031" s="622" t="str">
        <f t="shared" si="41"/>
        <v/>
      </c>
    </row>
    <row r="1032" spans="9:14">
      <c r="I1032" s="631" t="s">
        <v>1901</v>
      </c>
      <c r="J1032" s="629"/>
      <c r="K1032" s="648">
        <f t="shared" si="39"/>
        <v>12</v>
      </c>
      <c r="L1032" s="649">
        <f t="shared" si="40"/>
        <v>32</v>
      </c>
      <c r="M1032" s="903"/>
      <c r="N1032" s="622" t="str">
        <f t="shared" si="41"/>
        <v/>
      </c>
    </row>
    <row r="1033" spans="9:14">
      <c r="I1033" s="631" t="s">
        <v>1902</v>
      </c>
      <c r="J1033" s="629"/>
      <c r="K1033" s="648">
        <f t="shared" si="39"/>
        <v>11</v>
      </c>
      <c r="L1033" s="649">
        <f t="shared" si="40"/>
        <v>32</v>
      </c>
      <c r="M1033" s="903"/>
      <c r="N1033" s="622" t="str">
        <f t="shared" si="41"/>
        <v/>
      </c>
    </row>
    <row r="1034" spans="9:14">
      <c r="I1034" s="631" t="s">
        <v>1903</v>
      </c>
      <c r="J1034" s="629"/>
      <c r="K1034" s="648">
        <f t="shared" si="39"/>
        <v>10</v>
      </c>
      <c r="L1034" s="649">
        <f t="shared" si="40"/>
        <v>32</v>
      </c>
      <c r="M1034" s="903"/>
      <c r="N1034" s="622" t="str">
        <f t="shared" si="41"/>
        <v/>
      </c>
    </row>
    <row r="1035" spans="9:14">
      <c r="I1035" s="631" t="s">
        <v>1904</v>
      </c>
      <c r="J1035" s="629"/>
      <c r="K1035" s="648">
        <f t="shared" si="39"/>
        <v>9</v>
      </c>
      <c r="L1035" s="649">
        <f t="shared" si="40"/>
        <v>32</v>
      </c>
      <c r="M1035" s="903"/>
      <c r="N1035" s="622" t="str">
        <f t="shared" si="41"/>
        <v/>
      </c>
    </row>
    <row r="1036" spans="9:14">
      <c r="I1036" s="631" t="s">
        <v>1905</v>
      </c>
      <c r="J1036" s="629"/>
      <c r="K1036" s="648">
        <f t="shared" si="39"/>
        <v>8</v>
      </c>
      <c r="L1036" s="649">
        <f t="shared" si="40"/>
        <v>32</v>
      </c>
      <c r="M1036" s="903"/>
      <c r="N1036" s="622" t="str">
        <f t="shared" si="41"/>
        <v/>
      </c>
    </row>
    <row r="1037" spans="9:14">
      <c r="I1037" s="631" t="s">
        <v>1906</v>
      </c>
      <c r="J1037" s="629"/>
      <c r="K1037" s="648">
        <f t="shared" si="39"/>
        <v>7</v>
      </c>
      <c r="L1037" s="649">
        <f t="shared" si="40"/>
        <v>32</v>
      </c>
      <c r="M1037" s="903"/>
      <c r="N1037" s="622" t="str">
        <f t="shared" si="41"/>
        <v/>
      </c>
    </row>
    <row r="1038" spans="9:14">
      <c r="I1038" s="631" t="s">
        <v>1907</v>
      </c>
      <c r="J1038" s="629"/>
      <c r="K1038" s="648">
        <f t="shared" si="39"/>
        <v>6</v>
      </c>
      <c r="L1038" s="649">
        <f t="shared" si="40"/>
        <v>32</v>
      </c>
      <c r="M1038" s="903"/>
      <c r="N1038" s="622" t="str">
        <f t="shared" si="41"/>
        <v/>
      </c>
    </row>
    <row r="1039" spans="9:14">
      <c r="I1039" s="631" t="s">
        <v>1908</v>
      </c>
      <c r="J1039" s="629"/>
      <c r="K1039" s="648">
        <f t="shared" si="39"/>
        <v>5</v>
      </c>
      <c r="L1039" s="649">
        <f t="shared" si="40"/>
        <v>32</v>
      </c>
      <c r="M1039" s="903"/>
      <c r="N1039" s="622" t="str">
        <f t="shared" si="41"/>
        <v/>
      </c>
    </row>
    <row r="1040" spans="9:14">
      <c r="I1040" s="631" t="s">
        <v>1909</v>
      </c>
      <c r="J1040" s="629"/>
      <c r="K1040" s="648">
        <f t="shared" si="39"/>
        <v>4</v>
      </c>
      <c r="L1040" s="649">
        <f t="shared" si="40"/>
        <v>32</v>
      </c>
      <c r="M1040" s="903"/>
      <c r="N1040" s="622" t="str">
        <f t="shared" si="41"/>
        <v/>
      </c>
    </row>
    <row r="1041" spans="9:14">
      <c r="I1041" s="631" t="s">
        <v>1910</v>
      </c>
      <c r="J1041" s="629"/>
      <c r="K1041" s="648">
        <f t="shared" si="39"/>
        <v>3</v>
      </c>
      <c r="L1041" s="649">
        <f t="shared" si="40"/>
        <v>32</v>
      </c>
      <c r="M1041" s="903"/>
      <c r="N1041" s="622" t="str">
        <f t="shared" si="41"/>
        <v/>
      </c>
    </row>
    <row r="1042" spans="9:14">
      <c r="I1042" s="631" t="s">
        <v>1911</v>
      </c>
      <c r="J1042" s="629"/>
      <c r="K1042" s="648">
        <f t="shared" si="39"/>
        <v>2</v>
      </c>
      <c r="L1042" s="649">
        <f t="shared" si="40"/>
        <v>32</v>
      </c>
      <c r="M1042" s="903"/>
      <c r="N1042" s="622" t="str">
        <f t="shared" si="41"/>
        <v/>
      </c>
    </row>
    <row r="1043" spans="9:14">
      <c r="I1043" s="631" t="s">
        <v>1912</v>
      </c>
      <c r="J1043" s="629"/>
      <c r="K1043" s="648">
        <f t="shared" si="39"/>
        <v>1</v>
      </c>
      <c r="L1043" s="649">
        <f t="shared" si="40"/>
        <v>32</v>
      </c>
      <c r="M1043" s="903"/>
      <c r="N1043" s="622" t="str">
        <f t="shared" si="41"/>
        <v/>
      </c>
    </row>
    <row r="1044" spans="9:14">
      <c r="I1044" s="631" t="s">
        <v>1913</v>
      </c>
      <c r="J1044" s="629"/>
      <c r="K1044" s="648">
        <f t="shared" si="39"/>
        <v>28</v>
      </c>
      <c r="L1044" s="649">
        <f t="shared" si="40"/>
        <v>33</v>
      </c>
      <c r="M1044" s="903"/>
      <c r="N1044" s="622" t="str">
        <f t="shared" si="41"/>
        <v/>
      </c>
    </row>
    <row r="1045" spans="9:14">
      <c r="I1045" s="631" t="s">
        <v>1914</v>
      </c>
      <c r="J1045" s="629"/>
      <c r="K1045" s="648">
        <f t="shared" ref="K1045:K1108" si="42">1+(RIGHT(I1045,LEN(I1045)-FIND(",",I1045))-10)/20</f>
        <v>27</v>
      </c>
      <c r="L1045" s="649">
        <f t="shared" ref="L1045:L1108" si="43">1+((LEFT(I1045,FIND(",",I1045)-1)*-1)-10)/20</f>
        <v>33</v>
      </c>
      <c r="M1045" s="903"/>
      <c r="N1045" s="622" t="str">
        <f t="shared" ref="N1045:N1108" si="44">IF(AND(K1045&lt;=$I$144,K1045&gt;=$I$145,L1045&gt;=$M$143,L1045&lt;=$N$143),MIN(ROUND(M1045,2),633),"")</f>
        <v/>
      </c>
    </row>
    <row r="1046" spans="9:14">
      <c r="I1046" s="631" t="s">
        <v>1915</v>
      </c>
      <c r="J1046" s="629"/>
      <c r="K1046" s="648">
        <f t="shared" si="42"/>
        <v>26</v>
      </c>
      <c r="L1046" s="649">
        <f t="shared" si="43"/>
        <v>33</v>
      </c>
      <c r="M1046" s="903"/>
      <c r="N1046" s="622" t="str">
        <f t="shared" si="44"/>
        <v/>
      </c>
    </row>
    <row r="1047" spans="9:14">
      <c r="I1047" s="631" t="s">
        <v>1916</v>
      </c>
      <c r="J1047" s="629"/>
      <c r="K1047" s="648">
        <f t="shared" si="42"/>
        <v>25</v>
      </c>
      <c r="L1047" s="649">
        <f t="shared" si="43"/>
        <v>33</v>
      </c>
      <c r="M1047" s="903"/>
      <c r="N1047" s="622" t="str">
        <f t="shared" si="44"/>
        <v/>
      </c>
    </row>
    <row r="1048" spans="9:14">
      <c r="I1048" s="631" t="s">
        <v>1917</v>
      </c>
      <c r="J1048" s="629"/>
      <c r="K1048" s="648">
        <f t="shared" si="42"/>
        <v>24</v>
      </c>
      <c r="L1048" s="649">
        <f t="shared" si="43"/>
        <v>33</v>
      </c>
      <c r="M1048" s="903"/>
      <c r="N1048" s="622" t="str">
        <f t="shared" si="44"/>
        <v/>
      </c>
    </row>
    <row r="1049" spans="9:14">
      <c r="I1049" s="631" t="s">
        <v>1918</v>
      </c>
      <c r="J1049" s="629"/>
      <c r="K1049" s="648">
        <f t="shared" si="42"/>
        <v>23</v>
      </c>
      <c r="L1049" s="649">
        <f t="shared" si="43"/>
        <v>33</v>
      </c>
      <c r="M1049" s="903"/>
      <c r="N1049" s="622" t="str">
        <f t="shared" si="44"/>
        <v/>
      </c>
    </row>
    <row r="1050" spans="9:14">
      <c r="I1050" s="631" t="s">
        <v>1919</v>
      </c>
      <c r="J1050" s="629"/>
      <c r="K1050" s="648">
        <f t="shared" si="42"/>
        <v>22</v>
      </c>
      <c r="L1050" s="649">
        <f t="shared" si="43"/>
        <v>33</v>
      </c>
      <c r="M1050" s="903"/>
      <c r="N1050" s="622" t="str">
        <f t="shared" si="44"/>
        <v/>
      </c>
    </row>
    <row r="1051" spans="9:14">
      <c r="I1051" s="631" t="s">
        <v>1920</v>
      </c>
      <c r="J1051" s="629"/>
      <c r="K1051" s="648">
        <f t="shared" si="42"/>
        <v>21</v>
      </c>
      <c r="L1051" s="649">
        <f t="shared" si="43"/>
        <v>33</v>
      </c>
      <c r="M1051" s="903"/>
      <c r="N1051" s="622" t="str">
        <f t="shared" si="44"/>
        <v/>
      </c>
    </row>
    <row r="1052" spans="9:14">
      <c r="I1052" s="631" t="s">
        <v>1921</v>
      </c>
      <c r="J1052" s="629"/>
      <c r="K1052" s="648">
        <f t="shared" si="42"/>
        <v>20</v>
      </c>
      <c r="L1052" s="649">
        <f t="shared" si="43"/>
        <v>33</v>
      </c>
      <c r="M1052" s="903"/>
      <c r="N1052" s="622" t="str">
        <f t="shared" si="44"/>
        <v/>
      </c>
    </row>
    <row r="1053" spans="9:14">
      <c r="I1053" s="631" t="s">
        <v>1922</v>
      </c>
      <c r="J1053" s="629"/>
      <c r="K1053" s="648">
        <f t="shared" si="42"/>
        <v>19</v>
      </c>
      <c r="L1053" s="649">
        <f t="shared" si="43"/>
        <v>33</v>
      </c>
      <c r="M1053" s="903"/>
      <c r="N1053" s="622" t="str">
        <f t="shared" si="44"/>
        <v/>
      </c>
    </row>
    <row r="1054" spans="9:14">
      <c r="I1054" s="631" t="s">
        <v>1923</v>
      </c>
      <c r="J1054" s="629"/>
      <c r="K1054" s="648">
        <f t="shared" si="42"/>
        <v>18</v>
      </c>
      <c r="L1054" s="649">
        <f t="shared" si="43"/>
        <v>33</v>
      </c>
      <c r="M1054" s="903"/>
      <c r="N1054" s="622" t="str">
        <f t="shared" si="44"/>
        <v/>
      </c>
    </row>
    <row r="1055" spans="9:14">
      <c r="I1055" s="631" t="s">
        <v>1924</v>
      </c>
      <c r="J1055" s="629"/>
      <c r="K1055" s="648">
        <f t="shared" si="42"/>
        <v>17</v>
      </c>
      <c r="L1055" s="649">
        <f t="shared" si="43"/>
        <v>33</v>
      </c>
      <c r="M1055" s="903"/>
      <c r="N1055" s="622" t="str">
        <f t="shared" si="44"/>
        <v/>
      </c>
    </row>
    <row r="1056" spans="9:14">
      <c r="I1056" s="631" t="s">
        <v>1925</v>
      </c>
      <c r="J1056" s="629"/>
      <c r="K1056" s="648">
        <f t="shared" si="42"/>
        <v>16</v>
      </c>
      <c r="L1056" s="649">
        <f t="shared" si="43"/>
        <v>33</v>
      </c>
      <c r="M1056" s="903"/>
      <c r="N1056" s="622" t="str">
        <f t="shared" si="44"/>
        <v/>
      </c>
    </row>
    <row r="1057" spans="9:14">
      <c r="I1057" s="631" t="s">
        <v>1926</v>
      </c>
      <c r="J1057" s="629"/>
      <c r="K1057" s="648">
        <f t="shared" si="42"/>
        <v>15</v>
      </c>
      <c r="L1057" s="649">
        <f t="shared" si="43"/>
        <v>33</v>
      </c>
      <c r="M1057" s="903"/>
      <c r="N1057" s="622" t="str">
        <f t="shared" si="44"/>
        <v/>
      </c>
    </row>
    <row r="1058" spans="9:14">
      <c r="I1058" s="631" t="s">
        <v>1927</v>
      </c>
      <c r="J1058" s="629"/>
      <c r="K1058" s="648">
        <f t="shared" si="42"/>
        <v>14</v>
      </c>
      <c r="L1058" s="649">
        <f t="shared" si="43"/>
        <v>33</v>
      </c>
      <c r="M1058" s="903"/>
      <c r="N1058" s="622" t="str">
        <f t="shared" si="44"/>
        <v/>
      </c>
    </row>
    <row r="1059" spans="9:14">
      <c r="I1059" s="631" t="s">
        <v>1928</v>
      </c>
      <c r="J1059" s="629"/>
      <c r="K1059" s="648">
        <f t="shared" si="42"/>
        <v>13</v>
      </c>
      <c r="L1059" s="649">
        <f t="shared" si="43"/>
        <v>33</v>
      </c>
      <c r="M1059" s="903"/>
      <c r="N1059" s="622" t="str">
        <f t="shared" si="44"/>
        <v/>
      </c>
    </row>
    <row r="1060" spans="9:14">
      <c r="I1060" s="631" t="s">
        <v>1929</v>
      </c>
      <c r="J1060" s="629"/>
      <c r="K1060" s="648">
        <f t="shared" si="42"/>
        <v>12</v>
      </c>
      <c r="L1060" s="649">
        <f t="shared" si="43"/>
        <v>33</v>
      </c>
      <c r="M1060" s="903"/>
      <c r="N1060" s="622" t="str">
        <f t="shared" si="44"/>
        <v/>
      </c>
    </row>
    <row r="1061" spans="9:14">
      <c r="I1061" s="631" t="s">
        <v>1930</v>
      </c>
      <c r="J1061" s="629"/>
      <c r="K1061" s="648">
        <f t="shared" si="42"/>
        <v>11</v>
      </c>
      <c r="L1061" s="649">
        <f t="shared" si="43"/>
        <v>33</v>
      </c>
      <c r="M1061" s="903"/>
      <c r="N1061" s="622" t="str">
        <f t="shared" si="44"/>
        <v/>
      </c>
    </row>
    <row r="1062" spans="9:14">
      <c r="I1062" s="631" t="s">
        <v>1931</v>
      </c>
      <c r="J1062" s="629"/>
      <c r="K1062" s="648">
        <f t="shared" si="42"/>
        <v>10</v>
      </c>
      <c r="L1062" s="649">
        <f t="shared" si="43"/>
        <v>33</v>
      </c>
      <c r="M1062" s="903"/>
      <c r="N1062" s="622" t="str">
        <f t="shared" si="44"/>
        <v/>
      </c>
    </row>
    <row r="1063" spans="9:14">
      <c r="I1063" s="631" t="s">
        <v>1932</v>
      </c>
      <c r="J1063" s="629"/>
      <c r="K1063" s="648">
        <f t="shared" si="42"/>
        <v>9</v>
      </c>
      <c r="L1063" s="649">
        <f t="shared" si="43"/>
        <v>33</v>
      </c>
      <c r="M1063" s="903"/>
      <c r="N1063" s="622" t="str">
        <f t="shared" si="44"/>
        <v/>
      </c>
    </row>
    <row r="1064" spans="9:14">
      <c r="I1064" s="631" t="s">
        <v>1933</v>
      </c>
      <c r="J1064" s="629"/>
      <c r="K1064" s="648">
        <f t="shared" si="42"/>
        <v>8</v>
      </c>
      <c r="L1064" s="649">
        <f t="shared" si="43"/>
        <v>33</v>
      </c>
      <c r="M1064" s="903"/>
      <c r="N1064" s="622" t="str">
        <f t="shared" si="44"/>
        <v/>
      </c>
    </row>
    <row r="1065" spans="9:14">
      <c r="I1065" s="631" t="s">
        <v>1934</v>
      </c>
      <c r="J1065" s="629"/>
      <c r="K1065" s="648">
        <f t="shared" si="42"/>
        <v>7</v>
      </c>
      <c r="L1065" s="649">
        <f t="shared" si="43"/>
        <v>33</v>
      </c>
      <c r="M1065" s="903"/>
      <c r="N1065" s="622" t="str">
        <f t="shared" si="44"/>
        <v/>
      </c>
    </row>
    <row r="1066" spans="9:14">
      <c r="I1066" s="631" t="s">
        <v>1935</v>
      </c>
      <c r="J1066" s="629"/>
      <c r="K1066" s="648">
        <f t="shared" si="42"/>
        <v>6</v>
      </c>
      <c r="L1066" s="649">
        <f t="shared" si="43"/>
        <v>33</v>
      </c>
      <c r="M1066" s="903"/>
      <c r="N1066" s="622" t="str">
        <f t="shared" si="44"/>
        <v/>
      </c>
    </row>
    <row r="1067" spans="9:14">
      <c r="I1067" s="631" t="s">
        <v>1936</v>
      </c>
      <c r="J1067" s="629"/>
      <c r="K1067" s="648">
        <f t="shared" si="42"/>
        <v>5</v>
      </c>
      <c r="L1067" s="649">
        <f t="shared" si="43"/>
        <v>33</v>
      </c>
      <c r="M1067" s="903"/>
      <c r="N1067" s="622" t="str">
        <f t="shared" si="44"/>
        <v/>
      </c>
    </row>
    <row r="1068" spans="9:14">
      <c r="I1068" s="631" t="s">
        <v>1937</v>
      </c>
      <c r="J1068" s="629"/>
      <c r="K1068" s="648">
        <f t="shared" si="42"/>
        <v>4</v>
      </c>
      <c r="L1068" s="649">
        <f t="shared" si="43"/>
        <v>33</v>
      </c>
      <c r="M1068" s="903"/>
      <c r="N1068" s="622" t="str">
        <f t="shared" si="44"/>
        <v/>
      </c>
    </row>
    <row r="1069" spans="9:14">
      <c r="I1069" s="631" t="s">
        <v>1938</v>
      </c>
      <c r="J1069" s="629"/>
      <c r="K1069" s="648">
        <f t="shared" si="42"/>
        <v>3</v>
      </c>
      <c r="L1069" s="649">
        <f t="shared" si="43"/>
        <v>33</v>
      </c>
      <c r="M1069" s="903"/>
      <c r="N1069" s="622" t="str">
        <f t="shared" si="44"/>
        <v/>
      </c>
    </row>
    <row r="1070" spans="9:14">
      <c r="I1070" s="631" t="s">
        <v>1939</v>
      </c>
      <c r="J1070" s="629"/>
      <c r="K1070" s="648">
        <f t="shared" si="42"/>
        <v>2</v>
      </c>
      <c r="L1070" s="649">
        <f t="shared" si="43"/>
        <v>33</v>
      </c>
      <c r="M1070" s="903"/>
      <c r="N1070" s="622" t="str">
        <f t="shared" si="44"/>
        <v/>
      </c>
    </row>
    <row r="1071" spans="9:14">
      <c r="I1071" s="631" t="s">
        <v>1940</v>
      </c>
      <c r="J1071" s="629"/>
      <c r="K1071" s="648">
        <f t="shared" si="42"/>
        <v>1</v>
      </c>
      <c r="L1071" s="649">
        <f t="shared" si="43"/>
        <v>33</v>
      </c>
      <c r="M1071" s="903"/>
      <c r="N1071" s="622" t="str">
        <f t="shared" si="44"/>
        <v/>
      </c>
    </row>
    <row r="1072" spans="9:14">
      <c r="I1072" s="631" t="s">
        <v>1941</v>
      </c>
      <c r="J1072" s="629"/>
      <c r="K1072" s="648">
        <f t="shared" si="42"/>
        <v>28</v>
      </c>
      <c r="L1072" s="649">
        <f t="shared" si="43"/>
        <v>34</v>
      </c>
      <c r="M1072" s="903"/>
      <c r="N1072" s="622" t="str">
        <f t="shared" si="44"/>
        <v/>
      </c>
    </row>
    <row r="1073" spans="9:14">
      <c r="I1073" s="631" t="s">
        <v>1942</v>
      </c>
      <c r="J1073" s="629"/>
      <c r="K1073" s="648">
        <f t="shared" si="42"/>
        <v>27</v>
      </c>
      <c r="L1073" s="649">
        <f t="shared" si="43"/>
        <v>34</v>
      </c>
      <c r="M1073" s="903"/>
      <c r="N1073" s="622" t="str">
        <f t="shared" si="44"/>
        <v/>
      </c>
    </row>
    <row r="1074" spans="9:14">
      <c r="I1074" s="631" t="s">
        <v>1943</v>
      </c>
      <c r="J1074" s="629"/>
      <c r="K1074" s="648">
        <f t="shared" si="42"/>
        <v>26</v>
      </c>
      <c r="L1074" s="649">
        <f t="shared" si="43"/>
        <v>34</v>
      </c>
      <c r="M1074" s="903"/>
      <c r="N1074" s="622" t="str">
        <f t="shared" si="44"/>
        <v/>
      </c>
    </row>
    <row r="1075" spans="9:14">
      <c r="I1075" s="631" t="s">
        <v>1944</v>
      </c>
      <c r="J1075" s="629"/>
      <c r="K1075" s="648">
        <f t="shared" si="42"/>
        <v>25</v>
      </c>
      <c r="L1075" s="649">
        <f t="shared" si="43"/>
        <v>34</v>
      </c>
      <c r="M1075" s="903"/>
      <c r="N1075" s="622" t="str">
        <f t="shared" si="44"/>
        <v/>
      </c>
    </row>
    <row r="1076" spans="9:14">
      <c r="I1076" s="631" t="s">
        <v>1945</v>
      </c>
      <c r="J1076" s="629"/>
      <c r="K1076" s="648">
        <f t="shared" si="42"/>
        <v>24</v>
      </c>
      <c r="L1076" s="649">
        <f t="shared" si="43"/>
        <v>34</v>
      </c>
      <c r="M1076" s="903"/>
      <c r="N1076" s="622" t="str">
        <f t="shared" si="44"/>
        <v/>
      </c>
    </row>
    <row r="1077" spans="9:14">
      <c r="I1077" s="631" t="s">
        <v>1946</v>
      </c>
      <c r="J1077" s="629"/>
      <c r="K1077" s="648">
        <f t="shared" si="42"/>
        <v>23</v>
      </c>
      <c r="L1077" s="649">
        <f t="shared" si="43"/>
        <v>34</v>
      </c>
      <c r="M1077" s="903"/>
      <c r="N1077" s="622" t="str">
        <f t="shared" si="44"/>
        <v/>
      </c>
    </row>
    <row r="1078" spans="9:14">
      <c r="I1078" s="631" t="s">
        <v>1947</v>
      </c>
      <c r="J1078" s="629"/>
      <c r="K1078" s="648">
        <f t="shared" si="42"/>
        <v>22</v>
      </c>
      <c r="L1078" s="649">
        <f t="shared" si="43"/>
        <v>34</v>
      </c>
      <c r="M1078" s="903"/>
      <c r="N1078" s="622" t="str">
        <f t="shared" si="44"/>
        <v/>
      </c>
    </row>
    <row r="1079" spans="9:14">
      <c r="I1079" s="631" t="s">
        <v>1948</v>
      </c>
      <c r="J1079" s="629"/>
      <c r="K1079" s="648">
        <f t="shared" si="42"/>
        <v>21</v>
      </c>
      <c r="L1079" s="649">
        <f t="shared" si="43"/>
        <v>34</v>
      </c>
      <c r="M1079" s="903"/>
      <c r="N1079" s="622" t="str">
        <f t="shared" si="44"/>
        <v/>
      </c>
    </row>
    <row r="1080" spans="9:14">
      <c r="I1080" s="631" t="s">
        <v>1949</v>
      </c>
      <c r="J1080" s="629"/>
      <c r="K1080" s="648">
        <f t="shared" si="42"/>
        <v>20</v>
      </c>
      <c r="L1080" s="649">
        <f t="shared" si="43"/>
        <v>34</v>
      </c>
      <c r="M1080" s="903"/>
      <c r="N1080" s="622" t="str">
        <f t="shared" si="44"/>
        <v/>
      </c>
    </row>
    <row r="1081" spans="9:14">
      <c r="I1081" s="631" t="s">
        <v>1950</v>
      </c>
      <c r="J1081" s="629"/>
      <c r="K1081" s="648">
        <f t="shared" si="42"/>
        <v>19</v>
      </c>
      <c r="L1081" s="649">
        <f t="shared" si="43"/>
        <v>34</v>
      </c>
      <c r="M1081" s="903"/>
      <c r="N1081" s="622" t="str">
        <f t="shared" si="44"/>
        <v/>
      </c>
    </row>
    <row r="1082" spans="9:14">
      <c r="I1082" s="631" t="s">
        <v>1951</v>
      </c>
      <c r="J1082" s="629"/>
      <c r="K1082" s="648">
        <f t="shared" si="42"/>
        <v>18</v>
      </c>
      <c r="L1082" s="649">
        <f t="shared" si="43"/>
        <v>34</v>
      </c>
      <c r="M1082" s="903"/>
      <c r="N1082" s="622" t="str">
        <f t="shared" si="44"/>
        <v/>
      </c>
    </row>
    <row r="1083" spans="9:14">
      <c r="I1083" s="631" t="s">
        <v>1952</v>
      </c>
      <c r="J1083" s="629"/>
      <c r="K1083" s="648">
        <f t="shared" si="42"/>
        <v>17</v>
      </c>
      <c r="L1083" s="649">
        <f t="shared" si="43"/>
        <v>34</v>
      </c>
      <c r="M1083" s="903"/>
      <c r="N1083" s="622" t="str">
        <f t="shared" si="44"/>
        <v/>
      </c>
    </row>
    <row r="1084" spans="9:14">
      <c r="I1084" s="631" t="s">
        <v>1953</v>
      </c>
      <c r="J1084" s="629"/>
      <c r="K1084" s="648">
        <f t="shared" si="42"/>
        <v>16</v>
      </c>
      <c r="L1084" s="649">
        <f t="shared" si="43"/>
        <v>34</v>
      </c>
      <c r="M1084" s="903"/>
      <c r="N1084" s="622" t="str">
        <f t="shared" si="44"/>
        <v/>
      </c>
    </row>
    <row r="1085" spans="9:14">
      <c r="I1085" s="631" t="s">
        <v>1954</v>
      </c>
      <c r="J1085" s="629"/>
      <c r="K1085" s="648">
        <f t="shared" si="42"/>
        <v>15</v>
      </c>
      <c r="L1085" s="649">
        <f t="shared" si="43"/>
        <v>34</v>
      </c>
      <c r="M1085" s="903"/>
      <c r="N1085" s="622" t="str">
        <f t="shared" si="44"/>
        <v/>
      </c>
    </row>
    <row r="1086" spans="9:14">
      <c r="I1086" s="631" t="s">
        <v>1955</v>
      </c>
      <c r="J1086" s="629"/>
      <c r="K1086" s="648">
        <f t="shared" si="42"/>
        <v>14</v>
      </c>
      <c r="L1086" s="649">
        <f t="shared" si="43"/>
        <v>34</v>
      </c>
      <c r="M1086" s="903"/>
      <c r="N1086" s="622" t="str">
        <f t="shared" si="44"/>
        <v/>
      </c>
    </row>
    <row r="1087" spans="9:14">
      <c r="I1087" s="631" t="s">
        <v>1956</v>
      </c>
      <c r="J1087" s="629"/>
      <c r="K1087" s="648">
        <f t="shared" si="42"/>
        <v>13</v>
      </c>
      <c r="L1087" s="649">
        <f t="shared" si="43"/>
        <v>34</v>
      </c>
      <c r="M1087" s="903"/>
      <c r="N1087" s="622" t="str">
        <f t="shared" si="44"/>
        <v/>
      </c>
    </row>
    <row r="1088" spans="9:14">
      <c r="I1088" s="631" t="s">
        <v>1957</v>
      </c>
      <c r="J1088" s="629"/>
      <c r="K1088" s="648">
        <f t="shared" si="42"/>
        <v>12</v>
      </c>
      <c r="L1088" s="649">
        <f t="shared" si="43"/>
        <v>34</v>
      </c>
      <c r="M1088" s="903"/>
      <c r="N1088" s="622" t="str">
        <f t="shared" si="44"/>
        <v/>
      </c>
    </row>
    <row r="1089" spans="9:14">
      <c r="I1089" s="631" t="s">
        <v>1958</v>
      </c>
      <c r="J1089" s="629"/>
      <c r="K1089" s="648">
        <f t="shared" si="42"/>
        <v>11</v>
      </c>
      <c r="L1089" s="649">
        <f t="shared" si="43"/>
        <v>34</v>
      </c>
      <c r="M1089" s="903"/>
      <c r="N1089" s="622" t="str">
        <f t="shared" si="44"/>
        <v/>
      </c>
    </row>
    <row r="1090" spans="9:14">
      <c r="I1090" s="631" t="s">
        <v>1959</v>
      </c>
      <c r="J1090" s="629"/>
      <c r="K1090" s="648">
        <f t="shared" si="42"/>
        <v>10</v>
      </c>
      <c r="L1090" s="649">
        <f t="shared" si="43"/>
        <v>34</v>
      </c>
      <c r="M1090" s="903"/>
      <c r="N1090" s="622" t="str">
        <f t="shared" si="44"/>
        <v/>
      </c>
    </row>
    <row r="1091" spans="9:14">
      <c r="I1091" s="631" t="s">
        <v>1960</v>
      </c>
      <c r="J1091" s="629"/>
      <c r="K1091" s="648">
        <f t="shared" si="42"/>
        <v>9</v>
      </c>
      <c r="L1091" s="649">
        <f t="shared" si="43"/>
        <v>34</v>
      </c>
      <c r="M1091" s="903"/>
      <c r="N1091" s="622" t="str">
        <f t="shared" si="44"/>
        <v/>
      </c>
    </row>
    <row r="1092" spans="9:14">
      <c r="I1092" s="631" t="s">
        <v>1961</v>
      </c>
      <c r="J1092" s="629"/>
      <c r="K1092" s="648">
        <f t="shared" si="42"/>
        <v>8</v>
      </c>
      <c r="L1092" s="649">
        <f t="shared" si="43"/>
        <v>34</v>
      </c>
      <c r="M1092" s="903"/>
      <c r="N1092" s="622" t="str">
        <f t="shared" si="44"/>
        <v/>
      </c>
    </row>
    <row r="1093" spans="9:14">
      <c r="I1093" s="631" t="s">
        <v>1962</v>
      </c>
      <c r="J1093" s="629"/>
      <c r="K1093" s="648">
        <f t="shared" si="42"/>
        <v>7</v>
      </c>
      <c r="L1093" s="649">
        <f t="shared" si="43"/>
        <v>34</v>
      </c>
      <c r="M1093" s="903"/>
      <c r="N1093" s="622" t="str">
        <f t="shared" si="44"/>
        <v/>
      </c>
    </row>
    <row r="1094" spans="9:14">
      <c r="I1094" s="631" t="s">
        <v>1963</v>
      </c>
      <c r="J1094" s="629"/>
      <c r="K1094" s="648">
        <f t="shared" si="42"/>
        <v>6</v>
      </c>
      <c r="L1094" s="649">
        <f t="shared" si="43"/>
        <v>34</v>
      </c>
      <c r="M1094" s="903"/>
      <c r="N1094" s="622" t="str">
        <f t="shared" si="44"/>
        <v/>
      </c>
    </row>
    <row r="1095" spans="9:14">
      <c r="I1095" s="631" t="s">
        <v>1964</v>
      </c>
      <c r="J1095" s="629"/>
      <c r="K1095" s="648">
        <f t="shared" si="42"/>
        <v>5</v>
      </c>
      <c r="L1095" s="649">
        <f t="shared" si="43"/>
        <v>34</v>
      </c>
      <c r="M1095" s="903"/>
      <c r="N1095" s="622" t="str">
        <f t="shared" si="44"/>
        <v/>
      </c>
    </row>
    <row r="1096" spans="9:14">
      <c r="I1096" s="631" t="s">
        <v>1965</v>
      </c>
      <c r="J1096" s="629"/>
      <c r="K1096" s="648">
        <f t="shared" si="42"/>
        <v>4</v>
      </c>
      <c r="L1096" s="649">
        <f t="shared" si="43"/>
        <v>34</v>
      </c>
      <c r="M1096" s="903"/>
      <c r="N1096" s="622" t="str">
        <f t="shared" si="44"/>
        <v/>
      </c>
    </row>
    <row r="1097" spans="9:14">
      <c r="I1097" s="631" t="s">
        <v>1966</v>
      </c>
      <c r="J1097" s="629"/>
      <c r="K1097" s="648">
        <f t="shared" si="42"/>
        <v>3</v>
      </c>
      <c r="L1097" s="649">
        <f t="shared" si="43"/>
        <v>34</v>
      </c>
      <c r="M1097" s="903"/>
      <c r="N1097" s="622" t="str">
        <f t="shared" si="44"/>
        <v/>
      </c>
    </row>
    <row r="1098" spans="9:14">
      <c r="I1098" s="631" t="s">
        <v>1967</v>
      </c>
      <c r="J1098" s="629"/>
      <c r="K1098" s="648">
        <f t="shared" si="42"/>
        <v>2</v>
      </c>
      <c r="L1098" s="649">
        <f t="shared" si="43"/>
        <v>34</v>
      </c>
      <c r="M1098" s="903"/>
      <c r="N1098" s="622" t="str">
        <f t="shared" si="44"/>
        <v/>
      </c>
    </row>
    <row r="1099" spans="9:14">
      <c r="I1099" s="631" t="s">
        <v>1968</v>
      </c>
      <c r="J1099" s="629"/>
      <c r="K1099" s="648">
        <f t="shared" si="42"/>
        <v>1</v>
      </c>
      <c r="L1099" s="649">
        <f t="shared" si="43"/>
        <v>34</v>
      </c>
      <c r="M1099" s="903"/>
      <c r="N1099" s="622" t="str">
        <f t="shared" si="44"/>
        <v/>
      </c>
    </row>
    <row r="1100" spans="9:14">
      <c r="I1100" s="631" t="s">
        <v>1969</v>
      </c>
      <c r="J1100" s="629"/>
      <c r="K1100" s="648">
        <f t="shared" si="42"/>
        <v>28</v>
      </c>
      <c r="L1100" s="649">
        <f t="shared" si="43"/>
        <v>35</v>
      </c>
      <c r="M1100" s="903"/>
      <c r="N1100" s="622" t="str">
        <f t="shared" si="44"/>
        <v/>
      </c>
    </row>
    <row r="1101" spans="9:14">
      <c r="I1101" s="631" t="s">
        <v>1970</v>
      </c>
      <c r="J1101" s="629"/>
      <c r="K1101" s="648">
        <f t="shared" si="42"/>
        <v>27</v>
      </c>
      <c r="L1101" s="649">
        <f t="shared" si="43"/>
        <v>35</v>
      </c>
      <c r="M1101" s="903"/>
      <c r="N1101" s="622" t="str">
        <f t="shared" si="44"/>
        <v/>
      </c>
    </row>
    <row r="1102" spans="9:14">
      <c r="I1102" s="631" t="s">
        <v>1971</v>
      </c>
      <c r="J1102" s="629"/>
      <c r="K1102" s="648">
        <f t="shared" si="42"/>
        <v>26</v>
      </c>
      <c r="L1102" s="649">
        <f t="shared" si="43"/>
        <v>35</v>
      </c>
      <c r="M1102" s="903"/>
      <c r="N1102" s="622" t="str">
        <f t="shared" si="44"/>
        <v/>
      </c>
    </row>
    <row r="1103" spans="9:14">
      <c r="I1103" s="631" t="s">
        <v>1972</v>
      </c>
      <c r="J1103" s="629"/>
      <c r="K1103" s="648">
        <f t="shared" si="42"/>
        <v>25</v>
      </c>
      <c r="L1103" s="649">
        <f t="shared" si="43"/>
        <v>35</v>
      </c>
      <c r="M1103" s="903"/>
      <c r="N1103" s="622" t="str">
        <f t="shared" si="44"/>
        <v/>
      </c>
    </row>
    <row r="1104" spans="9:14">
      <c r="I1104" s="631" t="s">
        <v>1973</v>
      </c>
      <c r="J1104" s="629"/>
      <c r="K1104" s="648">
        <f t="shared" si="42"/>
        <v>24</v>
      </c>
      <c r="L1104" s="649">
        <f t="shared" si="43"/>
        <v>35</v>
      </c>
      <c r="M1104" s="903"/>
      <c r="N1104" s="622" t="str">
        <f t="shared" si="44"/>
        <v/>
      </c>
    </row>
    <row r="1105" spans="9:14">
      <c r="I1105" s="631" t="s">
        <v>1974</v>
      </c>
      <c r="J1105" s="629"/>
      <c r="K1105" s="648">
        <f t="shared" si="42"/>
        <v>23</v>
      </c>
      <c r="L1105" s="649">
        <f t="shared" si="43"/>
        <v>35</v>
      </c>
      <c r="M1105" s="903"/>
      <c r="N1105" s="622" t="str">
        <f t="shared" si="44"/>
        <v/>
      </c>
    </row>
    <row r="1106" spans="9:14">
      <c r="I1106" s="631" t="s">
        <v>1975</v>
      </c>
      <c r="J1106" s="629"/>
      <c r="K1106" s="648">
        <f t="shared" si="42"/>
        <v>22</v>
      </c>
      <c r="L1106" s="649">
        <f t="shared" si="43"/>
        <v>35</v>
      </c>
      <c r="M1106" s="903"/>
      <c r="N1106" s="622" t="str">
        <f t="shared" si="44"/>
        <v/>
      </c>
    </row>
    <row r="1107" spans="9:14">
      <c r="I1107" s="631" t="s">
        <v>1976</v>
      </c>
      <c r="J1107" s="629"/>
      <c r="K1107" s="648">
        <f t="shared" si="42"/>
        <v>21</v>
      </c>
      <c r="L1107" s="649">
        <f t="shared" si="43"/>
        <v>35</v>
      </c>
      <c r="M1107" s="903"/>
      <c r="N1107" s="622" t="str">
        <f t="shared" si="44"/>
        <v/>
      </c>
    </row>
    <row r="1108" spans="9:14">
      <c r="I1108" s="631" t="s">
        <v>1977</v>
      </c>
      <c r="J1108" s="629"/>
      <c r="K1108" s="648">
        <f t="shared" si="42"/>
        <v>20</v>
      </c>
      <c r="L1108" s="649">
        <f t="shared" si="43"/>
        <v>35</v>
      </c>
      <c r="M1108" s="903"/>
      <c r="N1108" s="622" t="str">
        <f t="shared" si="44"/>
        <v/>
      </c>
    </row>
    <row r="1109" spans="9:14">
      <c r="I1109" s="631" t="s">
        <v>1978</v>
      </c>
      <c r="J1109" s="629"/>
      <c r="K1109" s="648">
        <f t="shared" ref="K1109:K1172" si="45">1+(RIGHT(I1109,LEN(I1109)-FIND(",",I1109))-10)/20</f>
        <v>19</v>
      </c>
      <c r="L1109" s="649">
        <f t="shared" ref="L1109:L1172" si="46">1+((LEFT(I1109,FIND(",",I1109)-1)*-1)-10)/20</f>
        <v>35</v>
      </c>
      <c r="M1109" s="903"/>
      <c r="N1109" s="622" t="str">
        <f t="shared" ref="N1109:N1172" si="47">IF(AND(K1109&lt;=$I$144,K1109&gt;=$I$145,L1109&gt;=$M$143,L1109&lt;=$N$143),MIN(ROUND(M1109,2),633),"")</f>
        <v/>
      </c>
    </row>
    <row r="1110" spans="9:14">
      <c r="I1110" s="631" t="s">
        <v>1979</v>
      </c>
      <c r="J1110" s="629"/>
      <c r="K1110" s="648">
        <f t="shared" si="45"/>
        <v>18</v>
      </c>
      <c r="L1110" s="649">
        <f t="shared" si="46"/>
        <v>35</v>
      </c>
      <c r="M1110" s="903"/>
      <c r="N1110" s="622" t="str">
        <f t="shared" si="47"/>
        <v/>
      </c>
    </row>
    <row r="1111" spans="9:14">
      <c r="I1111" s="631" t="s">
        <v>1980</v>
      </c>
      <c r="J1111" s="629"/>
      <c r="K1111" s="648">
        <f t="shared" si="45"/>
        <v>17</v>
      </c>
      <c r="L1111" s="649">
        <f t="shared" si="46"/>
        <v>35</v>
      </c>
      <c r="M1111" s="903"/>
      <c r="N1111" s="622" t="str">
        <f t="shared" si="47"/>
        <v/>
      </c>
    </row>
    <row r="1112" spans="9:14">
      <c r="I1112" s="631" t="s">
        <v>1981</v>
      </c>
      <c r="J1112" s="629"/>
      <c r="K1112" s="648">
        <f t="shared" si="45"/>
        <v>16</v>
      </c>
      <c r="L1112" s="649">
        <f t="shared" si="46"/>
        <v>35</v>
      </c>
      <c r="M1112" s="903"/>
      <c r="N1112" s="622" t="str">
        <f t="shared" si="47"/>
        <v/>
      </c>
    </row>
    <row r="1113" spans="9:14">
      <c r="I1113" s="631" t="s">
        <v>1982</v>
      </c>
      <c r="J1113" s="629"/>
      <c r="K1113" s="648">
        <f t="shared" si="45"/>
        <v>15</v>
      </c>
      <c r="L1113" s="649">
        <f t="shared" si="46"/>
        <v>35</v>
      </c>
      <c r="M1113" s="903"/>
      <c r="N1113" s="622" t="str">
        <f t="shared" si="47"/>
        <v/>
      </c>
    </row>
    <row r="1114" spans="9:14">
      <c r="I1114" s="631" t="s">
        <v>1983</v>
      </c>
      <c r="J1114" s="629"/>
      <c r="K1114" s="648">
        <f t="shared" si="45"/>
        <v>14</v>
      </c>
      <c r="L1114" s="649">
        <f t="shared" si="46"/>
        <v>35</v>
      </c>
      <c r="M1114" s="903"/>
      <c r="N1114" s="622" t="str">
        <f t="shared" si="47"/>
        <v/>
      </c>
    </row>
    <row r="1115" spans="9:14">
      <c r="I1115" s="631" t="s">
        <v>1984</v>
      </c>
      <c r="J1115" s="629"/>
      <c r="K1115" s="648">
        <f t="shared" si="45"/>
        <v>13</v>
      </c>
      <c r="L1115" s="649">
        <f t="shared" si="46"/>
        <v>35</v>
      </c>
      <c r="M1115" s="903"/>
      <c r="N1115" s="622" t="str">
        <f t="shared" si="47"/>
        <v/>
      </c>
    </row>
    <row r="1116" spans="9:14">
      <c r="I1116" s="631" t="s">
        <v>1985</v>
      </c>
      <c r="J1116" s="629"/>
      <c r="K1116" s="648">
        <f t="shared" si="45"/>
        <v>12</v>
      </c>
      <c r="L1116" s="649">
        <f t="shared" si="46"/>
        <v>35</v>
      </c>
      <c r="M1116" s="903"/>
      <c r="N1116" s="622" t="str">
        <f t="shared" si="47"/>
        <v/>
      </c>
    </row>
    <row r="1117" spans="9:14">
      <c r="I1117" s="631" t="s">
        <v>1986</v>
      </c>
      <c r="J1117" s="629"/>
      <c r="K1117" s="648">
        <f t="shared" si="45"/>
        <v>11</v>
      </c>
      <c r="L1117" s="649">
        <f t="shared" si="46"/>
        <v>35</v>
      </c>
      <c r="M1117" s="903"/>
      <c r="N1117" s="622" t="str">
        <f t="shared" si="47"/>
        <v/>
      </c>
    </row>
    <row r="1118" spans="9:14">
      <c r="I1118" s="631" t="s">
        <v>1987</v>
      </c>
      <c r="J1118" s="629"/>
      <c r="K1118" s="648">
        <f t="shared" si="45"/>
        <v>10</v>
      </c>
      <c r="L1118" s="649">
        <f t="shared" si="46"/>
        <v>35</v>
      </c>
      <c r="M1118" s="903"/>
      <c r="N1118" s="622" t="str">
        <f t="shared" si="47"/>
        <v/>
      </c>
    </row>
    <row r="1119" spans="9:14">
      <c r="I1119" s="631" t="s">
        <v>1988</v>
      </c>
      <c r="J1119" s="629"/>
      <c r="K1119" s="648">
        <f t="shared" si="45"/>
        <v>9</v>
      </c>
      <c r="L1119" s="649">
        <f t="shared" si="46"/>
        <v>35</v>
      </c>
      <c r="M1119" s="903"/>
      <c r="N1119" s="622" t="str">
        <f t="shared" si="47"/>
        <v/>
      </c>
    </row>
    <row r="1120" spans="9:14">
      <c r="I1120" s="631" t="s">
        <v>1989</v>
      </c>
      <c r="J1120" s="629"/>
      <c r="K1120" s="648">
        <f t="shared" si="45"/>
        <v>8</v>
      </c>
      <c r="L1120" s="649">
        <f t="shared" si="46"/>
        <v>35</v>
      </c>
      <c r="M1120" s="903"/>
      <c r="N1120" s="622" t="str">
        <f t="shared" si="47"/>
        <v/>
      </c>
    </row>
    <row r="1121" spans="9:14">
      <c r="I1121" s="631" t="s">
        <v>1990</v>
      </c>
      <c r="J1121" s="629"/>
      <c r="K1121" s="648">
        <f t="shared" si="45"/>
        <v>7</v>
      </c>
      <c r="L1121" s="649">
        <f t="shared" si="46"/>
        <v>35</v>
      </c>
      <c r="M1121" s="903"/>
      <c r="N1121" s="622" t="str">
        <f t="shared" si="47"/>
        <v/>
      </c>
    </row>
    <row r="1122" spans="9:14">
      <c r="I1122" s="631" t="s">
        <v>1991</v>
      </c>
      <c r="J1122" s="629"/>
      <c r="K1122" s="648">
        <f t="shared" si="45"/>
        <v>6</v>
      </c>
      <c r="L1122" s="649">
        <f t="shared" si="46"/>
        <v>35</v>
      </c>
      <c r="M1122" s="903"/>
      <c r="N1122" s="622" t="str">
        <f t="shared" si="47"/>
        <v/>
      </c>
    </row>
    <row r="1123" spans="9:14">
      <c r="I1123" s="631" t="s">
        <v>1992</v>
      </c>
      <c r="J1123" s="629"/>
      <c r="K1123" s="648">
        <f t="shared" si="45"/>
        <v>5</v>
      </c>
      <c r="L1123" s="649">
        <f t="shared" si="46"/>
        <v>35</v>
      </c>
      <c r="M1123" s="903"/>
      <c r="N1123" s="622" t="str">
        <f t="shared" si="47"/>
        <v/>
      </c>
    </row>
    <row r="1124" spans="9:14">
      <c r="I1124" s="631" t="s">
        <v>1993</v>
      </c>
      <c r="J1124" s="629"/>
      <c r="K1124" s="648">
        <f t="shared" si="45"/>
        <v>4</v>
      </c>
      <c r="L1124" s="649">
        <f t="shared" si="46"/>
        <v>35</v>
      </c>
      <c r="M1124" s="903"/>
      <c r="N1124" s="622" t="str">
        <f t="shared" si="47"/>
        <v/>
      </c>
    </row>
    <row r="1125" spans="9:14">
      <c r="I1125" s="631" t="s">
        <v>1994</v>
      </c>
      <c r="J1125" s="629"/>
      <c r="K1125" s="648">
        <f t="shared" si="45"/>
        <v>3</v>
      </c>
      <c r="L1125" s="649">
        <f t="shared" si="46"/>
        <v>35</v>
      </c>
      <c r="M1125" s="903"/>
      <c r="N1125" s="622" t="str">
        <f t="shared" si="47"/>
        <v/>
      </c>
    </row>
    <row r="1126" spans="9:14">
      <c r="I1126" s="631" t="s">
        <v>1995</v>
      </c>
      <c r="J1126" s="629"/>
      <c r="K1126" s="648">
        <f t="shared" si="45"/>
        <v>2</v>
      </c>
      <c r="L1126" s="649">
        <f t="shared" si="46"/>
        <v>35</v>
      </c>
      <c r="M1126" s="903"/>
      <c r="N1126" s="622" t="str">
        <f t="shared" si="47"/>
        <v/>
      </c>
    </row>
    <row r="1127" spans="9:14">
      <c r="I1127" s="631" t="s">
        <v>1996</v>
      </c>
      <c r="J1127" s="629"/>
      <c r="K1127" s="648">
        <f t="shared" si="45"/>
        <v>1</v>
      </c>
      <c r="L1127" s="649">
        <f t="shared" si="46"/>
        <v>35</v>
      </c>
      <c r="M1127" s="903"/>
      <c r="N1127" s="622" t="str">
        <f t="shared" si="47"/>
        <v/>
      </c>
    </row>
    <row r="1128" spans="9:14">
      <c r="I1128" s="631" t="s">
        <v>1997</v>
      </c>
      <c r="J1128" s="629"/>
      <c r="K1128" s="648">
        <f t="shared" si="45"/>
        <v>28</v>
      </c>
      <c r="L1128" s="649">
        <f t="shared" si="46"/>
        <v>36</v>
      </c>
      <c r="M1128" s="903"/>
      <c r="N1128" s="622" t="str">
        <f t="shared" si="47"/>
        <v/>
      </c>
    </row>
    <row r="1129" spans="9:14">
      <c r="I1129" s="631" t="s">
        <v>1998</v>
      </c>
      <c r="J1129" s="629"/>
      <c r="K1129" s="648">
        <f t="shared" si="45"/>
        <v>27</v>
      </c>
      <c r="L1129" s="649">
        <f t="shared" si="46"/>
        <v>36</v>
      </c>
      <c r="M1129" s="903"/>
      <c r="N1129" s="622" t="str">
        <f t="shared" si="47"/>
        <v/>
      </c>
    </row>
    <row r="1130" spans="9:14">
      <c r="I1130" s="631" t="s">
        <v>1999</v>
      </c>
      <c r="J1130" s="629"/>
      <c r="K1130" s="648">
        <f t="shared" si="45"/>
        <v>26</v>
      </c>
      <c r="L1130" s="649">
        <f t="shared" si="46"/>
        <v>36</v>
      </c>
      <c r="M1130" s="903"/>
      <c r="N1130" s="622" t="str">
        <f t="shared" si="47"/>
        <v/>
      </c>
    </row>
    <row r="1131" spans="9:14">
      <c r="I1131" s="631" t="s">
        <v>2000</v>
      </c>
      <c r="J1131" s="629"/>
      <c r="K1131" s="648">
        <f t="shared" si="45"/>
        <v>25</v>
      </c>
      <c r="L1131" s="649">
        <f t="shared" si="46"/>
        <v>36</v>
      </c>
      <c r="M1131" s="903"/>
      <c r="N1131" s="622" t="str">
        <f t="shared" si="47"/>
        <v/>
      </c>
    </row>
    <row r="1132" spans="9:14">
      <c r="I1132" s="631" t="s">
        <v>2001</v>
      </c>
      <c r="J1132" s="629"/>
      <c r="K1132" s="648">
        <f t="shared" si="45"/>
        <v>24</v>
      </c>
      <c r="L1132" s="649">
        <f t="shared" si="46"/>
        <v>36</v>
      </c>
      <c r="M1132" s="903"/>
      <c r="N1132" s="622" t="str">
        <f t="shared" si="47"/>
        <v/>
      </c>
    </row>
    <row r="1133" spans="9:14">
      <c r="I1133" s="631" t="s">
        <v>2002</v>
      </c>
      <c r="J1133" s="629"/>
      <c r="K1133" s="648">
        <f t="shared" si="45"/>
        <v>23</v>
      </c>
      <c r="L1133" s="649">
        <f t="shared" si="46"/>
        <v>36</v>
      </c>
      <c r="M1133" s="903"/>
      <c r="N1133" s="622" t="str">
        <f t="shared" si="47"/>
        <v/>
      </c>
    </row>
    <row r="1134" spans="9:14">
      <c r="I1134" s="631" t="s">
        <v>2003</v>
      </c>
      <c r="J1134" s="629"/>
      <c r="K1134" s="648">
        <f t="shared" si="45"/>
        <v>22</v>
      </c>
      <c r="L1134" s="649">
        <f t="shared" si="46"/>
        <v>36</v>
      </c>
      <c r="M1134" s="903"/>
      <c r="N1134" s="622" t="str">
        <f t="shared" si="47"/>
        <v/>
      </c>
    </row>
    <row r="1135" spans="9:14">
      <c r="I1135" s="631" t="s">
        <v>2004</v>
      </c>
      <c r="J1135" s="629"/>
      <c r="K1135" s="648">
        <f t="shared" si="45"/>
        <v>21</v>
      </c>
      <c r="L1135" s="649">
        <f t="shared" si="46"/>
        <v>36</v>
      </c>
      <c r="M1135" s="903"/>
      <c r="N1135" s="622" t="str">
        <f t="shared" si="47"/>
        <v/>
      </c>
    </row>
    <row r="1136" spans="9:14">
      <c r="I1136" s="631" t="s">
        <v>2005</v>
      </c>
      <c r="J1136" s="629"/>
      <c r="K1136" s="648">
        <f t="shared" si="45"/>
        <v>20</v>
      </c>
      <c r="L1136" s="649">
        <f t="shared" si="46"/>
        <v>36</v>
      </c>
      <c r="M1136" s="903"/>
      <c r="N1136" s="622" t="str">
        <f t="shared" si="47"/>
        <v/>
      </c>
    </row>
    <row r="1137" spans="9:14">
      <c r="I1137" s="631" t="s">
        <v>2006</v>
      </c>
      <c r="J1137" s="629"/>
      <c r="K1137" s="648">
        <f t="shared" si="45"/>
        <v>19</v>
      </c>
      <c r="L1137" s="649">
        <f t="shared" si="46"/>
        <v>36</v>
      </c>
      <c r="M1137" s="903"/>
      <c r="N1137" s="622" t="str">
        <f t="shared" si="47"/>
        <v/>
      </c>
    </row>
    <row r="1138" spans="9:14">
      <c r="I1138" s="631" t="s">
        <v>2007</v>
      </c>
      <c r="J1138" s="629"/>
      <c r="K1138" s="648">
        <f t="shared" si="45"/>
        <v>18</v>
      </c>
      <c r="L1138" s="649">
        <f t="shared" si="46"/>
        <v>36</v>
      </c>
      <c r="M1138" s="903"/>
      <c r="N1138" s="622" t="str">
        <f t="shared" si="47"/>
        <v/>
      </c>
    </row>
    <row r="1139" spans="9:14">
      <c r="I1139" s="631" t="s">
        <v>2008</v>
      </c>
      <c r="J1139" s="629"/>
      <c r="K1139" s="648">
        <f t="shared" si="45"/>
        <v>17</v>
      </c>
      <c r="L1139" s="649">
        <f t="shared" si="46"/>
        <v>36</v>
      </c>
      <c r="M1139" s="903"/>
      <c r="N1139" s="622" t="str">
        <f t="shared" si="47"/>
        <v/>
      </c>
    </row>
    <row r="1140" spans="9:14">
      <c r="I1140" s="631" t="s">
        <v>2009</v>
      </c>
      <c r="J1140" s="629"/>
      <c r="K1140" s="648">
        <f t="shared" si="45"/>
        <v>16</v>
      </c>
      <c r="L1140" s="649">
        <f t="shared" si="46"/>
        <v>36</v>
      </c>
      <c r="M1140" s="903"/>
      <c r="N1140" s="622" t="str">
        <f t="shared" si="47"/>
        <v/>
      </c>
    </row>
    <row r="1141" spans="9:14">
      <c r="I1141" s="631" t="s">
        <v>2010</v>
      </c>
      <c r="J1141" s="629"/>
      <c r="K1141" s="648">
        <f t="shared" si="45"/>
        <v>15</v>
      </c>
      <c r="L1141" s="649">
        <f t="shared" si="46"/>
        <v>36</v>
      </c>
      <c r="M1141" s="903"/>
      <c r="N1141" s="622" t="str">
        <f t="shared" si="47"/>
        <v/>
      </c>
    </row>
    <row r="1142" spans="9:14">
      <c r="I1142" s="631" t="s">
        <v>2011</v>
      </c>
      <c r="J1142" s="629"/>
      <c r="K1142" s="648">
        <f t="shared" si="45"/>
        <v>14</v>
      </c>
      <c r="L1142" s="649">
        <f t="shared" si="46"/>
        <v>36</v>
      </c>
      <c r="M1142" s="903"/>
      <c r="N1142" s="622" t="str">
        <f t="shared" si="47"/>
        <v/>
      </c>
    </row>
    <row r="1143" spans="9:14">
      <c r="I1143" s="631" t="s">
        <v>2012</v>
      </c>
      <c r="J1143" s="629"/>
      <c r="K1143" s="648">
        <f t="shared" si="45"/>
        <v>13</v>
      </c>
      <c r="L1143" s="649">
        <f t="shared" si="46"/>
        <v>36</v>
      </c>
      <c r="M1143" s="903"/>
      <c r="N1143" s="622" t="str">
        <f t="shared" si="47"/>
        <v/>
      </c>
    </row>
    <row r="1144" spans="9:14">
      <c r="I1144" s="631" t="s">
        <v>2013</v>
      </c>
      <c r="J1144" s="629"/>
      <c r="K1144" s="648">
        <f t="shared" si="45"/>
        <v>12</v>
      </c>
      <c r="L1144" s="649">
        <f t="shared" si="46"/>
        <v>36</v>
      </c>
      <c r="M1144" s="903"/>
      <c r="N1144" s="622" t="str">
        <f t="shared" si="47"/>
        <v/>
      </c>
    </row>
    <row r="1145" spans="9:14">
      <c r="I1145" s="631" t="s">
        <v>2014</v>
      </c>
      <c r="J1145" s="629"/>
      <c r="K1145" s="648">
        <f t="shared" si="45"/>
        <v>11</v>
      </c>
      <c r="L1145" s="649">
        <f t="shared" si="46"/>
        <v>36</v>
      </c>
      <c r="M1145" s="903"/>
      <c r="N1145" s="622" t="str">
        <f t="shared" si="47"/>
        <v/>
      </c>
    </row>
    <row r="1146" spans="9:14">
      <c r="I1146" s="631" t="s">
        <v>2015</v>
      </c>
      <c r="J1146" s="629"/>
      <c r="K1146" s="648">
        <f t="shared" si="45"/>
        <v>10</v>
      </c>
      <c r="L1146" s="649">
        <f t="shared" si="46"/>
        <v>36</v>
      </c>
      <c r="M1146" s="903"/>
      <c r="N1146" s="622" t="str">
        <f t="shared" si="47"/>
        <v/>
      </c>
    </row>
    <row r="1147" spans="9:14">
      <c r="I1147" s="631" t="s">
        <v>2016</v>
      </c>
      <c r="J1147" s="629"/>
      <c r="K1147" s="648">
        <f t="shared" si="45"/>
        <v>9</v>
      </c>
      <c r="L1147" s="649">
        <f t="shared" si="46"/>
        <v>36</v>
      </c>
      <c r="M1147" s="903"/>
      <c r="N1147" s="622" t="str">
        <f t="shared" si="47"/>
        <v/>
      </c>
    </row>
    <row r="1148" spans="9:14">
      <c r="I1148" s="631" t="s">
        <v>2017</v>
      </c>
      <c r="J1148" s="629"/>
      <c r="K1148" s="648">
        <f t="shared" si="45"/>
        <v>8</v>
      </c>
      <c r="L1148" s="649">
        <f t="shared" si="46"/>
        <v>36</v>
      </c>
      <c r="M1148" s="903"/>
      <c r="N1148" s="622" t="str">
        <f t="shared" si="47"/>
        <v/>
      </c>
    </row>
    <row r="1149" spans="9:14">
      <c r="I1149" s="631" t="s">
        <v>2018</v>
      </c>
      <c r="J1149" s="629"/>
      <c r="K1149" s="648">
        <f t="shared" si="45"/>
        <v>7</v>
      </c>
      <c r="L1149" s="649">
        <f t="shared" si="46"/>
        <v>36</v>
      </c>
      <c r="M1149" s="903"/>
      <c r="N1149" s="622" t="str">
        <f t="shared" si="47"/>
        <v/>
      </c>
    </row>
    <row r="1150" spans="9:14">
      <c r="I1150" s="631" t="s">
        <v>2019</v>
      </c>
      <c r="J1150" s="629"/>
      <c r="K1150" s="648">
        <f t="shared" si="45"/>
        <v>6</v>
      </c>
      <c r="L1150" s="649">
        <f t="shared" si="46"/>
        <v>36</v>
      </c>
      <c r="M1150" s="903"/>
      <c r="N1150" s="622" t="str">
        <f t="shared" si="47"/>
        <v/>
      </c>
    </row>
    <row r="1151" spans="9:14">
      <c r="I1151" s="631" t="s">
        <v>2020</v>
      </c>
      <c r="J1151" s="629"/>
      <c r="K1151" s="648">
        <f t="shared" si="45"/>
        <v>5</v>
      </c>
      <c r="L1151" s="649">
        <f t="shared" si="46"/>
        <v>36</v>
      </c>
      <c r="M1151" s="903"/>
      <c r="N1151" s="622" t="str">
        <f t="shared" si="47"/>
        <v/>
      </c>
    </row>
    <row r="1152" spans="9:14">
      <c r="I1152" s="631" t="s">
        <v>2021</v>
      </c>
      <c r="J1152" s="629"/>
      <c r="K1152" s="648">
        <f t="shared" si="45"/>
        <v>4</v>
      </c>
      <c r="L1152" s="649">
        <f t="shared" si="46"/>
        <v>36</v>
      </c>
      <c r="M1152" s="903"/>
      <c r="N1152" s="622" t="str">
        <f t="shared" si="47"/>
        <v/>
      </c>
    </row>
    <row r="1153" spans="9:14">
      <c r="I1153" s="631" t="s">
        <v>2022</v>
      </c>
      <c r="J1153" s="629"/>
      <c r="K1153" s="648">
        <f t="shared" si="45"/>
        <v>3</v>
      </c>
      <c r="L1153" s="649">
        <f t="shared" si="46"/>
        <v>36</v>
      </c>
      <c r="M1153" s="903"/>
      <c r="N1153" s="622" t="str">
        <f t="shared" si="47"/>
        <v/>
      </c>
    </row>
    <row r="1154" spans="9:14">
      <c r="I1154" s="631" t="s">
        <v>2023</v>
      </c>
      <c r="J1154" s="629"/>
      <c r="K1154" s="648">
        <f t="shared" si="45"/>
        <v>2</v>
      </c>
      <c r="L1154" s="649">
        <f t="shared" si="46"/>
        <v>36</v>
      </c>
      <c r="M1154" s="903"/>
      <c r="N1154" s="622" t="str">
        <f t="shared" si="47"/>
        <v/>
      </c>
    </row>
    <row r="1155" spans="9:14">
      <c r="I1155" s="631" t="s">
        <v>2024</v>
      </c>
      <c r="J1155" s="629"/>
      <c r="K1155" s="648">
        <f t="shared" si="45"/>
        <v>1</v>
      </c>
      <c r="L1155" s="649">
        <f t="shared" si="46"/>
        <v>36</v>
      </c>
      <c r="M1155" s="903"/>
      <c r="N1155" s="622" t="str">
        <f t="shared" si="47"/>
        <v/>
      </c>
    </row>
    <row r="1156" spans="9:14">
      <c r="I1156" s="631" t="s">
        <v>2025</v>
      </c>
      <c r="J1156" s="629"/>
      <c r="K1156" s="648">
        <f t="shared" si="45"/>
        <v>28</v>
      </c>
      <c r="L1156" s="649">
        <f t="shared" si="46"/>
        <v>37</v>
      </c>
      <c r="M1156" s="903"/>
      <c r="N1156" s="622" t="str">
        <f t="shared" si="47"/>
        <v/>
      </c>
    </row>
    <row r="1157" spans="9:14">
      <c r="I1157" s="631" t="s">
        <v>2026</v>
      </c>
      <c r="J1157" s="629"/>
      <c r="K1157" s="648">
        <f t="shared" si="45"/>
        <v>27</v>
      </c>
      <c r="L1157" s="649">
        <f t="shared" si="46"/>
        <v>37</v>
      </c>
      <c r="M1157" s="903"/>
      <c r="N1157" s="622" t="str">
        <f t="shared" si="47"/>
        <v/>
      </c>
    </row>
    <row r="1158" spans="9:14">
      <c r="I1158" s="631" t="s">
        <v>2027</v>
      </c>
      <c r="J1158" s="629"/>
      <c r="K1158" s="648">
        <f t="shared" si="45"/>
        <v>26</v>
      </c>
      <c r="L1158" s="649">
        <f t="shared" si="46"/>
        <v>37</v>
      </c>
      <c r="M1158" s="903"/>
      <c r="N1158" s="622" t="str">
        <f t="shared" si="47"/>
        <v/>
      </c>
    </row>
    <row r="1159" spans="9:14">
      <c r="I1159" s="631" t="s">
        <v>2028</v>
      </c>
      <c r="J1159" s="629"/>
      <c r="K1159" s="648">
        <f t="shared" si="45"/>
        <v>25</v>
      </c>
      <c r="L1159" s="649">
        <f t="shared" si="46"/>
        <v>37</v>
      </c>
      <c r="M1159" s="903"/>
      <c r="N1159" s="622" t="str">
        <f t="shared" si="47"/>
        <v/>
      </c>
    </row>
    <row r="1160" spans="9:14">
      <c r="I1160" s="631" t="s">
        <v>2029</v>
      </c>
      <c r="J1160" s="629"/>
      <c r="K1160" s="648">
        <f t="shared" si="45"/>
        <v>24</v>
      </c>
      <c r="L1160" s="649">
        <f t="shared" si="46"/>
        <v>37</v>
      </c>
      <c r="M1160" s="903"/>
      <c r="N1160" s="622" t="str">
        <f t="shared" si="47"/>
        <v/>
      </c>
    </row>
    <row r="1161" spans="9:14">
      <c r="I1161" s="631" t="s">
        <v>2030</v>
      </c>
      <c r="J1161" s="629"/>
      <c r="K1161" s="648">
        <f t="shared" si="45"/>
        <v>23</v>
      </c>
      <c r="L1161" s="649">
        <f t="shared" si="46"/>
        <v>37</v>
      </c>
      <c r="M1161" s="903"/>
      <c r="N1161" s="622" t="str">
        <f t="shared" si="47"/>
        <v/>
      </c>
    </row>
    <row r="1162" spans="9:14">
      <c r="I1162" s="631" t="s">
        <v>2031</v>
      </c>
      <c r="J1162" s="629"/>
      <c r="K1162" s="648">
        <f t="shared" si="45"/>
        <v>22</v>
      </c>
      <c r="L1162" s="649">
        <f t="shared" si="46"/>
        <v>37</v>
      </c>
      <c r="M1162" s="903"/>
      <c r="N1162" s="622" t="str">
        <f t="shared" si="47"/>
        <v/>
      </c>
    </row>
    <row r="1163" spans="9:14">
      <c r="I1163" s="631" t="s">
        <v>2032</v>
      </c>
      <c r="J1163" s="629"/>
      <c r="K1163" s="648">
        <f t="shared" si="45"/>
        <v>21</v>
      </c>
      <c r="L1163" s="649">
        <f t="shared" si="46"/>
        <v>37</v>
      </c>
      <c r="M1163" s="903"/>
      <c r="N1163" s="622" t="str">
        <f t="shared" si="47"/>
        <v/>
      </c>
    </row>
    <row r="1164" spans="9:14">
      <c r="I1164" s="631" t="s">
        <v>2033</v>
      </c>
      <c r="J1164" s="629"/>
      <c r="K1164" s="648">
        <f t="shared" si="45"/>
        <v>20</v>
      </c>
      <c r="L1164" s="649">
        <f t="shared" si="46"/>
        <v>37</v>
      </c>
      <c r="M1164" s="903"/>
      <c r="N1164" s="622" t="str">
        <f t="shared" si="47"/>
        <v/>
      </c>
    </row>
    <row r="1165" spans="9:14">
      <c r="I1165" s="631" t="s">
        <v>2034</v>
      </c>
      <c r="J1165" s="629"/>
      <c r="K1165" s="648">
        <f t="shared" si="45"/>
        <v>19</v>
      </c>
      <c r="L1165" s="649">
        <f t="shared" si="46"/>
        <v>37</v>
      </c>
      <c r="M1165" s="903"/>
      <c r="N1165" s="622" t="str">
        <f t="shared" si="47"/>
        <v/>
      </c>
    </row>
    <row r="1166" spans="9:14">
      <c r="I1166" s="631" t="s">
        <v>2035</v>
      </c>
      <c r="J1166" s="629"/>
      <c r="K1166" s="648">
        <f t="shared" si="45"/>
        <v>18</v>
      </c>
      <c r="L1166" s="649">
        <f t="shared" si="46"/>
        <v>37</v>
      </c>
      <c r="M1166" s="903"/>
      <c r="N1166" s="622" t="str">
        <f t="shared" si="47"/>
        <v/>
      </c>
    </row>
    <row r="1167" spans="9:14">
      <c r="I1167" s="631" t="s">
        <v>2036</v>
      </c>
      <c r="J1167" s="629"/>
      <c r="K1167" s="648">
        <f t="shared" si="45"/>
        <v>17</v>
      </c>
      <c r="L1167" s="649">
        <f t="shared" si="46"/>
        <v>37</v>
      </c>
      <c r="M1167" s="903"/>
      <c r="N1167" s="622" t="str">
        <f t="shared" si="47"/>
        <v/>
      </c>
    </row>
    <row r="1168" spans="9:14">
      <c r="I1168" s="631" t="s">
        <v>2037</v>
      </c>
      <c r="J1168" s="629"/>
      <c r="K1168" s="648">
        <f t="shared" si="45"/>
        <v>16</v>
      </c>
      <c r="L1168" s="649">
        <f t="shared" si="46"/>
        <v>37</v>
      </c>
      <c r="M1168" s="903"/>
      <c r="N1168" s="622" t="str">
        <f t="shared" si="47"/>
        <v/>
      </c>
    </row>
    <row r="1169" spans="9:14">
      <c r="I1169" s="631" t="s">
        <v>2038</v>
      </c>
      <c r="J1169" s="629"/>
      <c r="K1169" s="648">
        <f t="shared" si="45"/>
        <v>15</v>
      </c>
      <c r="L1169" s="649">
        <f t="shared" si="46"/>
        <v>37</v>
      </c>
      <c r="M1169" s="903"/>
      <c r="N1169" s="622" t="str">
        <f t="shared" si="47"/>
        <v/>
      </c>
    </row>
    <row r="1170" spans="9:14">
      <c r="I1170" s="631" t="s">
        <v>2039</v>
      </c>
      <c r="J1170" s="629"/>
      <c r="K1170" s="648">
        <f t="shared" si="45"/>
        <v>14</v>
      </c>
      <c r="L1170" s="649">
        <f t="shared" si="46"/>
        <v>37</v>
      </c>
      <c r="M1170" s="903"/>
      <c r="N1170" s="622" t="str">
        <f t="shared" si="47"/>
        <v/>
      </c>
    </row>
    <row r="1171" spans="9:14">
      <c r="I1171" s="631" t="s">
        <v>2040</v>
      </c>
      <c r="J1171" s="629"/>
      <c r="K1171" s="648">
        <f t="shared" si="45"/>
        <v>13</v>
      </c>
      <c r="L1171" s="649">
        <f t="shared" si="46"/>
        <v>37</v>
      </c>
      <c r="M1171" s="903"/>
      <c r="N1171" s="622" t="str">
        <f t="shared" si="47"/>
        <v/>
      </c>
    </row>
    <row r="1172" spans="9:14">
      <c r="I1172" s="631" t="s">
        <v>2041</v>
      </c>
      <c r="J1172" s="629"/>
      <c r="K1172" s="648">
        <f t="shared" si="45"/>
        <v>12</v>
      </c>
      <c r="L1172" s="649">
        <f t="shared" si="46"/>
        <v>37</v>
      </c>
      <c r="M1172" s="903"/>
      <c r="N1172" s="622" t="str">
        <f t="shared" si="47"/>
        <v/>
      </c>
    </row>
    <row r="1173" spans="9:14">
      <c r="I1173" s="631" t="s">
        <v>2042</v>
      </c>
      <c r="J1173" s="629"/>
      <c r="K1173" s="648">
        <f t="shared" ref="K1173:K1236" si="48">1+(RIGHT(I1173,LEN(I1173)-FIND(",",I1173))-10)/20</f>
        <v>11</v>
      </c>
      <c r="L1173" s="649">
        <f t="shared" ref="L1173:L1236" si="49">1+((LEFT(I1173,FIND(",",I1173)-1)*-1)-10)/20</f>
        <v>37</v>
      </c>
      <c r="M1173" s="903"/>
      <c r="N1173" s="622" t="str">
        <f t="shared" ref="N1173:N1236" si="50">IF(AND(K1173&lt;=$I$144,K1173&gt;=$I$145,L1173&gt;=$M$143,L1173&lt;=$N$143),MIN(ROUND(M1173,2),633),"")</f>
        <v/>
      </c>
    </row>
    <row r="1174" spans="9:14">
      <c r="I1174" s="631" t="s">
        <v>2043</v>
      </c>
      <c r="J1174" s="629"/>
      <c r="K1174" s="648">
        <f t="shared" si="48"/>
        <v>10</v>
      </c>
      <c r="L1174" s="649">
        <f t="shared" si="49"/>
        <v>37</v>
      </c>
      <c r="M1174" s="903"/>
      <c r="N1174" s="622" t="str">
        <f t="shared" si="50"/>
        <v/>
      </c>
    </row>
    <row r="1175" spans="9:14">
      <c r="I1175" s="631" t="s">
        <v>2044</v>
      </c>
      <c r="J1175" s="629"/>
      <c r="K1175" s="648">
        <f t="shared" si="48"/>
        <v>9</v>
      </c>
      <c r="L1175" s="649">
        <f t="shared" si="49"/>
        <v>37</v>
      </c>
      <c r="M1175" s="903"/>
      <c r="N1175" s="622" t="str">
        <f t="shared" si="50"/>
        <v/>
      </c>
    </row>
    <row r="1176" spans="9:14">
      <c r="I1176" s="631" t="s">
        <v>2045</v>
      </c>
      <c r="J1176" s="629"/>
      <c r="K1176" s="648">
        <f t="shared" si="48"/>
        <v>8</v>
      </c>
      <c r="L1176" s="649">
        <f t="shared" si="49"/>
        <v>37</v>
      </c>
      <c r="M1176" s="903"/>
      <c r="N1176" s="622" t="str">
        <f t="shared" si="50"/>
        <v/>
      </c>
    </row>
    <row r="1177" spans="9:14">
      <c r="I1177" s="631" t="s">
        <v>2046</v>
      </c>
      <c r="J1177" s="629"/>
      <c r="K1177" s="648">
        <f t="shared" si="48"/>
        <v>7</v>
      </c>
      <c r="L1177" s="649">
        <f t="shared" si="49"/>
        <v>37</v>
      </c>
      <c r="M1177" s="903"/>
      <c r="N1177" s="622" t="str">
        <f t="shared" si="50"/>
        <v/>
      </c>
    </row>
    <row r="1178" spans="9:14">
      <c r="I1178" s="631" t="s">
        <v>2047</v>
      </c>
      <c r="J1178" s="629"/>
      <c r="K1178" s="648">
        <f t="shared" si="48"/>
        <v>6</v>
      </c>
      <c r="L1178" s="649">
        <f t="shared" si="49"/>
        <v>37</v>
      </c>
      <c r="M1178" s="903"/>
      <c r="N1178" s="622" t="str">
        <f t="shared" si="50"/>
        <v/>
      </c>
    </row>
    <row r="1179" spans="9:14">
      <c r="I1179" s="631" t="s">
        <v>2048</v>
      </c>
      <c r="J1179" s="629"/>
      <c r="K1179" s="648">
        <f t="shared" si="48"/>
        <v>5</v>
      </c>
      <c r="L1179" s="649">
        <f t="shared" si="49"/>
        <v>37</v>
      </c>
      <c r="M1179" s="903"/>
      <c r="N1179" s="622" t="str">
        <f t="shared" si="50"/>
        <v/>
      </c>
    </row>
    <row r="1180" spans="9:14">
      <c r="I1180" s="631" t="s">
        <v>2049</v>
      </c>
      <c r="J1180" s="629"/>
      <c r="K1180" s="648">
        <f t="shared" si="48"/>
        <v>4</v>
      </c>
      <c r="L1180" s="649">
        <f t="shared" si="49"/>
        <v>37</v>
      </c>
      <c r="M1180" s="903"/>
      <c r="N1180" s="622" t="str">
        <f t="shared" si="50"/>
        <v/>
      </c>
    </row>
    <row r="1181" spans="9:14">
      <c r="I1181" s="631" t="s">
        <v>2050</v>
      </c>
      <c r="J1181" s="629"/>
      <c r="K1181" s="648">
        <f t="shared" si="48"/>
        <v>3</v>
      </c>
      <c r="L1181" s="649">
        <f t="shared" si="49"/>
        <v>37</v>
      </c>
      <c r="M1181" s="903"/>
      <c r="N1181" s="622" t="str">
        <f t="shared" si="50"/>
        <v/>
      </c>
    </row>
    <row r="1182" spans="9:14">
      <c r="I1182" s="631" t="s">
        <v>2051</v>
      </c>
      <c r="J1182" s="629"/>
      <c r="K1182" s="648">
        <f t="shared" si="48"/>
        <v>2</v>
      </c>
      <c r="L1182" s="649">
        <f t="shared" si="49"/>
        <v>37</v>
      </c>
      <c r="M1182" s="903"/>
      <c r="N1182" s="622" t="str">
        <f t="shared" si="50"/>
        <v/>
      </c>
    </row>
    <row r="1183" spans="9:14">
      <c r="I1183" s="631" t="s">
        <v>2052</v>
      </c>
      <c r="J1183" s="629"/>
      <c r="K1183" s="648">
        <f t="shared" si="48"/>
        <v>1</v>
      </c>
      <c r="L1183" s="649">
        <f t="shared" si="49"/>
        <v>37</v>
      </c>
      <c r="M1183" s="903"/>
      <c r="N1183" s="622" t="str">
        <f t="shared" si="50"/>
        <v/>
      </c>
    </row>
    <row r="1184" spans="9:14">
      <c r="I1184" s="631" t="s">
        <v>2053</v>
      </c>
      <c r="J1184" s="629"/>
      <c r="K1184" s="648">
        <f t="shared" si="48"/>
        <v>28</v>
      </c>
      <c r="L1184" s="649">
        <f t="shared" si="49"/>
        <v>38</v>
      </c>
      <c r="M1184" s="903"/>
      <c r="N1184" s="622" t="str">
        <f t="shared" si="50"/>
        <v/>
      </c>
    </row>
    <row r="1185" spans="9:14">
      <c r="I1185" s="631" t="s">
        <v>2054</v>
      </c>
      <c r="J1185" s="629"/>
      <c r="K1185" s="648">
        <f t="shared" si="48"/>
        <v>27</v>
      </c>
      <c r="L1185" s="649">
        <f t="shared" si="49"/>
        <v>38</v>
      </c>
      <c r="M1185" s="903"/>
      <c r="N1185" s="622" t="str">
        <f t="shared" si="50"/>
        <v/>
      </c>
    </row>
    <row r="1186" spans="9:14">
      <c r="I1186" s="631" t="s">
        <v>2055</v>
      </c>
      <c r="J1186" s="629"/>
      <c r="K1186" s="648">
        <f t="shared" si="48"/>
        <v>26</v>
      </c>
      <c r="L1186" s="649">
        <f t="shared" si="49"/>
        <v>38</v>
      </c>
      <c r="M1186" s="903"/>
      <c r="N1186" s="622" t="str">
        <f t="shared" si="50"/>
        <v/>
      </c>
    </row>
    <row r="1187" spans="9:14">
      <c r="I1187" s="631" t="s">
        <v>2056</v>
      </c>
      <c r="J1187" s="629"/>
      <c r="K1187" s="648">
        <f t="shared" si="48"/>
        <v>25</v>
      </c>
      <c r="L1187" s="649">
        <f t="shared" si="49"/>
        <v>38</v>
      </c>
      <c r="M1187" s="903"/>
      <c r="N1187" s="622" t="str">
        <f t="shared" si="50"/>
        <v/>
      </c>
    </row>
    <row r="1188" spans="9:14">
      <c r="I1188" s="631" t="s">
        <v>2057</v>
      </c>
      <c r="J1188" s="629"/>
      <c r="K1188" s="648">
        <f t="shared" si="48"/>
        <v>24</v>
      </c>
      <c r="L1188" s="649">
        <f t="shared" si="49"/>
        <v>38</v>
      </c>
      <c r="M1188" s="903"/>
      <c r="N1188" s="622" t="str">
        <f t="shared" si="50"/>
        <v/>
      </c>
    </row>
    <row r="1189" spans="9:14">
      <c r="I1189" s="631" t="s">
        <v>2058</v>
      </c>
      <c r="J1189" s="629"/>
      <c r="K1189" s="648">
        <f t="shared" si="48"/>
        <v>23</v>
      </c>
      <c r="L1189" s="649">
        <f t="shared" si="49"/>
        <v>38</v>
      </c>
      <c r="M1189" s="903"/>
      <c r="N1189" s="622" t="str">
        <f t="shared" si="50"/>
        <v/>
      </c>
    </row>
    <row r="1190" spans="9:14">
      <c r="I1190" s="631" t="s">
        <v>2059</v>
      </c>
      <c r="J1190" s="629"/>
      <c r="K1190" s="648">
        <f t="shared" si="48"/>
        <v>22</v>
      </c>
      <c r="L1190" s="649">
        <f t="shared" si="49"/>
        <v>38</v>
      </c>
      <c r="M1190" s="903"/>
      <c r="N1190" s="622" t="str">
        <f t="shared" si="50"/>
        <v/>
      </c>
    </row>
    <row r="1191" spans="9:14">
      <c r="I1191" s="631" t="s">
        <v>2060</v>
      </c>
      <c r="J1191" s="629"/>
      <c r="K1191" s="648">
        <f t="shared" si="48"/>
        <v>21</v>
      </c>
      <c r="L1191" s="649">
        <f t="shared" si="49"/>
        <v>38</v>
      </c>
      <c r="M1191" s="903"/>
      <c r="N1191" s="622" t="str">
        <f t="shared" si="50"/>
        <v/>
      </c>
    </row>
    <row r="1192" spans="9:14">
      <c r="I1192" s="631" t="s">
        <v>2061</v>
      </c>
      <c r="J1192" s="629"/>
      <c r="K1192" s="648">
        <f t="shared" si="48"/>
        <v>20</v>
      </c>
      <c r="L1192" s="649">
        <f t="shared" si="49"/>
        <v>38</v>
      </c>
      <c r="M1192" s="903"/>
      <c r="N1192" s="622" t="str">
        <f t="shared" si="50"/>
        <v/>
      </c>
    </row>
    <row r="1193" spans="9:14">
      <c r="I1193" s="631" t="s">
        <v>2062</v>
      </c>
      <c r="J1193" s="629"/>
      <c r="K1193" s="648">
        <f t="shared" si="48"/>
        <v>19</v>
      </c>
      <c r="L1193" s="649">
        <f t="shared" si="49"/>
        <v>38</v>
      </c>
      <c r="M1193" s="903"/>
      <c r="N1193" s="622" t="str">
        <f t="shared" si="50"/>
        <v/>
      </c>
    </row>
    <row r="1194" spans="9:14">
      <c r="I1194" s="631" t="s">
        <v>2063</v>
      </c>
      <c r="J1194" s="629"/>
      <c r="K1194" s="648">
        <f t="shared" si="48"/>
        <v>18</v>
      </c>
      <c r="L1194" s="649">
        <f t="shared" si="49"/>
        <v>38</v>
      </c>
      <c r="M1194" s="903"/>
      <c r="N1194" s="622" t="str">
        <f t="shared" si="50"/>
        <v/>
      </c>
    </row>
    <row r="1195" spans="9:14">
      <c r="I1195" s="631" t="s">
        <v>2064</v>
      </c>
      <c r="J1195" s="629"/>
      <c r="K1195" s="648">
        <f t="shared" si="48"/>
        <v>17</v>
      </c>
      <c r="L1195" s="649">
        <f t="shared" si="49"/>
        <v>38</v>
      </c>
      <c r="M1195" s="903"/>
      <c r="N1195" s="622" t="str">
        <f t="shared" si="50"/>
        <v/>
      </c>
    </row>
    <row r="1196" spans="9:14">
      <c r="I1196" s="631" t="s">
        <v>2065</v>
      </c>
      <c r="J1196" s="629"/>
      <c r="K1196" s="648">
        <f t="shared" si="48"/>
        <v>16</v>
      </c>
      <c r="L1196" s="649">
        <f t="shared" si="49"/>
        <v>38</v>
      </c>
      <c r="M1196" s="903"/>
      <c r="N1196" s="622" t="str">
        <f t="shared" si="50"/>
        <v/>
      </c>
    </row>
    <row r="1197" spans="9:14">
      <c r="I1197" s="631" t="s">
        <v>2066</v>
      </c>
      <c r="J1197" s="629"/>
      <c r="K1197" s="648">
        <f t="shared" si="48"/>
        <v>15</v>
      </c>
      <c r="L1197" s="649">
        <f t="shared" si="49"/>
        <v>38</v>
      </c>
      <c r="M1197" s="903"/>
      <c r="N1197" s="622" t="str">
        <f t="shared" si="50"/>
        <v/>
      </c>
    </row>
    <row r="1198" spans="9:14">
      <c r="I1198" s="631" t="s">
        <v>2067</v>
      </c>
      <c r="J1198" s="629"/>
      <c r="K1198" s="648">
        <f t="shared" si="48"/>
        <v>14</v>
      </c>
      <c r="L1198" s="649">
        <f t="shared" si="49"/>
        <v>38</v>
      </c>
      <c r="M1198" s="903"/>
      <c r="N1198" s="622" t="str">
        <f t="shared" si="50"/>
        <v/>
      </c>
    </row>
    <row r="1199" spans="9:14">
      <c r="I1199" s="631" t="s">
        <v>2068</v>
      </c>
      <c r="J1199" s="629"/>
      <c r="K1199" s="648">
        <f t="shared" si="48"/>
        <v>13</v>
      </c>
      <c r="L1199" s="649">
        <f t="shared" si="49"/>
        <v>38</v>
      </c>
      <c r="M1199" s="903"/>
      <c r="N1199" s="622" t="str">
        <f t="shared" si="50"/>
        <v/>
      </c>
    </row>
    <row r="1200" spans="9:14">
      <c r="I1200" s="631" t="s">
        <v>2069</v>
      </c>
      <c r="J1200" s="629"/>
      <c r="K1200" s="648">
        <f t="shared" si="48"/>
        <v>12</v>
      </c>
      <c r="L1200" s="649">
        <f t="shared" si="49"/>
        <v>38</v>
      </c>
      <c r="M1200" s="903"/>
      <c r="N1200" s="622" t="str">
        <f t="shared" si="50"/>
        <v/>
      </c>
    </row>
    <row r="1201" spans="9:14">
      <c r="I1201" s="631" t="s">
        <v>2070</v>
      </c>
      <c r="J1201" s="629"/>
      <c r="K1201" s="648">
        <f t="shared" si="48"/>
        <v>11</v>
      </c>
      <c r="L1201" s="649">
        <f t="shared" si="49"/>
        <v>38</v>
      </c>
      <c r="M1201" s="903"/>
      <c r="N1201" s="622" t="str">
        <f t="shared" si="50"/>
        <v/>
      </c>
    </row>
    <row r="1202" spans="9:14">
      <c r="I1202" s="631" t="s">
        <v>2071</v>
      </c>
      <c r="J1202" s="629"/>
      <c r="K1202" s="648">
        <f t="shared" si="48"/>
        <v>10</v>
      </c>
      <c r="L1202" s="649">
        <f t="shared" si="49"/>
        <v>38</v>
      </c>
      <c r="M1202" s="903"/>
      <c r="N1202" s="622" t="str">
        <f t="shared" si="50"/>
        <v/>
      </c>
    </row>
    <row r="1203" spans="9:14">
      <c r="I1203" s="631" t="s">
        <v>2072</v>
      </c>
      <c r="J1203" s="629"/>
      <c r="K1203" s="648">
        <f t="shared" si="48"/>
        <v>9</v>
      </c>
      <c r="L1203" s="649">
        <f t="shared" si="49"/>
        <v>38</v>
      </c>
      <c r="M1203" s="903"/>
      <c r="N1203" s="622" t="str">
        <f t="shared" si="50"/>
        <v/>
      </c>
    </row>
    <row r="1204" spans="9:14">
      <c r="I1204" s="631" t="s">
        <v>2073</v>
      </c>
      <c r="J1204" s="629"/>
      <c r="K1204" s="648">
        <f t="shared" si="48"/>
        <v>8</v>
      </c>
      <c r="L1204" s="649">
        <f t="shared" si="49"/>
        <v>38</v>
      </c>
      <c r="M1204" s="903"/>
      <c r="N1204" s="622" t="str">
        <f t="shared" si="50"/>
        <v/>
      </c>
    </row>
    <row r="1205" spans="9:14">
      <c r="I1205" s="631" t="s">
        <v>2074</v>
      </c>
      <c r="J1205" s="629"/>
      <c r="K1205" s="648">
        <f t="shared" si="48"/>
        <v>7</v>
      </c>
      <c r="L1205" s="649">
        <f t="shared" si="49"/>
        <v>38</v>
      </c>
      <c r="M1205" s="903"/>
      <c r="N1205" s="622" t="str">
        <f t="shared" si="50"/>
        <v/>
      </c>
    </row>
    <row r="1206" spans="9:14">
      <c r="I1206" s="631" t="s">
        <v>2075</v>
      </c>
      <c r="J1206" s="629"/>
      <c r="K1206" s="648">
        <f t="shared" si="48"/>
        <v>6</v>
      </c>
      <c r="L1206" s="649">
        <f t="shared" si="49"/>
        <v>38</v>
      </c>
      <c r="M1206" s="903"/>
      <c r="N1206" s="622" t="str">
        <f t="shared" si="50"/>
        <v/>
      </c>
    </row>
    <row r="1207" spans="9:14">
      <c r="I1207" s="631" t="s">
        <v>2076</v>
      </c>
      <c r="J1207" s="629"/>
      <c r="K1207" s="648">
        <f t="shared" si="48"/>
        <v>5</v>
      </c>
      <c r="L1207" s="649">
        <f t="shared" si="49"/>
        <v>38</v>
      </c>
      <c r="M1207" s="903"/>
      <c r="N1207" s="622" t="str">
        <f t="shared" si="50"/>
        <v/>
      </c>
    </row>
    <row r="1208" spans="9:14">
      <c r="I1208" s="631" t="s">
        <v>2077</v>
      </c>
      <c r="J1208" s="629"/>
      <c r="K1208" s="648">
        <f t="shared" si="48"/>
        <v>4</v>
      </c>
      <c r="L1208" s="649">
        <f t="shared" si="49"/>
        <v>38</v>
      </c>
      <c r="M1208" s="903"/>
      <c r="N1208" s="622" t="str">
        <f t="shared" si="50"/>
        <v/>
      </c>
    </row>
    <row r="1209" spans="9:14">
      <c r="I1209" s="631" t="s">
        <v>2078</v>
      </c>
      <c r="J1209" s="629"/>
      <c r="K1209" s="648">
        <f t="shared" si="48"/>
        <v>3</v>
      </c>
      <c r="L1209" s="649">
        <f t="shared" si="49"/>
        <v>38</v>
      </c>
      <c r="M1209" s="903"/>
      <c r="N1209" s="622" t="str">
        <f t="shared" si="50"/>
        <v/>
      </c>
    </row>
    <row r="1210" spans="9:14">
      <c r="I1210" s="631" t="s">
        <v>2079</v>
      </c>
      <c r="J1210" s="629"/>
      <c r="K1210" s="648">
        <f t="shared" si="48"/>
        <v>2</v>
      </c>
      <c r="L1210" s="649">
        <f t="shared" si="49"/>
        <v>38</v>
      </c>
      <c r="M1210" s="903"/>
      <c r="N1210" s="622" t="str">
        <f t="shared" si="50"/>
        <v/>
      </c>
    </row>
    <row r="1211" spans="9:14">
      <c r="I1211" s="631" t="s">
        <v>2080</v>
      </c>
      <c r="J1211" s="629"/>
      <c r="K1211" s="648">
        <f t="shared" si="48"/>
        <v>1</v>
      </c>
      <c r="L1211" s="649">
        <f t="shared" si="49"/>
        <v>38</v>
      </c>
      <c r="M1211" s="903"/>
      <c r="N1211" s="622" t="str">
        <f t="shared" si="50"/>
        <v/>
      </c>
    </row>
    <row r="1212" spans="9:14">
      <c r="I1212" s="631" t="s">
        <v>2081</v>
      </c>
      <c r="J1212" s="629"/>
      <c r="K1212" s="648">
        <f t="shared" si="48"/>
        <v>28</v>
      </c>
      <c r="L1212" s="649">
        <f t="shared" si="49"/>
        <v>39</v>
      </c>
      <c r="M1212" s="903"/>
      <c r="N1212" s="622" t="str">
        <f t="shared" si="50"/>
        <v/>
      </c>
    </row>
    <row r="1213" spans="9:14">
      <c r="I1213" s="631" t="s">
        <v>2082</v>
      </c>
      <c r="J1213" s="629"/>
      <c r="K1213" s="648">
        <f t="shared" si="48"/>
        <v>27</v>
      </c>
      <c r="L1213" s="649">
        <f t="shared" si="49"/>
        <v>39</v>
      </c>
      <c r="M1213" s="903"/>
      <c r="N1213" s="622" t="str">
        <f t="shared" si="50"/>
        <v/>
      </c>
    </row>
    <row r="1214" spans="9:14">
      <c r="I1214" s="631" t="s">
        <v>2083</v>
      </c>
      <c r="J1214" s="629"/>
      <c r="K1214" s="648">
        <f t="shared" si="48"/>
        <v>26</v>
      </c>
      <c r="L1214" s="649">
        <f t="shared" si="49"/>
        <v>39</v>
      </c>
      <c r="M1214" s="903"/>
      <c r="N1214" s="622" t="str">
        <f t="shared" si="50"/>
        <v/>
      </c>
    </row>
    <row r="1215" spans="9:14">
      <c r="I1215" s="631" t="s">
        <v>2084</v>
      </c>
      <c r="J1215" s="629"/>
      <c r="K1215" s="648">
        <f t="shared" si="48"/>
        <v>25</v>
      </c>
      <c r="L1215" s="649">
        <f t="shared" si="49"/>
        <v>39</v>
      </c>
      <c r="M1215" s="903"/>
      <c r="N1215" s="622" t="str">
        <f t="shared" si="50"/>
        <v/>
      </c>
    </row>
    <row r="1216" spans="9:14">
      <c r="I1216" s="631" t="s">
        <v>2085</v>
      </c>
      <c r="J1216" s="629"/>
      <c r="K1216" s="648">
        <f t="shared" si="48"/>
        <v>24</v>
      </c>
      <c r="L1216" s="649">
        <f t="shared" si="49"/>
        <v>39</v>
      </c>
      <c r="M1216" s="903"/>
      <c r="N1216" s="622" t="str">
        <f t="shared" si="50"/>
        <v/>
      </c>
    </row>
    <row r="1217" spans="9:14">
      <c r="I1217" s="631" t="s">
        <v>2086</v>
      </c>
      <c r="J1217" s="629"/>
      <c r="K1217" s="648">
        <f t="shared" si="48"/>
        <v>23</v>
      </c>
      <c r="L1217" s="649">
        <f t="shared" si="49"/>
        <v>39</v>
      </c>
      <c r="M1217" s="903"/>
      <c r="N1217" s="622" t="str">
        <f t="shared" si="50"/>
        <v/>
      </c>
    </row>
    <row r="1218" spans="9:14">
      <c r="I1218" s="631" t="s">
        <v>2087</v>
      </c>
      <c r="J1218" s="629"/>
      <c r="K1218" s="648">
        <f t="shared" si="48"/>
        <v>22</v>
      </c>
      <c r="L1218" s="649">
        <f t="shared" si="49"/>
        <v>39</v>
      </c>
      <c r="M1218" s="903"/>
      <c r="N1218" s="622" t="str">
        <f t="shared" si="50"/>
        <v/>
      </c>
    </row>
    <row r="1219" spans="9:14">
      <c r="I1219" s="631" t="s">
        <v>2088</v>
      </c>
      <c r="J1219" s="629"/>
      <c r="K1219" s="648">
        <f t="shared" si="48"/>
        <v>21</v>
      </c>
      <c r="L1219" s="649">
        <f t="shared" si="49"/>
        <v>39</v>
      </c>
      <c r="M1219" s="903"/>
      <c r="N1219" s="622" t="str">
        <f t="shared" si="50"/>
        <v/>
      </c>
    </row>
    <row r="1220" spans="9:14">
      <c r="I1220" s="631" t="s">
        <v>2089</v>
      </c>
      <c r="J1220" s="629"/>
      <c r="K1220" s="648">
        <f t="shared" si="48"/>
        <v>20</v>
      </c>
      <c r="L1220" s="649">
        <f t="shared" si="49"/>
        <v>39</v>
      </c>
      <c r="M1220" s="903"/>
      <c r="N1220" s="622" t="str">
        <f t="shared" si="50"/>
        <v/>
      </c>
    </row>
    <row r="1221" spans="9:14">
      <c r="I1221" s="631" t="s">
        <v>2090</v>
      </c>
      <c r="J1221" s="629"/>
      <c r="K1221" s="648">
        <f t="shared" si="48"/>
        <v>19</v>
      </c>
      <c r="L1221" s="649">
        <f t="shared" si="49"/>
        <v>39</v>
      </c>
      <c r="M1221" s="903"/>
      <c r="N1221" s="622" t="str">
        <f t="shared" si="50"/>
        <v/>
      </c>
    </row>
    <row r="1222" spans="9:14">
      <c r="I1222" s="631" t="s">
        <v>2091</v>
      </c>
      <c r="J1222" s="629"/>
      <c r="K1222" s="648">
        <f t="shared" si="48"/>
        <v>18</v>
      </c>
      <c r="L1222" s="649">
        <f t="shared" si="49"/>
        <v>39</v>
      </c>
      <c r="M1222" s="903"/>
      <c r="N1222" s="622" t="str">
        <f t="shared" si="50"/>
        <v/>
      </c>
    </row>
    <row r="1223" spans="9:14">
      <c r="I1223" s="631" t="s">
        <v>2092</v>
      </c>
      <c r="J1223" s="629"/>
      <c r="K1223" s="648">
        <f t="shared" si="48"/>
        <v>17</v>
      </c>
      <c r="L1223" s="649">
        <f t="shared" si="49"/>
        <v>39</v>
      </c>
      <c r="M1223" s="903"/>
      <c r="N1223" s="622" t="str">
        <f t="shared" si="50"/>
        <v/>
      </c>
    </row>
    <row r="1224" spans="9:14">
      <c r="I1224" s="631" t="s">
        <v>2093</v>
      </c>
      <c r="J1224" s="629"/>
      <c r="K1224" s="648">
        <f t="shared" si="48"/>
        <v>16</v>
      </c>
      <c r="L1224" s="649">
        <f t="shared" si="49"/>
        <v>39</v>
      </c>
      <c r="M1224" s="903"/>
      <c r="N1224" s="622" t="str">
        <f t="shared" si="50"/>
        <v/>
      </c>
    </row>
    <row r="1225" spans="9:14">
      <c r="I1225" s="631" t="s">
        <v>2094</v>
      </c>
      <c r="J1225" s="629"/>
      <c r="K1225" s="648">
        <f t="shared" si="48"/>
        <v>15</v>
      </c>
      <c r="L1225" s="649">
        <f t="shared" si="49"/>
        <v>39</v>
      </c>
      <c r="M1225" s="903"/>
      <c r="N1225" s="622" t="str">
        <f t="shared" si="50"/>
        <v/>
      </c>
    </row>
    <row r="1226" spans="9:14">
      <c r="I1226" s="631" t="s">
        <v>2095</v>
      </c>
      <c r="J1226" s="629"/>
      <c r="K1226" s="648">
        <f t="shared" si="48"/>
        <v>14</v>
      </c>
      <c r="L1226" s="649">
        <f t="shared" si="49"/>
        <v>39</v>
      </c>
      <c r="M1226" s="903"/>
      <c r="N1226" s="622" t="str">
        <f t="shared" si="50"/>
        <v/>
      </c>
    </row>
    <row r="1227" spans="9:14">
      <c r="I1227" s="631" t="s">
        <v>2096</v>
      </c>
      <c r="J1227" s="629"/>
      <c r="K1227" s="648">
        <f t="shared" si="48"/>
        <v>13</v>
      </c>
      <c r="L1227" s="649">
        <f t="shared" si="49"/>
        <v>39</v>
      </c>
      <c r="M1227" s="903"/>
      <c r="N1227" s="622" t="str">
        <f t="shared" si="50"/>
        <v/>
      </c>
    </row>
    <row r="1228" spans="9:14">
      <c r="I1228" s="631" t="s">
        <v>2097</v>
      </c>
      <c r="J1228" s="629"/>
      <c r="K1228" s="648">
        <f t="shared" si="48"/>
        <v>12</v>
      </c>
      <c r="L1228" s="649">
        <f t="shared" si="49"/>
        <v>39</v>
      </c>
      <c r="M1228" s="903"/>
      <c r="N1228" s="622" t="str">
        <f t="shared" si="50"/>
        <v/>
      </c>
    </row>
    <row r="1229" spans="9:14">
      <c r="I1229" s="631" t="s">
        <v>2098</v>
      </c>
      <c r="J1229" s="629"/>
      <c r="K1229" s="648">
        <f t="shared" si="48"/>
        <v>11</v>
      </c>
      <c r="L1229" s="649">
        <f t="shared" si="49"/>
        <v>39</v>
      </c>
      <c r="M1229" s="903"/>
      <c r="N1229" s="622" t="str">
        <f t="shared" si="50"/>
        <v/>
      </c>
    </row>
    <row r="1230" spans="9:14">
      <c r="I1230" s="631" t="s">
        <v>2099</v>
      </c>
      <c r="J1230" s="629"/>
      <c r="K1230" s="648">
        <f t="shared" si="48"/>
        <v>10</v>
      </c>
      <c r="L1230" s="649">
        <f t="shared" si="49"/>
        <v>39</v>
      </c>
      <c r="M1230" s="903"/>
      <c r="N1230" s="622" t="str">
        <f t="shared" si="50"/>
        <v/>
      </c>
    </row>
    <row r="1231" spans="9:14">
      <c r="I1231" s="631" t="s">
        <v>2100</v>
      </c>
      <c r="J1231" s="629"/>
      <c r="K1231" s="648">
        <f t="shared" si="48"/>
        <v>9</v>
      </c>
      <c r="L1231" s="649">
        <f t="shared" si="49"/>
        <v>39</v>
      </c>
      <c r="M1231" s="903"/>
      <c r="N1231" s="622" t="str">
        <f t="shared" si="50"/>
        <v/>
      </c>
    </row>
    <row r="1232" spans="9:14">
      <c r="I1232" s="631" t="s">
        <v>2101</v>
      </c>
      <c r="J1232" s="629"/>
      <c r="K1232" s="648">
        <f t="shared" si="48"/>
        <v>8</v>
      </c>
      <c r="L1232" s="649">
        <f t="shared" si="49"/>
        <v>39</v>
      </c>
      <c r="M1232" s="903"/>
      <c r="N1232" s="622" t="str">
        <f t="shared" si="50"/>
        <v/>
      </c>
    </row>
    <row r="1233" spans="9:14">
      <c r="I1233" s="631" t="s">
        <v>2102</v>
      </c>
      <c r="J1233" s="629"/>
      <c r="K1233" s="648">
        <f t="shared" si="48"/>
        <v>7</v>
      </c>
      <c r="L1233" s="649">
        <f t="shared" si="49"/>
        <v>39</v>
      </c>
      <c r="M1233" s="903"/>
      <c r="N1233" s="622" t="str">
        <f t="shared" si="50"/>
        <v/>
      </c>
    </row>
    <row r="1234" spans="9:14">
      <c r="I1234" s="631" t="s">
        <v>2103</v>
      </c>
      <c r="J1234" s="629"/>
      <c r="K1234" s="648">
        <f t="shared" si="48"/>
        <v>6</v>
      </c>
      <c r="L1234" s="649">
        <f t="shared" si="49"/>
        <v>39</v>
      </c>
      <c r="M1234" s="903"/>
      <c r="N1234" s="622" t="str">
        <f t="shared" si="50"/>
        <v/>
      </c>
    </row>
    <row r="1235" spans="9:14">
      <c r="I1235" s="631" t="s">
        <v>2104</v>
      </c>
      <c r="J1235" s="629"/>
      <c r="K1235" s="648">
        <f t="shared" si="48"/>
        <v>5</v>
      </c>
      <c r="L1235" s="649">
        <f t="shared" si="49"/>
        <v>39</v>
      </c>
      <c r="M1235" s="903"/>
      <c r="N1235" s="622" t="str">
        <f t="shared" si="50"/>
        <v/>
      </c>
    </row>
    <row r="1236" spans="9:14">
      <c r="I1236" s="631" t="s">
        <v>2105</v>
      </c>
      <c r="J1236" s="629"/>
      <c r="K1236" s="648">
        <f t="shared" si="48"/>
        <v>4</v>
      </c>
      <c r="L1236" s="649">
        <f t="shared" si="49"/>
        <v>39</v>
      </c>
      <c r="M1236" s="903"/>
      <c r="N1236" s="622" t="str">
        <f t="shared" si="50"/>
        <v/>
      </c>
    </row>
    <row r="1237" spans="9:14">
      <c r="I1237" s="631" t="s">
        <v>2106</v>
      </c>
      <c r="J1237" s="629"/>
      <c r="K1237" s="648">
        <f t="shared" ref="K1237:K1300" si="51">1+(RIGHT(I1237,LEN(I1237)-FIND(",",I1237))-10)/20</f>
        <v>3</v>
      </c>
      <c r="L1237" s="649">
        <f t="shared" ref="L1237:L1300" si="52">1+((LEFT(I1237,FIND(",",I1237)-1)*-1)-10)/20</f>
        <v>39</v>
      </c>
      <c r="M1237" s="903"/>
      <c r="N1237" s="622" t="str">
        <f t="shared" ref="N1237:N1300" si="53">IF(AND(K1237&lt;=$I$144,K1237&gt;=$I$145,L1237&gt;=$M$143,L1237&lt;=$N$143),MIN(ROUND(M1237,2),633),"")</f>
        <v/>
      </c>
    </row>
    <row r="1238" spans="9:14">
      <c r="I1238" s="631" t="s">
        <v>2107</v>
      </c>
      <c r="J1238" s="629"/>
      <c r="K1238" s="648">
        <f t="shared" si="51"/>
        <v>2</v>
      </c>
      <c r="L1238" s="649">
        <f t="shared" si="52"/>
        <v>39</v>
      </c>
      <c r="M1238" s="903"/>
      <c r="N1238" s="622" t="str">
        <f t="shared" si="53"/>
        <v/>
      </c>
    </row>
    <row r="1239" spans="9:14">
      <c r="I1239" s="631" t="s">
        <v>2108</v>
      </c>
      <c r="J1239" s="629"/>
      <c r="K1239" s="648">
        <f t="shared" si="51"/>
        <v>1</v>
      </c>
      <c r="L1239" s="649">
        <f t="shared" si="52"/>
        <v>39</v>
      </c>
      <c r="M1239" s="903"/>
      <c r="N1239" s="622" t="str">
        <f t="shared" si="53"/>
        <v/>
      </c>
    </row>
    <row r="1240" spans="9:14">
      <c r="I1240" s="631" t="s">
        <v>2109</v>
      </c>
      <c r="J1240" s="629"/>
      <c r="K1240" s="648">
        <f t="shared" si="51"/>
        <v>28</v>
      </c>
      <c r="L1240" s="649">
        <f t="shared" si="52"/>
        <v>40</v>
      </c>
      <c r="M1240" s="903"/>
      <c r="N1240" s="622" t="str">
        <f t="shared" si="53"/>
        <v/>
      </c>
    </row>
    <row r="1241" spans="9:14">
      <c r="I1241" s="631" t="s">
        <v>2110</v>
      </c>
      <c r="J1241" s="629"/>
      <c r="K1241" s="648">
        <f t="shared" si="51"/>
        <v>27</v>
      </c>
      <c r="L1241" s="649">
        <f t="shared" si="52"/>
        <v>40</v>
      </c>
      <c r="M1241" s="903"/>
      <c r="N1241" s="622" t="str">
        <f t="shared" si="53"/>
        <v/>
      </c>
    </row>
    <row r="1242" spans="9:14">
      <c r="I1242" s="631" t="s">
        <v>2111</v>
      </c>
      <c r="J1242" s="629"/>
      <c r="K1242" s="648">
        <f t="shared" si="51"/>
        <v>26</v>
      </c>
      <c r="L1242" s="649">
        <f t="shared" si="52"/>
        <v>40</v>
      </c>
      <c r="M1242" s="903"/>
      <c r="N1242" s="622" t="str">
        <f t="shared" si="53"/>
        <v/>
      </c>
    </row>
    <row r="1243" spans="9:14">
      <c r="I1243" s="631" t="s">
        <v>2112</v>
      </c>
      <c r="J1243" s="629"/>
      <c r="K1243" s="648">
        <f t="shared" si="51"/>
        <v>25</v>
      </c>
      <c r="L1243" s="649">
        <f t="shared" si="52"/>
        <v>40</v>
      </c>
      <c r="M1243" s="903"/>
      <c r="N1243" s="622" t="str">
        <f t="shared" si="53"/>
        <v/>
      </c>
    </row>
    <row r="1244" spans="9:14">
      <c r="I1244" s="631" t="s">
        <v>2113</v>
      </c>
      <c r="J1244" s="629"/>
      <c r="K1244" s="648">
        <f t="shared" si="51"/>
        <v>24</v>
      </c>
      <c r="L1244" s="649">
        <f t="shared" si="52"/>
        <v>40</v>
      </c>
      <c r="M1244" s="903"/>
      <c r="N1244" s="622" t="str">
        <f t="shared" si="53"/>
        <v/>
      </c>
    </row>
    <row r="1245" spans="9:14">
      <c r="I1245" s="631" t="s">
        <v>2114</v>
      </c>
      <c r="J1245" s="629"/>
      <c r="K1245" s="648">
        <f t="shared" si="51"/>
        <v>23</v>
      </c>
      <c r="L1245" s="649">
        <f t="shared" si="52"/>
        <v>40</v>
      </c>
      <c r="M1245" s="903"/>
      <c r="N1245" s="622" t="str">
        <f t="shared" si="53"/>
        <v/>
      </c>
    </row>
    <row r="1246" spans="9:14">
      <c r="I1246" s="631" t="s">
        <v>2115</v>
      </c>
      <c r="J1246" s="629"/>
      <c r="K1246" s="648">
        <f t="shared" si="51"/>
        <v>22</v>
      </c>
      <c r="L1246" s="649">
        <f t="shared" si="52"/>
        <v>40</v>
      </c>
      <c r="M1246" s="903"/>
      <c r="N1246" s="622" t="str">
        <f t="shared" si="53"/>
        <v/>
      </c>
    </row>
    <row r="1247" spans="9:14">
      <c r="I1247" s="631" t="s">
        <v>2116</v>
      </c>
      <c r="J1247" s="629"/>
      <c r="K1247" s="648">
        <f t="shared" si="51"/>
        <v>21</v>
      </c>
      <c r="L1247" s="649">
        <f t="shared" si="52"/>
        <v>40</v>
      </c>
      <c r="M1247" s="903"/>
      <c r="N1247" s="622" t="str">
        <f t="shared" si="53"/>
        <v/>
      </c>
    </row>
    <row r="1248" spans="9:14">
      <c r="I1248" s="631" t="s">
        <v>2117</v>
      </c>
      <c r="J1248" s="629"/>
      <c r="K1248" s="648">
        <f t="shared" si="51"/>
        <v>20</v>
      </c>
      <c r="L1248" s="649">
        <f t="shared" si="52"/>
        <v>40</v>
      </c>
      <c r="M1248" s="903"/>
      <c r="N1248" s="622" t="str">
        <f t="shared" si="53"/>
        <v/>
      </c>
    </row>
    <row r="1249" spans="9:14">
      <c r="I1249" s="631" t="s">
        <v>2118</v>
      </c>
      <c r="J1249" s="629"/>
      <c r="K1249" s="648">
        <f t="shared" si="51"/>
        <v>19</v>
      </c>
      <c r="L1249" s="649">
        <f t="shared" si="52"/>
        <v>40</v>
      </c>
      <c r="M1249" s="903"/>
      <c r="N1249" s="622" t="str">
        <f t="shared" si="53"/>
        <v/>
      </c>
    </row>
    <row r="1250" spans="9:14">
      <c r="I1250" s="631" t="s">
        <v>2119</v>
      </c>
      <c r="J1250" s="629"/>
      <c r="K1250" s="648">
        <f t="shared" si="51"/>
        <v>18</v>
      </c>
      <c r="L1250" s="649">
        <f t="shared" si="52"/>
        <v>40</v>
      </c>
      <c r="M1250" s="903"/>
      <c r="N1250" s="622" t="str">
        <f t="shared" si="53"/>
        <v/>
      </c>
    </row>
    <row r="1251" spans="9:14">
      <c r="I1251" s="631" t="s">
        <v>2120</v>
      </c>
      <c r="J1251" s="629"/>
      <c r="K1251" s="648">
        <f t="shared" si="51"/>
        <v>17</v>
      </c>
      <c r="L1251" s="649">
        <f t="shared" si="52"/>
        <v>40</v>
      </c>
      <c r="M1251" s="903"/>
      <c r="N1251" s="622" t="str">
        <f t="shared" si="53"/>
        <v/>
      </c>
    </row>
    <row r="1252" spans="9:14">
      <c r="I1252" s="631" t="s">
        <v>2121</v>
      </c>
      <c r="J1252" s="629"/>
      <c r="K1252" s="648">
        <f t="shared" si="51"/>
        <v>16</v>
      </c>
      <c r="L1252" s="649">
        <f t="shared" si="52"/>
        <v>40</v>
      </c>
      <c r="M1252" s="903"/>
      <c r="N1252" s="622" t="str">
        <f t="shared" si="53"/>
        <v/>
      </c>
    </row>
    <row r="1253" spans="9:14">
      <c r="I1253" s="631" t="s">
        <v>2122</v>
      </c>
      <c r="J1253" s="629"/>
      <c r="K1253" s="648">
        <f t="shared" si="51"/>
        <v>15</v>
      </c>
      <c r="L1253" s="649">
        <f t="shared" si="52"/>
        <v>40</v>
      </c>
      <c r="M1253" s="903"/>
      <c r="N1253" s="622" t="str">
        <f t="shared" si="53"/>
        <v/>
      </c>
    </row>
    <row r="1254" spans="9:14">
      <c r="I1254" s="631" t="s">
        <v>2123</v>
      </c>
      <c r="J1254" s="629"/>
      <c r="K1254" s="648">
        <f t="shared" si="51"/>
        <v>14</v>
      </c>
      <c r="L1254" s="649">
        <f t="shared" si="52"/>
        <v>40</v>
      </c>
      <c r="M1254" s="903"/>
      <c r="N1254" s="622" t="str">
        <f t="shared" si="53"/>
        <v/>
      </c>
    </row>
    <row r="1255" spans="9:14">
      <c r="I1255" s="631" t="s">
        <v>2124</v>
      </c>
      <c r="J1255" s="629"/>
      <c r="K1255" s="648">
        <f t="shared" si="51"/>
        <v>13</v>
      </c>
      <c r="L1255" s="649">
        <f t="shared" si="52"/>
        <v>40</v>
      </c>
      <c r="M1255" s="903"/>
      <c r="N1255" s="622" t="str">
        <f t="shared" si="53"/>
        <v/>
      </c>
    </row>
    <row r="1256" spans="9:14">
      <c r="I1256" s="631" t="s">
        <v>2125</v>
      </c>
      <c r="J1256" s="629"/>
      <c r="K1256" s="648">
        <f t="shared" si="51"/>
        <v>12</v>
      </c>
      <c r="L1256" s="649">
        <f t="shared" si="52"/>
        <v>40</v>
      </c>
      <c r="M1256" s="903"/>
      <c r="N1256" s="622" t="str">
        <f t="shared" si="53"/>
        <v/>
      </c>
    </row>
    <row r="1257" spans="9:14">
      <c r="I1257" s="631" t="s">
        <v>2126</v>
      </c>
      <c r="J1257" s="629"/>
      <c r="K1257" s="648">
        <f t="shared" si="51"/>
        <v>11</v>
      </c>
      <c r="L1257" s="649">
        <f t="shared" si="52"/>
        <v>40</v>
      </c>
      <c r="M1257" s="903"/>
      <c r="N1257" s="622" t="str">
        <f t="shared" si="53"/>
        <v/>
      </c>
    </row>
    <row r="1258" spans="9:14">
      <c r="I1258" s="631" t="s">
        <v>2127</v>
      </c>
      <c r="J1258" s="629"/>
      <c r="K1258" s="648">
        <f t="shared" si="51"/>
        <v>10</v>
      </c>
      <c r="L1258" s="649">
        <f t="shared" si="52"/>
        <v>40</v>
      </c>
      <c r="M1258" s="903"/>
      <c r="N1258" s="622" t="str">
        <f t="shared" si="53"/>
        <v/>
      </c>
    </row>
    <row r="1259" spans="9:14">
      <c r="I1259" s="631" t="s">
        <v>2128</v>
      </c>
      <c r="J1259" s="629"/>
      <c r="K1259" s="648">
        <f t="shared" si="51"/>
        <v>9</v>
      </c>
      <c r="L1259" s="649">
        <f t="shared" si="52"/>
        <v>40</v>
      </c>
      <c r="M1259" s="903"/>
      <c r="N1259" s="622" t="str">
        <f t="shared" si="53"/>
        <v/>
      </c>
    </row>
    <row r="1260" spans="9:14">
      <c r="I1260" s="631" t="s">
        <v>2129</v>
      </c>
      <c r="J1260" s="629"/>
      <c r="K1260" s="648">
        <f t="shared" si="51"/>
        <v>8</v>
      </c>
      <c r="L1260" s="649">
        <f t="shared" si="52"/>
        <v>40</v>
      </c>
      <c r="M1260" s="903"/>
      <c r="N1260" s="622" t="str">
        <f t="shared" si="53"/>
        <v/>
      </c>
    </row>
    <row r="1261" spans="9:14">
      <c r="I1261" s="631" t="s">
        <v>2130</v>
      </c>
      <c r="J1261" s="629"/>
      <c r="K1261" s="648">
        <f t="shared" si="51"/>
        <v>7</v>
      </c>
      <c r="L1261" s="649">
        <f t="shared" si="52"/>
        <v>40</v>
      </c>
      <c r="M1261" s="903"/>
      <c r="N1261" s="622" t="str">
        <f t="shared" si="53"/>
        <v/>
      </c>
    </row>
    <row r="1262" spans="9:14">
      <c r="I1262" s="631" t="s">
        <v>2131</v>
      </c>
      <c r="J1262" s="629"/>
      <c r="K1262" s="648">
        <f t="shared" si="51"/>
        <v>6</v>
      </c>
      <c r="L1262" s="649">
        <f t="shared" si="52"/>
        <v>40</v>
      </c>
      <c r="M1262" s="903"/>
      <c r="N1262" s="622" t="str">
        <f t="shared" si="53"/>
        <v/>
      </c>
    </row>
    <row r="1263" spans="9:14">
      <c r="I1263" s="631" t="s">
        <v>2132</v>
      </c>
      <c r="J1263" s="629"/>
      <c r="K1263" s="648">
        <f t="shared" si="51"/>
        <v>5</v>
      </c>
      <c r="L1263" s="649">
        <f t="shared" si="52"/>
        <v>40</v>
      </c>
      <c r="M1263" s="903"/>
      <c r="N1263" s="622" t="str">
        <f t="shared" si="53"/>
        <v/>
      </c>
    </row>
    <row r="1264" spans="9:14">
      <c r="I1264" s="631" t="s">
        <v>2133</v>
      </c>
      <c r="J1264" s="629"/>
      <c r="K1264" s="648">
        <f t="shared" si="51"/>
        <v>4</v>
      </c>
      <c r="L1264" s="649">
        <f t="shared" si="52"/>
        <v>40</v>
      </c>
      <c r="M1264" s="903"/>
      <c r="N1264" s="622" t="str">
        <f t="shared" si="53"/>
        <v/>
      </c>
    </row>
    <row r="1265" spans="9:14">
      <c r="I1265" s="631" t="s">
        <v>2134</v>
      </c>
      <c r="J1265" s="629"/>
      <c r="K1265" s="648">
        <f t="shared" si="51"/>
        <v>3</v>
      </c>
      <c r="L1265" s="649">
        <f t="shared" si="52"/>
        <v>40</v>
      </c>
      <c r="M1265" s="903"/>
      <c r="N1265" s="622" t="str">
        <f t="shared" si="53"/>
        <v/>
      </c>
    </row>
    <row r="1266" spans="9:14">
      <c r="I1266" s="631" t="s">
        <v>2135</v>
      </c>
      <c r="J1266" s="629"/>
      <c r="K1266" s="648">
        <f t="shared" si="51"/>
        <v>2</v>
      </c>
      <c r="L1266" s="649">
        <f t="shared" si="52"/>
        <v>40</v>
      </c>
      <c r="M1266" s="903"/>
      <c r="N1266" s="622" t="str">
        <f t="shared" si="53"/>
        <v/>
      </c>
    </row>
    <row r="1267" spans="9:14">
      <c r="I1267" s="631" t="s">
        <v>2136</v>
      </c>
      <c r="J1267" s="629"/>
      <c r="K1267" s="648">
        <f t="shared" si="51"/>
        <v>1</v>
      </c>
      <c r="L1267" s="649">
        <f t="shared" si="52"/>
        <v>40</v>
      </c>
      <c r="M1267" s="903"/>
      <c r="N1267" s="622" t="str">
        <f t="shared" si="53"/>
        <v/>
      </c>
    </row>
    <row r="1268" spans="9:14">
      <c r="I1268" s="631" t="s">
        <v>2137</v>
      </c>
      <c r="J1268" s="629"/>
      <c r="K1268" s="648">
        <f t="shared" si="51"/>
        <v>28</v>
      </c>
      <c r="L1268" s="649">
        <f t="shared" si="52"/>
        <v>41</v>
      </c>
      <c r="M1268" s="903"/>
      <c r="N1268" s="622" t="str">
        <f t="shared" si="53"/>
        <v/>
      </c>
    </row>
    <row r="1269" spans="9:14">
      <c r="I1269" s="631" t="s">
        <v>2138</v>
      </c>
      <c r="J1269" s="629"/>
      <c r="K1269" s="648">
        <f t="shared" si="51"/>
        <v>27</v>
      </c>
      <c r="L1269" s="649">
        <f t="shared" si="52"/>
        <v>41</v>
      </c>
      <c r="M1269" s="903"/>
      <c r="N1269" s="622" t="str">
        <f t="shared" si="53"/>
        <v/>
      </c>
    </row>
    <row r="1270" spans="9:14">
      <c r="I1270" s="631" t="s">
        <v>2139</v>
      </c>
      <c r="J1270" s="629"/>
      <c r="K1270" s="648">
        <f t="shared" si="51"/>
        <v>26</v>
      </c>
      <c r="L1270" s="649">
        <f t="shared" si="52"/>
        <v>41</v>
      </c>
      <c r="M1270" s="903"/>
      <c r="N1270" s="622" t="str">
        <f t="shared" si="53"/>
        <v/>
      </c>
    </row>
    <row r="1271" spans="9:14">
      <c r="I1271" s="631" t="s">
        <v>2140</v>
      </c>
      <c r="J1271" s="629"/>
      <c r="K1271" s="648">
        <f t="shared" si="51"/>
        <v>25</v>
      </c>
      <c r="L1271" s="649">
        <f t="shared" si="52"/>
        <v>41</v>
      </c>
      <c r="M1271" s="903"/>
      <c r="N1271" s="622" t="str">
        <f t="shared" si="53"/>
        <v/>
      </c>
    </row>
    <row r="1272" spans="9:14">
      <c r="I1272" s="631" t="s">
        <v>2141</v>
      </c>
      <c r="J1272" s="629"/>
      <c r="K1272" s="648">
        <f t="shared" si="51"/>
        <v>24</v>
      </c>
      <c r="L1272" s="649">
        <f t="shared" si="52"/>
        <v>41</v>
      </c>
      <c r="M1272" s="903"/>
      <c r="N1272" s="622" t="str">
        <f t="shared" si="53"/>
        <v/>
      </c>
    </row>
    <row r="1273" spans="9:14">
      <c r="I1273" s="631" t="s">
        <v>2142</v>
      </c>
      <c r="J1273" s="629"/>
      <c r="K1273" s="648">
        <f t="shared" si="51"/>
        <v>23</v>
      </c>
      <c r="L1273" s="649">
        <f t="shared" si="52"/>
        <v>41</v>
      </c>
      <c r="M1273" s="903"/>
      <c r="N1273" s="622" t="str">
        <f t="shared" si="53"/>
        <v/>
      </c>
    </row>
    <row r="1274" spans="9:14">
      <c r="I1274" s="631" t="s">
        <v>2143</v>
      </c>
      <c r="J1274" s="629"/>
      <c r="K1274" s="648">
        <f t="shared" si="51"/>
        <v>22</v>
      </c>
      <c r="L1274" s="649">
        <f t="shared" si="52"/>
        <v>41</v>
      </c>
      <c r="M1274" s="903"/>
      <c r="N1274" s="622" t="str">
        <f t="shared" si="53"/>
        <v/>
      </c>
    </row>
    <row r="1275" spans="9:14">
      <c r="I1275" s="631" t="s">
        <v>2144</v>
      </c>
      <c r="J1275" s="629"/>
      <c r="K1275" s="648">
        <f t="shared" si="51"/>
        <v>21</v>
      </c>
      <c r="L1275" s="649">
        <f t="shared" si="52"/>
        <v>41</v>
      </c>
      <c r="M1275" s="903"/>
      <c r="N1275" s="622" t="str">
        <f t="shared" si="53"/>
        <v/>
      </c>
    </row>
    <row r="1276" spans="9:14">
      <c r="I1276" s="631" t="s">
        <v>2145</v>
      </c>
      <c r="J1276" s="629"/>
      <c r="K1276" s="648">
        <f t="shared" si="51"/>
        <v>20</v>
      </c>
      <c r="L1276" s="649">
        <f t="shared" si="52"/>
        <v>41</v>
      </c>
      <c r="M1276" s="903"/>
      <c r="N1276" s="622" t="str">
        <f t="shared" si="53"/>
        <v/>
      </c>
    </row>
    <row r="1277" spans="9:14">
      <c r="I1277" s="631" t="s">
        <v>2146</v>
      </c>
      <c r="J1277" s="629"/>
      <c r="K1277" s="648">
        <f t="shared" si="51"/>
        <v>19</v>
      </c>
      <c r="L1277" s="649">
        <f t="shared" si="52"/>
        <v>41</v>
      </c>
      <c r="M1277" s="903"/>
      <c r="N1277" s="622" t="str">
        <f t="shared" si="53"/>
        <v/>
      </c>
    </row>
    <row r="1278" spans="9:14">
      <c r="I1278" s="631" t="s">
        <v>2147</v>
      </c>
      <c r="J1278" s="629"/>
      <c r="K1278" s="648">
        <f t="shared" si="51"/>
        <v>18</v>
      </c>
      <c r="L1278" s="649">
        <f t="shared" si="52"/>
        <v>41</v>
      </c>
      <c r="M1278" s="903"/>
      <c r="N1278" s="622" t="str">
        <f t="shared" si="53"/>
        <v/>
      </c>
    </row>
    <row r="1279" spans="9:14">
      <c r="I1279" s="631" t="s">
        <v>2148</v>
      </c>
      <c r="J1279" s="629"/>
      <c r="K1279" s="648">
        <f t="shared" si="51"/>
        <v>17</v>
      </c>
      <c r="L1279" s="649">
        <f t="shared" si="52"/>
        <v>41</v>
      </c>
      <c r="M1279" s="903"/>
      <c r="N1279" s="622" t="str">
        <f t="shared" si="53"/>
        <v/>
      </c>
    </row>
    <row r="1280" spans="9:14">
      <c r="I1280" s="631" t="s">
        <v>2149</v>
      </c>
      <c r="J1280" s="629"/>
      <c r="K1280" s="648">
        <f t="shared" si="51"/>
        <v>16</v>
      </c>
      <c r="L1280" s="649">
        <f t="shared" si="52"/>
        <v>41</v>
      </c>
      <c r="M1280" s="903"/>
      <c r="N1280" s="622" t="str">
        <f t="shared" si="53"/>
        <v/>
      </c>
    </row>
    <row r="1281" spans="9:14">
      <c r="I1281" s="631" t="s">
        <v>2150</v>
      </c>
      <c r="J1281" s="629"/>
      <c r="K1281" s="648">
        <f t="shared" si="51"/>
        <v>15</v>
      </c>
      <c r="L1281" s="649">
        <f t="shared" si="52"/>
        <v>41</v>
      </c>
      <c r="M1281" s="903"/>
      <c r="N1281" s="622" t="str">
        <f t="shared" si="53"/>
        <v/>
      </c>
    </row>
    <row r="1282" spans="9:14">
      <c r="I1282" s="631" t="s">
        <v>2151</v>
      </c>
      <c r="J1282" s="629"/>
      <c r="K1282" s="648">
        <f t="shared" si="51"/>
        <v>14</v>
      </c>
      <c r="L1282" s="649">
        <f t="shared" si="52"/>
        <v>41</v>
      </c>
      <c r="M1282" s="903"/>
      <c r="N1282" s="622" t="str">
        <f t="shared" si="53"/>
        <v/>
      </c>
    </row>
    <row r="1283" spans="9:14">
      <c r="I1283" s="631" t="s">
        <v>2152</v>
      </c>
      <c r="J1283" s="629"/>
      <c r="K1283" s="648">
        <f t="shared" si="51"/>
        <v>13</v>
      </c>
      <c r="L1283" s="649">
        <f t="shared" si="52"/>
        <v>41</v>
      </c>
      <c r="M1283" s="903"/>
      <c r="N1283" s="622" t="str">
        <f t="shared" si="53"/>
        <v/>
      </c>
    </row>
    <row r="1284" spans="9:14">
      <c r="I1284" s="631" t="s">
        <v>2153</v>
      </c>
      <c r="J1284" s="629"/>
      <c r="K1284" s="648">
        <f t="shared" si="51"/>
        <v>12</v>
      </c>
      <c r="L1284" s="649">
        <f t="shared" si="52"/>
        <v>41</v>
      </c>
      <c r="M1284" s="903"/>
      <c r="N1284" s="622" t="str">
        <f t="shared" si="53"/>
        <v/>
      </c>
    </row>
    <row r="1285" spans="9:14">
      <c r="I1285" s="631" t="s">
        <v>2154</v>
      </c>
      <c r="J1285" s="629"/>
      <c r="K1285" s="648">
        <f t="shared" si="51"/>
        <v>11</v>
      </c>
      <c r="L1285" s="649">
        <f t="shared" si="52"/>
        <v>41</v>
      </c>
      <c r="M1285" s="903"/>
      <c r="N1285" s="622" t="str">
        <f t="shared" si="53"/>
        <v/>
      </c>
    </row>
    <row r="1286" spans="9:14">
      <c r="I1286" s="631" t="s">
        <v>2155</v>
      </c>
      <c r="J1286" s="629"/>
      <c r="K1286" s="648">
        <f t="shared" si="51"/>
        <v>10</v>
      </c>
      <c r="L1286" s="649">
        <f t="shared" si="52"/>
        <v>41</v>
      </c>
      <c r="M1286" s="903"/>
      <c r="N1286" s="622" t="str">
        <f t="shared" si="53"/>
        <v/>
      </c>
    </row>
    <row r="1287" spans="9:14">
      <c r="I1287" s="631" t="s">
        <v>2156</v>
      </c>
      <c r="J1287" s="629"/>
      <c r="K1287" s="648">
        <f t="shared" si="51"/>
        <v>9</v>
      </c>
      <c r="L1287" s="649">
        <f t="shared" si="52"/>
        <v>41</v>
      </c>
      <c r="M1287" s="903"/>
      <c r="N1287" s="622" t="str">
        <f t="shared" si="53"/>
        <v/>
      </c>
    </row>
    <row r="1288" spans="9:14">
      <c r="I1288" s="631" t="s">
        <v>2157</v>
      </c>
      <c r="J1288" s="629"/>
      <c r="K1288" s="648">
        <f t="shared" si="51"/>
        <v>8</v>
      </c>
      <c r="L1288" s="649">
        <f t="shared" si="52"/>
        <v>41</v>
      </c>
      <c r="M1288" s="903"/>
      <c r="N1288" s="622" t="str">
        <f t="shared" si="53"/>
        <v/>
      </c>
    </row>
    <row r="1289" spans="9:14">
      <c r="I1289" s="631" t="s">
        <v>2158</v>
      </c>
      <c r="J1289" s="629"/>
      <c r="K1289" s="648">
        <f t="shared" si="51"/>
        <v>7</v>
      </c>
      <c r="L1289" s="649">
        <f t="shared" si="52"/>
        <v>41</v>
      </c>
      <c r="M1289" s="903"/>
      <c r="N1289" s="622" t="str">
        <f t="shared" si="53"/>
        <v/>
      </c>
    </row>
    <row r="1290" spans="9:14">
      <c r="I1290" s="631" t="s">
        <v>2159</v>
      </c>
      <c r="J1290" s="629"/>
      <c r="K1290" s="648">
        <f t="shared" si="51"/>
        <v>6</v>
      </c>
      <c r="L1290" s="649">
        <f t="shared" si="52"/>
        <v>41</v>
      </c>
      <c r="M1290" s="903"/>
      <c r="N1290" s="622" t="str">
        <f t="shared" si="53"/>
        <v/>
      </c>
    </row>
    <row r="1291" spans="9:14">
      <c r="I1291" s="631" t="s">
        <v>2160</v>
      </c>
      <c r="J1291" s="629"/>
      <c r="K1291" s="648">
        <f t="shared" si="51"/>
        <v>5</v>
      </c>
      <c r="L1291" s="649">
        <f t="shared" si="52"/>
        <v>41</v>
      </c>
      <c r="M1291" s="903"/>
      <c r="N1291" s="622" t="str">
        <f t="shared" si="53"/>
        <v/>
      </c>
    </row>
    <row r="1292" spans="9:14">
      <c r="I1292" s="631" t="s">
        <v>2161</v>
      </c>
      <c r="J1292" s="629"/>
      <c r="K1292" s="648">
        <f t="shared" si="51"/>
        <v>4</v>
      </c>
      <c r="L1292" s="649">
        <f t="shared" si="52"/>
        <v>41</v>
      </c>
      <c r="M1292" s="903"/>
      <c r="N1292" s="622" t="str">
        <f t="shared" si="53"/>
        <v/>
      </c>
    </row>
    <row r="1293" spans="9:14">
      <c r="I1293" s="631" t="s">
        <v>2162</v>
      </c>
      <c r="J1293" s="629"/>
      <c r="K1293" s="648">
        <f t="shared" si="51"/>
        <v>3</v>
      </c>
      <c r="L1293" s="649">
        <f t="shared" si="52"/>
        <v>41</v>
      </c>
      <c r="M1293" s="903"/>
      <c r="N1293" s="622" t="str">
        <f t="shared" si="53"/>
        <v/>
      </c>
    </row>
    <row r="1294" spans="9:14">
      <c r="I1294" s="631" t="s">
        <v>2163</v>
      </c>
      <c r="J1294" s="629"/>
      <c r="K1294" s="648">
        <f t="shared" si="51"/>
        <v>2</v>
      </c>
      <c r="L1294" s="649">
        <f t="shared" si="52"/>
        <v>41</v>
      </c>
      <c r="M1294" s="903"/>
      <c r="N1294" s="622" t="str">
        <f t="shared" si="53"/>
        <v/>
      </c>
    </row>
    <row r="1295" spans="9:14">
      <c r="I1295" s="631" t="s">
        <v>2164</v>
      </c>
      <c r="J1295" s="629"/>
      <c r="K1295" s="648">
        <f t="shared" si="51"/>
        <v>1</v>
      </c>
      <c r="L1295" s="649">
        <f t="shared" si="52"/>
        <v>41</v>
      </c>
      <c r="M1295" s="903"/>
      <c r="N1295" s="622" t="str">
        <f t="shared" si="53"/>
        <v/>
      </c>
    </row>
    <row r="1296" spans="9:14">
      <c r="I1296" s="631" t="s">
        <v>2165</v>
      </c>
      <c r="J1296" s="629"/>
      <c r="K1296" s="648">
        <f t="shared" si="51"/>
        <v>28</v>
      </c>
      <c r="L1296" s="649">
        <f t="shared" si="52"/>
        <v>42</v>
      </c>
      <c r="M1296" s="903"/>
      <c r="N1296" s="622" t="str">
        <f t="shared" si="53"/>
        <v/>
      </c>
    </row>
    <row r="1297" spans="9:14">
      <c r="I1297" s="631" t="s">
        <v>2166</v>
      </c>
      <c r="J1297" s="629"/>
      <c r="K1297" s="648">
        <f t="shared" si="51"/>
        <v>27</v>
      </c>
      <c r="L1297" s="649">
        <f t="shared" si="52"/>
        <v>42</v>
      </c>
      <c r="M1297" s="903"/>
      <c r="N1297" s="622" t="str">
        <f t="shared" si="53"/>
        <v/>
      </c>
    </row>
    <row r="1298" spans="9:14">
      <c r="I1298" s="631" t="s">
        <v>2167</v>
      </c>
      <c r="J1298" s="629"/>
      <c r="K1298" s="648">
        <f t="shared" si="51"/>
        <v>26</v>
      </c>
      <c r="L1298" s="649">
        <f t="shared" si="52"/>
        <v>42</v>
      </c>
      <c r="M1298" s="903"/>
      <c r="N1298" s="622" t="str">
        <f t="shared" si="53"/>
        <v/>
      </c>
    </row>
    <row r="1299" spans="9:14">
      <c r="I1299" s="631" t="s">
        <v>2168</v>
      </c>
      <c r="J1299" s="629"/>
      <c r="K1299" s="648">
        <f t="shared" si="51"/>
        <v>25</v>
      </c>
      <c r="L1299" s="649">
        <f t="shared" si="52"/>
        <v>42</v>
      </c>
      <c r="M1299" s="903"/>
      <c r="N1299" s="622" t="str">
        <f t="shared" si="53"/>
        <v/>
      </c>
    </row>
    <row r="1300" spans="9:14">
      <c r="I1300" s="631" t="s">
        <v>2169</v>
      </c>
      <c r="J1300" s="629"/>
      <c r="K1300" s="648">
        <f t="shared" si="51"/>
        <v>24</v>
      </c>
      <c r="L1300" s="649">
        <f t="shared" si="52"/>
        <v>42</v>
      </c>
      <c r="M1300" s="903"/>
      <c r="N1300" s="622" t="str">
        <f t="shared" si="53"/>
        <v/>
      </c>
    </row>
    <row r="1301" spans="9:14">
      <c r="I1301" s="631" t="s">
        <v>2170</v>
      </c>
      <c r="J1301" s="629"/>
      <c r="K1301" s="648">
        <f t="shared" ref="K1301:K1364" si="54">1+(RIGHT(I1301,LEN(I1301)-FIND(",",I1301))-10)/20</f>
        <v>23</v>
      </c>
      <c r="L1301" s="649">
        <f t="shared" ref="L1301:L1364" si="55">1+((LEFT(I1301,FIND(",",I1301)-1)*-1)-10)/20</f>
        <v>42</v>
      </c>
      <c r="M1301" s="903"/>
      <c r="N1301" s="622" t="str">
        <f t="shared" ref="N1301:N1364" si="56">IF(AND(K1301&lt;=$I$144,K1301&gt;=$I$145,L1301&gt;=$M$143,L1301&lt;=$N$143),MIN(ROUND(M1301,2),633),"")</f>
        <v/>
      </c>
    </row>
    <row r="1302" spans="9:14">
      <c r="I1302" s="631" t="s">
        <v>2171</v>
      </c>
      <c r="J1302" s="629"/>
      <c r="K1302" s="648">
        <f t="shared" si="54"/>
        <v>22</v>
      </c>
      <c r="L1302" s="649">
        <f t="shared" si="55"/>
        <v>42</v>
      </c>
      <c r="M1302" s="903"/>
      <c r="N1302" s="622" t="str">
        <f t="shared" si="56"/>
        <v/>
      </c>
    </row>
    <row r="1303" spans="9:14">
      <c r="I1303" s="631" t="s">
        <v>2172</v>
      </c>
      <c r="J1303" s="629"/>
      <c r="K1303" s="648">
        <f t="shared" si="54"/>
        <v>21</v>
      </c>
      <c r="L1303" s="649">
        <f t="shared" si="55"/>
        <v>42</v>
      </c>
      <c r="M1303" s="903"/>
      <c r="N1303" s="622" t="str">
        <f t="shared" si="56"/>
        <v/>
      </c>
    </row>
    <row r="1304" spans="9:14">
      <c r="I1304" s="631" t="s">
        <v>2173</v>
      </c>
      <c r="J1304" s="629"/>
      <c r="K1304" s="648">
        <f t="shared" si="54"/>
        <v>20</v>
      </c>
      <c r="L1304" s="649">
        <f t="shared" si="55"/>
        <v>42</v>
      </c>
      <c r="M1304" s="903"/>
      <c r="N1304" s="622" t="str">
        <f t="shared" si="56"/>
        <v/>
      </c>
    </row>
    <row r="1305" spans="9:14">
      <c r="I1305" s="631" t="s">
        <v>2174</v>
      </c>
      <c r="J1305" s="629"/>
      <c r="K1305" s="648">
        <f t="shared" si="54"/>
        <v>19</v>
      </c>
      <c r="L1305" s="649">
        <f t="shared" si="55"/>
        <v>42</v>
      </c>
      <c r="M1305" s="903"/>
      <c r="N1305" s="622" t="str">
        <f t="shared" si="56"/>
        <v/>
      </c>
    </row>
    <row r="1306" spans="9:14">
      <c r="I1306" s="631" t="s">
        <v>2175</v>
      </c>
      <c r="J1306" s="629"/>
      <c r="K1306" s="648">
        <f t="shared" si="54"/>
        <v>18</v>
      </c>
      <c r="L1306" s="649">
        <f t="shared" si="55"/>
        <v>42</v>
      </c>
      <c r="M1306" s="903"/>
      <c r="N1306" s="622" t="str">
        <f t="shared" si="56"/>
        <v/>
      </c>
    </row>
    <row r="1307" spans="9:14">
      <c r="I1307" s="631" t="s">
        <v>2176</v>
      </c>
      <c r="J1307" s="629"/>
      <c r="K1307" s="648">
        <f t="shared" si="54"/>
        <v>17</v>
      </c>
      <c r="L1307" s="649">
        <f t="shared" si="55"/>
        <v>42</v>
      </c>
      <c r="M1307" s="903"/>
      <c r="N1307" s="622" t="str">
        <f t="shared" si="56"/>
        <v/>
      </c>
    </row>
    <row r="1308" spans="9:14">
      <c r="I1308" s="631" t="s">
        <v>2177</v>
      </c>
      <c r="J1308" s="629"/>
      <c r="K1308" s="648">
        <f t="shared" si="54"/>
        <v>16</v>
      </c>
      <c r="L1308" s="649">
        <f t="shared" si="55"/>
        <v>42</v>
      </c>
      <c r="M1308" s="903"/>
      <c r="N1308" s="622" t="str">
        <f t="shared" si="56"/>
        <v/>
      </c>
    </row>
    <row r="1309" spans="9:14">
      <c r="I1309" s="631" t="s">
        <v>2178</v>
      </c>
      <c r="J1309" s="629"/>
      <c r="K1309" s="648">
        <f t="shared" si="54"/>
        <v>15</v>
      </c>
      <c r="L1309" s="649">
        <f t="shared" si="55"/>
        <v>42</v>
      </c>
      <c r="M1309" s="903"/>
      <c r="N1309" s="622" t="str">
        <f t="shared" si="56"/>
        <v/>
      </c>
    </row>
    <row r="1310" spans="9:14">
      <c r="I1310" s="631" t="s">
        <v>2179</v>
      </c>
      <c r="J1310" s="629"/>
      <c r="K1310" s="648">
        <f t="shared" si="54"/>
        <v>14</v>
      </c>
      <c r="L1310" s="649">
        <f t="shared" si="55"/>
        <v>42</v>
      </c>
      <c r="M1310" s="903"/>
      <c r="N1310" s="622" t="str">
        <f t="shared" si="56"/>
        <v/>
      </c>
    </row>
    <row r="1311" spans="9:14">
      <c r="I1311" s="631" t="s">
        <v>2180</v>
      </c>
      <c r="J1311" s="629"/>
      <c r="K1311" s="648">
        <f t="shared" si="54"/>
        <v>13</v>
      </c>
      <c r="L1311" s="649">
        <f t="shared" si="55"/>
        <v>42</v>
      </c>
      <c r="M1311" s="903"/>
      <c r="N1311" s="622" t="str">
        <f t="shared" si="56"/>
        <v/>
      </c>
    </row>
    <row r="1312" spans="9:14">
      <c r="I1312" s="631" t="s">
        <v>2181</v>
      </c>
      <c r="J1312" s="629"/>
      <c r="K1312" s="648">
        <f t="shared" si="54"/>
        <v>12</v>
      </c>
      <c r="L1312" s="649">
        <f t="shared" si="55"/>
        <v>42</v>
      </c>
      <c r="M1312" s="903"/>
      <c r="N1312" s="622" t="str">
        <f t="shared" si="56"/>
        <v/>
      </c>
    </row>
    <row r="1313" spans="9:14">
      <c r="I1313" s="631" t="s">
        <v>2182</v>
      </c>
      <c r="J1313" s="629"/>
      <c r="K1313" s="648">
        <f t="shared" si="54"/>
        <v>11</v>
      </c>
      <c r="L1313" s="649">
        <f t="shared" si="55"/>
        <v>42</v>
      </c>
      <c r="M1313" s="903"/>
      <c r="N1313" s="622" t="str">
        <f t="shared" si="56"/>
        <v/>
      </c>
    </row>
    <row r="1314" spans="9:14">
      <c r="I1314" s="631" t="s">
        <v>2183</v>
      </c>
      <c r="J1314" s="629"/>
      <c r="K1314" s="648">
        <f t="shared" si="54"/>
        <v>10</v>
      </c>
      <c r="L1314" s="649">
        <f t="shared" si="55"/>
        <v>42</v>
      </c>
      <c r="M1314" s="903"/>
      <c r="N1314" s="622" t="str">
        <f t="shared" si="56"/>
        <v/>
      </c>
    </row>
    <row r="1315" spans="9:14">
      <c r="I1315" s="631" t="s">
        <v>2184</v>
      </c>
      <c r="J1315" s="629"/>
      <c r="K1315" s="648">
        <f t="shared" si="54"/>
        <v>9</v>
      </c>
      <c r="L1315" s="649">
        <f t="shared" si="55"/>
        <v>42</v>
      </c>
      <c r="M1315" s="903"/>
      <c r="N1315" s="622" t="str">
        <f t="shared" si="56"/>
        <v/>
      </c>
    </row>
    <row r="1316" spans="9:14">
      <c r="I1316" s="631" t="s">
        <v>2185</v>
      </c>
      <c r="J1316" s="629"/>
      <c r="K1316" s="648">
        <f t="shared" si="54"/>
        <v>8</v>
      </c>
      <c r="L1316" s="649">
        <f t="shared" si="55"/>
        <v>42</v>
      </c>
      <c r="M1316" s="903"/>
      <c r="N1316" s="622" t="str">
        <f t="shared" si="56"/>
        <v/>
      </c>
    </row>
    <row r="1317" spans="9:14">
      <c r="I1317" s="631" t="s">
        <v>2186</v>
      </c>
      <c r="J1317" s="629"/>
      <c r="K1317" s="648">
        <f t="shared" si="54"/>
        <v>7</v>
      </c>
      <c r="L1317" s="649">
        <f t="shared" si="55"/>
        <v>42</v>
      </c>
      <c r="M1317" s="903"/>
      <c r="N1317" s="622" t="str">
        <f t="shared" si="56"/>
        <v/>
      </c>
    </row>
    <row r="1318" spans="9:14">
      <c r="I1318" s="631" t="s">
        <v>2187</v>
      </c>
      <c r="J1318" s="629"/>
      <c r="K1318" s="648">
        <f t="shared" si="54"/>
        <v>6</v>
      </c>
      <c r="L1318" s="649">
        <f t="shared" si="55"/>
        <v>42</v>
      </c>
      <c r="M1318" s="903"/>
      <c r="N1318" s="622" t="str">
        <f t="shared" si="56"/>
        <v/>
      </c>
    </row>
    <row r="1319" spans="9:14">
      <c r="I1319" s="631" t="s">
        <v>2188</v>
      </c>
      <c r="J1319" s="629"/>
      <c r="K1319" s="648">
        <f t="shared" si="54"/>
        <v>5</v>
      </c>
      <c r="L1319" s="649">
        <f t="shared" si="55"/>
        <v>42</v>
      </c>
      <c r="M1319" s="903"/>
      <c r="N1319" s="622" t="str">
        <f t="shared" si="56"/>
        <v/>
      </c>
    </row>
    <row r="1320" spans="9:14">
      <c r="I1320" s="631" t="s">
        <v>2189</v>
      </c>
      <c r="J1320" s="629"/>
      <c r="K1320" s="648">
        <f t="shared" si="54"/>
        <v>4</v>
      </c>
      <c r="L1320" s="649">
        <f t="shared" si="55"/>
        <v>42</v>
      </c>
      <c r="M1320" s="903"/>
      <c r="N1320" s="622" t="str">
        <f t="shared" si="56"/>
        <v/>
      </c>
    </row>
    <row r="1321" spans="9:14">
      <c r="I1321" s="631" t="s">
        <v>2190</v>
      </c>
      <c r="J1321" s="629"/>
      <c r="K1321" s="648">
        <f t="shared" si="54"/>
        <v>3</v>
      </c>
      <c r="L1321" s="649">
        <f t="shared" si="55"/>
        <v>42</v>
      </c>
      <c r="M1321" s="903"/>
      <c r="N1321" s="622" t="str">
        <f t="shared" si="56"/>
        <v/>
      </c>
    </row>
    <row r="1322" spans="9:14">
      <c r="I1322" s="631" t="s">
        <v>2191</v>
      </c>
      <c r="J1322" s="629"/>
      <c r="K1322" s="648">
        <f t="shared" si="54"/>
        <v>2</v>
      </c>
      <c r="L1322" s="649">
        <f t="shared" si="55"/>
        <v>42</v>
      </c>
      <c r="M1322" s="903"/>
      <c r="N1322" s="622" t="str">
        <f t="shared" si="56"/>
        <v/>
      </c>
    </row>
    <row r="1323" spans="9:14">
      <c r="I1323" s="631" t="s">
        <v>2192</v>
      </c>
      <c r="J1323" s="629"/>
      <c r="K1323" s="648">
        <f t="shared" si="54"/>
        <v>1</v>
      </c>
      <c r="L1323" s="649">
        <f t="shared" si="55"/>
        <v>42</v>
      </c>
      <c r="M1323" s="903"/>
      <c r="N1323" s="622" t="str">
        <f t="shared" si="56"/>
        <v/>
      </c>
    </row>
    <row r="1324" spans="9:14">
      <c r="I1324" s="631" t="s">
        <v>2193</v>
      </c>
      <c r="J1324" s="629"/>
      <c r="K1324" s="648">
        <f t="shared" si="54"/>
        <v>28</v>
      </c>
      <c r="L1324" s="649">
        <f t="shared" si="55"/>
        <v>43</v>
      </c>
      <c r="M1324" s="903"/>
      <c r="N1324" s="622" t="str">
        <f t="shared" si="56"/>
        <v/>
      </c>
    </row>
    <row r="1325" spans="9:14">
      <c r="I1325" s="631" t="s">
        <v>2194</v>
      </c>
      <c r="J1325" s="629"/>
      <c r="K1325" s="648">
        <f t="shared" si="54"/>
        <v>27</v>
      </c>
      <c r="L1325" s="649">
        <f t="shared" si="55"/>
        <v>43</v>
      </c>
      <c r="M1325" s="903"/>
      <c r="N1325" s="622" t="str">
        <f t="shared" si="56"/>
        <v/>
      </c>
    </row>
    <row r="1326" spans="9:14">
      <c r="I1326" s="631" t="s">
        <v>2195</v>
      </c>
      <c r="J1326" s="629"/>
      <c r="K1326" s="648">
        <f t="shared" si="54"/>
        <v>26</v>
      </c>
      <c r="L1326" s="649">
        <f t="shared" si="55"/>
        <v>43</v>
      </c>
      <c r="M1326" s="903"/>
      <c r="N1326" s="622" t="str">
        <f t="shared" si="56"/>
        <v/>
      </c>
    </row>
    <row r="1327" spans="9:14">
      <c r="I1327" s="631" t="s">
        <v>2196</v>
      </c>
      <c r="J1327" s="629"/>
      <c r="K1327" s="648">
        <f t="shared" si="54"/>
        <v>25</v>
      </c>
      <c r="L1327" s="649">
        <f t="shared" si="55"/>
        <v>43</v>
      </c>
      <c r="M1327" s="903"/>
      <c r="N1327" s="622" t="str">
        <f t="shared" si="56"/>
        <v/>
      </c>
    </row>
    <row r="1328" spans="9:14">
      <c r="I1328" s="631" t="s">
        <v>2197</v>
      </c>
      <c r="J1328" s="629"/>
      <c r="K1328" s="648">
        <f t="shared" si="54"/>
        <v>24</v>
      </c>
      <c r="L1328" s="649">
        <f t="shared" si="55"/>
        <v>43</v>
      </c>
      <c r="M1328" s="903"/>
      <c r="N1328" s="622" t="str">
        <f t="shared" si="56"/>
        <v/>
      </c>
    </row>
    <row r="1329" spans="9:14">
      <c r="I1329" s="631" t="s">
        <v>2198</v>
      </c>
      <c r="J1329" s="629"/>
      <c r="K1329" s="648">
        <f t="shared" si="54"/>
        <v>23</v>
      </c>
      <c r="L1329" s="649">
        <f t="shared" si="55"/>
        <v>43</v>
      </c>
      <c r="M1329" s="903"/>
      <c r="N1329" s="622" t="str">
        <f t="shared" si="56"/>
        <v/>
      </c>
    </row>
    <row r="1330" spans="9:14">
      <c r="I1330" s="631" t="s">
        <v>2199</v>
      </c>
      <c r="J1330" s="629"/>
      <c r="K1330" s="648">
        <f t="shared" si="54"/>
        <v>22</v>
      </c>
      <c r="L1330" s="649">
        <f t="shared" si="55"/>
        <v>43</v>
      </c>
      <c r="M1330" s="903"/>
      <c r="N1330" s="622" t="str">
        <f t="shared" si="56"/>
        <v/>
      </c>
    </row>
    <row r="1331" spans="9:14">
      <c r="I1331" s="631" t="s">
        <v>2200</v>
      </c>
      <c r="J1331" s="629"/>
      <c r="K1331" s="648">
        <f t="shared" si="54"/>
        <v>21</v>
      </c>
      <c r="L1331" s="649">
        <f t="shared" si="55"/>
        <v>43</v>
      </c>
      <c r="M1331" s="903"/>
      <c r="N1331" s="622" t="str">
        <f t="shared" si="56"/>
        <v/>
      </c>
    </row>
    <row r="1332" spans="9:14">
      <c r="I1332" s="631" t="s">
        <v>2201</v>
      </c>
      <c r="J1332" s="629"/>
      <c r="K1332" s="648">
        <f t="shared" si="54"/>
        <v>20</v>
      </c>
      <c r="L1332" s="649">
        <f t="shared" si="55"/>
        <v>43</v>
      </c>
      <c r="M1332" s="903"/>
      <c r="N1332" s="622" t="str">
        <f t="shared" si="56"/>
        <v/>
      </c>
    </row>
    <row r="1333" spans="9:14">
      <c r="I1333" s="631" t="s">
        <v>2202</v>
      </c>
      <c r="J1333" s="629"/>
      <c r="K1333" s="648">
        <f t="shared" si="54"/>
        <v>19</v>
      </c>
      <c r="L1333" s="649">
        <f t="shared" si="55"/>
        <v>43</v>
      </c>
      <c r="M1333" s="903"/>
      <c r="N1333" s="622" t="str">
        <f t="shared" si="56"/>
        <v/>
      </c>
    </row>
    <row r="1334" spans="9:14">
      <c r="I1334" s="631" t="s">
        <v>2203</v>
      </c>
      <c r="J1334" s="629"/>
      <c r="K1334" s="648">
        <f t="shared" si="54"/>
        <v>18</v>
      </c>
      <c r="L1334" s="649">
        <f t="shared" si="55"/>
        <v>43</v>
      </c>
      <c r="M1334" s="903"/>
      <c r="N1334" s="622" t="str">
        <f t="shared" si="56"/>
        <v/>
      </c>
    </row>
    <row r="1335" spans="9:14">
      <c r="I1335" s="631" t="s">
        <v>2204</v>
      </c>
      <c r="J1335" s="629"/>
      <c r="K1335" s="648">
        <f t="shared" si="54"/>
        <v>17</v>
      </c>
      <c r="L1335" s="649">
        <f t="shared" si="55"/>
        <v>43</v>
      </c>
      <c r="M1335" s="903"/>
      <c r="N1335" s="622" t="str">
        <f t="shared" si="56"/>
        <v/>
      </c>
    </row>
    <row r="1336" spans="9:14">
      <c r="I1336" s="631" t="s">
        <v>2205</v>
      </c>
      <c r="J1336" s="629"/>
      <c r="K1336" s="648">
        <f t="shared" si="54"/>
        <v>16</v>
      </c>
      <c r="L1336" s="649">
        <f t="shared" si="55"/>
        <v>43</v>
      </c>
      <c r="M1336" s="903"/>
      <c r="N1336" s="622" t="str">
        <f t="shared" si="56"/>
        <v/>
      </c>
    </row>
    <row r="1337" spans="9:14">
      <c r="I1337" s="631" t="s">
        <v>2206</v>
      </c>
      <c r="J1337" s="629"/>
      <c r="K1337" s="648">
        <f t="shared" si="54"/>
        <v>15</v>
      </c>
      <c r="L1337" s="649">
        <f t="shared" si="55"/>
        <v>43</v>
      </c>
      <c r="M1337" s="903"/>
      <c r="N1337" s="622" t="str">
        <f t="shared" si="56"/>
        <v/>
      </c>
    </row>
    <row r="1338" spans="9:14">
      <c r="I1338" s="631" t="s">
        <v>2207</v>
      </c>
      <c r="J1338" s="629"/>
      <c r="K1338" s="648">
        <f t="shared" si="54"/>
        <v>14</v>
      </c>
      <c r="L1338" s="649">
        <f t="shared" si="55"/>
        <v>43</v>
      </c>
      <c r="M1338" s="903"/>
      <c r="N1338" s="622" t="str">
        <f t="shared" si="56"/>
        <v/>
      </c>
    </row>
    <row r="1339" spans="9:14">
      <c r="I1339" s="631" t="s">
        <v>2208</v>
      </c>
      <c r="J1339" s="629"/>
      <c r="K1339" s="648">
        <f t="shared" si="54"/>
        <v>13</v>
      </c>
      <c r="L1339" s="649">
        <f t="shared" si="55"/>
        <v>43</v>
      </c>
      <c r="M1339" s="903"/>
      <c r="N1339" s="622" t="str">
        <f t="shared" si="56"/>
        <v/>
      </c>
    </row>
    <row r="1340" spans="9:14">
      <c r="I1340" s="631" t="s">
        <v>2209</v>
      </c>
      <c r="J1340" s="629"/>
      <c r="K1340" s="648">
        <f t="shared" si="54"/>
        <v>12</v>
      </c>
      <c r="L1340" s="649">
        <f t="shared" si="55"/>
        <v>43</v>
      </c>
      <c r="M1340" s="903"/>
      <c r="N1340" s="622" t="str">
        <f t="shared" si="56"/>
        <v/>
      </c>
    </row>
    <row r="1341" spans="9:14">
      <c r="I1341" s="631" t="s">
        <v>2210</v>
      </c>
      <c r="J1341" s="629"/>
      <c r="K1341" s="648">
        <f t="shared" si="54"/>
        <v>11</v>
      </c>
      <c r="L1341" s="649">
        <f t="shared" si="55"/>
        <v>43</v>
      </c>
      <c r="M1341" s="903"/>
      <c r="N1341" s="622" t="str">
        <f t="shared" si="56"/>
        <v/>
      </c>
    </row>
    <row r="1342" spans="9:14">
      <c r="I1342" s="631" t="s">
        <v>2211</v>
      </c>
      <c r="J1342" s="629"/>
      <c r="K1342" s="648">
        <f t="shared" si="54"/>
        <v>10</v>
      </c>
      <c r="L1342" s="649">
        <f t="shared" si="55"/>
        <v>43</v>
      </c>
      <c r="M1342" s="903"/>
      <c r="N1342" s="622" t="str">
        <f t="shared" si="56"/>
        <v/>
      </c>
    </row>
    <row r="1343" spans="9:14">
      <c r="I1343" s="631" t="s">
        <v>2212</v>
      </c>
      <c r="J1343" s="629"/>
      <c r="K1343" s="648">
        <f t="shared" si="54"/>
        <v>9</v>
      </c>
      <c r="L1343" s="649">
        <f t="shared" si="55"/>
        <v>43</v>
      </c>
      <c r="M1343" s="903"/>
      <c r="N1343" s="622" t="str">
        <f t="shared" si="56"/>
        <v/>
      </c>
    </row>
    <row r="1344" spans="9:14">
      <c r="I1344" s="631" t="s">
        <v>2213</v>
      </c>
      <c r="J1344" s="629"/>
      <c r="K1344" s="648">
        <f t="shared" si="54"/>
        <v>8</v>
      </c>
      <c r="L1344" s="649">
        <f t="shared" si="55"/>
        <v>43</v>
      </c>
      <c r="M1344" s="903"/>
      <c r="N1344" s="622" t="str">
        <f t="shared" si="56"/>
        <v/>
      </c>
    </row>
    <row r="1345" spans="9:14">
      <c r="I1345" s="631" t="s">
        <v>2214</v>
      </c>
      <c r="J1345" s="629"/>
      <c r="K1345" s="648">
        <f t="shared" si="54"/>
        <v>7</v>
      </c>
      <c r="L1345" s="649">
        <f t="shared" si="55"/>
        <v>43</v>
      </c>
      <c r="M1345" s="903"/>
      <c r="N1345" s="622" t="str">
        <f t="shared" si="56"/>
        <v/>
      </c>
    </row>
    <row r="1346" spans="9:14">
      <c r="I1346" s="631" t="s">
        <v>2215</v>
      </c>
      <c r="J1346" s="629"/>
      <c r="K1346" s="648">
        <f t="shared" si="54"/>
        <v>6</v>
      </c>
      <c r="L1346" s="649">
        <f t="shared" si="55"/>
        <v>43</v>
      </c>
      <c r="M1346" s="903"/>
      <c r="N1346" s="622" t="str">
        <f t="shared" si="56"/>
        <v/>
      </c>
    </row>
    <row r="1347" spans="9:14">
      <c r="I1347" s="631" t="s">
        <v>2216</v>
      </c>
      <c r="J1347" s="629"/>
      <c r="K1347" s="648">
        <f t="shared" si="54"/>
        <v>5</v>
      </c>
      <c r="L1347" s="649">
        <f t="shared" si="55"/>
        <v>43</v>
      </c>
      <c r="M1347" s="903"/>
      <c r="N1347" s="622" t="str">
        <f t="shared" si="56"/>
        <v/>
      </c>
    </row>
    <row r="1348" spans="9:14">
      <c r="I1348" s="631" t="s">
        <v>2217</v>
      </c>
      <c r="J1348" s="629"/>
      <c r="K1348" s="648">
        <f t="shared" si="54"/>
        <v>4</v>
      </c>
      <c r="L1348" s="649">
        <f t="shared" si="55"/>
        <v>43</v>
      </c>
      <c r="M1348" s="903"/>
      <c r="N1348" s="622" t="str">
        <f t="shared" si="56"/>
        <v/>
      </c>
    </row>
    <row r="1349" spans="9:14">
      <c r="I1349" s="631" t="s">
        <v>2218</v>
      </c>
      <c r="J1349" s="629"/>
      <c r="K1349" s="648">
        <f t="shared" si="54"/>
        <v>3</v>
      </c>
      <c r="L1349" s="649">
        <f t="shared" si="55"/>
        <v>43</v>
      </c>
      <c r="M1349" s="903"/>
      <c r="N1349" s="622" t="str">
        <f t="shared" si="56"/>
        <v/>
      </c>
    </row>
    <row r="1350" spans="9:14">
      <c r="I1350" s="631" t="s">
        <v>2219</v>
      </c>
      <c r="J1350" s="629"/>
      <c r="K1350" s="648">
        <f t="shared" si="54"/>
        <v>2</v>
      </c>
      <c r="L1350" s="649">
        <f t="shared" si="55"/>
        <v>43</v>
      </c>
      <c r="M1350" s="903"/>
      <c r="N1350" s="622" t="str">
        <f t="shared" si="56"/>
        <v/>
      </c>
    </row>
    <row r="1351" spans="9:14">
      <c r="I1351" s="631" t="s">
        <v>2220</v>
      </c>
      <c r="J1351" s="629"/>
      <c r="K1351" s="648">
        <f t="shared" si="54"/>
        <v>1</v>
      </c>
      <c r="L1351" s="649">
        <f t="shared" si="55"/>
        <v>43</v>
      </c>
      <c r="M1351" s="903"/>
      <c r="N1351" s="622" t="str">
        <f t="shared" si="56"/>
        <v/>
      </c>
    </row>
    <row r="1352" spans="9:14">
      <c r="I1352" s="631" t="s">
        <v>2221</v>
      </c>
      <c r="J1352" s="629"/>
      <c r="K1352" s="648">
        <f t="shared" si="54"/>
        <v>28</v>
      </c>
      <c r="L1352" s="649">
        <f t="shared" si="55"/>
        <v>44</v>
      </c>
      <c r="M1352" s="903"/>
      <c r="N1352" s="622" t="str">
        <f t="shared" si="56"/>
        <v/>
      </c>
    </row>
    <row r="1353" spans="9:14">
      <c r="I1353" s="631" t="s">
        <v>2222</v>
      </c>
      <c r="J1353" s="629"/>
      <c r="K1353" s="648">
        <f t="shared" si="54"/>
        <v>27</v>
      </c>
      <c r="L1353" s="649">
        <f t="shared" si="55"/>
        <v>44</v>
      </c>
      <c r="M1353" s="903"/>
      <c r="N1353" s="622" t="str">
        <f t="shared" si="56"/>
        <v/>
      </c>
    </row>
    <row r="1354" spans="9:14">
      <c r="I1354" s="631" t="s">
        <v>2223</v>
      </c>
      <c r="J1354" s="629"/>
      <c r="K1354" s="648">
        <f t="shared" si="54"/>
        <v>26</v>
      </c>
      <c r="L1354" s="649">
        <f t="shared" si="55"/>
        <v>44</v>
      </c>
      <c r="M1354" s="903"/>
      <c r="N1354" s="622" t="str">
        <f t="shared" si="56"/>
        <v/>
      </c>
    </row>
    <row r="1355" spans="9:14">
      <c r="I1355" s="631" t="s">
        <v>2224</v>
      </c>
      <c r="J1355" s="629"/>
      <c r="K1355" s="648">
        <f t="shared" si="54"/>
        <v>25</v>
      </c>
      <c r="L1355" s="649">
        <f t="shared" si="55"/>
        <v>44</v>
      </c>
      <c r="M1355" s="903"/>
      <c r="N1355" s="622" t="str">
        <f t="shared" si="56"/>
        <v/>
      </c>
    </row>
    <row r="1356" spans="9:14">
      <c r="I1356" s="631" t="s">
        <v>2225</v>
      </c>
      <c r="J1356" s="629"/>
      <c r="K1356" s="648">
        <f t="shared" si="54"/>
        <v>24</v>
      </c>
      <c r="L1356" s="649">
        <f t="shared" si="55"/>
        <v>44</v>
      </c>
      <c r="M1356" s="903"/>
      <c r="N1356" s="622" t="str">
        <f t="shared" si="56"/>
        <v/>
      </c>
    </row>
    <row r="1357" spans="9:14">
      <c r="I1357" s="631" t="s">
        <v>2226</v>
      </c>
      <c r="J1357" s="629"/>
      <c r="K1357" s="648">
        <f t="shared" si="54"/>
        <v>23</v>
      </c>
      <c r="L1357" s="649">
        <f t="shared" si="55"/>
        <v>44</v>
      </c>
      <c r="M1357" s="903"/>
      <c r="N1357" s="622" t="str">
        <f t="shared" si="56"/>
        <v/>
      </c>
    </row>
    <row r="1358" spans="9:14">
      <c r="I1358" s="631" t="s">
        <v>2227</v>
      </c>
      <c r="J1358" s="629"/>
      <c r="K1358" s="648">
        <f t="shared" si="54"/>
        <v>22</v>
      </c>
      <c r="L1358" s="649">
        <f t="shared" si="55"/>
        <v>44</v>
      </c>
      <c r="M1358" s="903"/>
      <c r="N1358" s="622" t="str">
        <f t="shared" si="56"/>
        <v/>
      </c>
    </row>
    <row r="1359" spans="9:14">
      <c r="I1359" s="631" t="s">
        <v>2228</v>
      </c>
      <c r="J1359" s="629"/>
      <c r="K1359" s="648">
        <f t="shared" si="54"/>
        <v>21</v>
      </c>
      <c r="L1359" s="649">
        <f t="shared" si="55"/>
        <v>44</v>
      </c>
      <c r="M1359" s="903"/>
      <c r="N1359" s="622" t="str">
        <f t="shared" si="56"/>
        <v/>
      </c>
    </row>
    <row r="1360" spans="9:14">
      <c r="I1360" s="631" t="s">
        <v>2229</v>
      </c>
      <c r="J1360" s="629"/>
      <c r="K1360" s="648">
        <f t="shared" si="54"/>
        <v>20</v>
      </c>
      <c r="L1360" s="649">
        <f t="shared" si="55"/>
        <v>44</v>
      </c>
      <c r="M1360" s="903"/>
      <c r="N1360" s="622" t="str">
        <f t="shared" si="56"/>
        <v/>
      </c>
    </row>
    <row r="1361" spans="9:14">
      <c r="I1361" s="631" t="s">
        <v>2230</v>
      </c>
      <c r="J1361" s="629"/>
      <c r="K1361" s="648">
        <f t="shared" si="54"/>
        <v>19</v>
      </c>
      <c r="L1361" s="649">
        <f t="shared" si="55"/>
        <v>44</v>
      </c>
      <c r="M1361" s="903"/>
      <c r="N1361" s="622" t="str">
        <f t="shared" si="56"/>
        <v/>
      </c>
    </row>
    <row r="1362" spans="9:14">
      <c r="I1362" s="631" t="s">
        <v>2231</v>
      </c>
      <c r="J1362" s="629"/>
      <c r="K1362" s="648">
        <f t="shared" si="54"/>
        <v>18</v>
      </c>
      <c r="L1362" s="649">
        <f t="shared" si="55"/>
        <v>44</v>
      </c>
      <c r="M1362" s="903"/>
      <c r="N1362" s="622" t="str">
        <f t="shared" si="56"/>
        <v/>
      </c>
    </row>
    <row r="1363" spans="9:14">
      <c r="I1363" s="631" t="s">
        <v>2232</v>
      </c>
      <c r="J1363" s="629"/>
      <c r="K1363" s="648">
        <f t="shared" si="54"/>
        <v>17</v>
      </c>
      <c r="L1363" s="649">
        <f t="shared" si="55"/>
        <v>44</v>
      </c>
      <c r="M1363" s="903"/>
      <c r="N1363" s="622" t="str">
        <f t="shared" si="56"/>
        <v/>
      </c>
    </row>
    <row r="1364" spans="9:14">
      <c r="I1364" s="631" t="s">
        <v>2233</v>
      </c>
      <c r="J1364" s="629"/>
      <c r="K1364" s="648">
        <f t="shared" si="54"/>
        <v>16</v>
      </c>
      <c r="L1364" s="649">
        <f t="shared" si="55"/>
        <v>44</v>
      </c>
      <c r="M1364" s="903"/>
      <c r="N1364" s="622" t="str">
        <f t="shared" si="56"/>
        <v/>
      </c>
    </row>
    <row r="1365" spans="9:14">
      <c r="I1365" s="631" t="s">
        <v>2234</v>
      </c>
      <c r="J1365" s="629"/>
      <c r="K1365" s="648">
        <f t="shared" ref="K1365:K1428" si="57">1+(RIGHT(I1365,LEN(I1365)-FIND(",",I1365))-10)/20</f>
        <v>15</v>
      </c>
      <c r="L1365" s="649">
        <f t="shared" ref="L1365:L1428" si="58">1+((LEFT(I1365,FIND(",",I1365)-1)*-1)-10)/20</f>
        <v>44</v>
      </c>
      <c r="M1365" s="903"/>
      <c r="N1365" s="622" t="str">
        <f t="shared" ref="N1365:N1428" si="59">IF(AND(K1365&lt;=$I$144,K1365&gt;=$I$145,L1365&gt;=$M$143,L1365&lt;=$N$143),MIN(ROUND(M1365,2),633),"")</f>
        <v/>
      </c>
    </row>
    <row r="1366" spans="9:14">
      <c r="I1366" s="631" t="s">
        <v>2235</v>
      </c>
      <c r="J1366" s="629"/>
      <c r="K1366" s="648">
        <f t="shared" si="57"/>
        <v>14</v>
      </c>
      <c r="L1366" s="649">
        <f t="shared" si="58"/>
        <v>44</v>
      </c>
      <c r="M1366" s="903"/>
      <c r="N1366" s="622" t="str">
        <f t="shared" si="59"/>
        <v/>
      </c>
    </row>
    <row r="1367" spans="9:14">
      <c r="I1367" s="631" t="s">
        <v>2236</v>
      </c>
      <c r="J1367" s="629"/>
      <c r="K1367" s="648">
        <f t="shared" si="57"/>
        <v>13</v>
      </c>
      <c r="L1367" s="649">
        <f t="shared" si="58"/>
        <v>44</v>
      </c>
      <c r="M1367" s="903"/>
      <c r="N1367" s="622" t="str">
        <f t="shared" si="59"/>
        <v/>
      </c>
    </row>
    <row r="1368" spans="9:14">
      <c r="I1368" s="631" t="s">
        <v>2237</v>
      </c>
      <c r="J1368" s="629"/>
      <c r="K1368" s="648">
        <f t="shared" si="57"/>
        <v>12</v>
      </c>
      <c r="L1368" s="649">
        <f t="shared" si="58"/>
        <v>44</v>
      </c>
      <c r="M1368" s="903"/>
      <c r="N1368" s="622" t="str">
        <f t="shared" si="59"/>
        <v/>
      </c>
    </row>
    <row r="1369" spans="9:14">
      <c r="I1369" s="631" t="s">
        <v>2238</v>
      </c>
      <c r="J1369" s="629"/>
      <c r="K1369" s="648">
        <f t="shared" si="57"/>
        <v>11</v>
      </c>
      <c r="L1369" s="649">
        <f t="shared" si="58"/>
        <v>44</v>
      </c>
      <c r="M1369" s="903"/>
      <c r="N1369" s="622" t="str">
        <f t="shared" si="59"/>
        <v/>
      </c>
    </row>
    <row r="1370" spans="9:14">
      <c r="I1370" s="631" t="s">
        <v>2239</v>
      </c>
      <c r="J1370" s="629"/>
      <c r="K1370" s="648">
        <f t="shared" si="57"/>
        <v>10</v>
      </c>
      <c r="L1370" s="649">
        <f t="shared" si="58"/>
        <v>44</v>
      </c>
      <c r="M1370" s="903"/>
      <c r="N1370" s="622" t="str">
        <f t="shared" si="59"/>
        <v/>
      </c>
    </row>
    <row r="1371" spans="9:14">
      <c r="I1371" s="631" t="s">
        <v>2240</v>
      </c>
      <c r="J1371" s="629"/>
      <c r="K1371" s="648">
        <f t="shared" si="57"/>
        <v>9</v>
      </c>
      <c r="L1371" s="649">
        <f t="shared" si="58"/>
        <v>44</v>
      </c>
      <c r="M1371" s="903"/>
      <c r="N1371" s="622" t="str">
        <f t="shared" si="59"/>
        <v/>
      </c>
    </row>
    <row r="1372" spans="9:14">
      <c r="I1372" s="631" t="s">
        <v>2241</v>
      </c>
      <c r="J1372" s="629"/>
      <c r="K1372" s="648">
        <f t="shared" si="57"/>
        <v>8</v>
      </c>
      <c r="L1372" s="649">
        <f t="shared" si="58"/>
        <v>44</v>
      </c>
      <c r="M1372" s="903"/>
      <c r="N1372" s="622" t="str">
        <f t="shared" si="59"/>
        <v/>
      </c>
    </row>
    <row r="1373" spans="9:14">
      <c r="I1373" s="631" t="s">
        <v>2242</v>
      </c>
      <c r="J1373" s="629"/>
      <c r="K1373" s="648">
        <f t="shared" si="57"/>
        <v>7</v>
      </c>
      <c r="L1373" s="649">
        <f t="shared" si="58"/>
        <v>44</v>
      </c>
      <c r="M1373" s="903"/>
      <c r="N1373" s="622" t="str">
        <f t="shared" si="59"/>
        <v/>
      </c>
    </row>
    <row r="1374" spans="9:14">
      <c r="I1374" s="631" t="s">
        <v>2243</v>
      </c>
      <c r="J1374" s="629"/>
      <c r="K1374" s="648">
        <f t="shared" si="57"/>
        <v>6</v>
      </c>
      <c r="L1374" s="649">
        <f t="shared" si="58"/>
        <v>44</v>
      </c>
      <c r="M1374" s="903"/>
      <c r="N1374" s="622" t="str">
        <f t="shared" si="59"/>
        <v/>
      </c>
    </row>
    <row r="1375" spans="9:14">
      <c r="I1375" s="631" t="s">
        <v>2244</v>
      </c>
      <c r="J1375" s="629"/>
      <c r="K1375" s="648">
        <f t="shared" si="57"/>
        <v>5</v>
      </c>
      <c r="L1375" s="649">
        <f t="shared" si="58"/>
        <v>44</v>
      </c>
      <c r="M1375" s="903"/>
      <c r="N1375" s="622" t="str">
        <f t="shared" si="59"/>
        <v/>
      </c>
    </row>
    <row r="1376" spans="9:14">
      <c r="I1376" s="631" t="s">
        <v>2245</v>
      </c>
      <c r="J1376" s="629"/>
      <c r="K1376" s="648">
        <f t="shared" si="57"/>
        <v>4</v>
      </c>
      <c r="L1376" s="649">
        <f t="shared" si="58"/>
        <v>44</v>
      </c>
      <c r="M1376" s="903"/>
      <c r="N1376" s="622" t="str">
        <f t="shared" si="59"/>
        <v/>
      </c>
    </row>
    <row r="1377" spans="9:14">
      <c r="I1377" s="631" t="s">
        <v>2246</v>
      </c>
      <c r="J1377" s="629"/>
      <c r="K1377" s="648">
        <f t="shared" si="57"/>
        <v>3</v>
      </c>
      <c r="L1377" s="649">
        <f t="shared" si="58"/>
        <v>44</v>
      </c>
      <c r="M1377" s="903"/>
      <c r="N1377" s="622" t="str">
        <f t="shared" si="59"/>
        <v/>
      </c>
    </row>
    <row r="1378" spans="9:14">
      <c r="I1378" s="631" t="s">
        <v>2247</v>
      </c>
      <c r="J1378" s="629"/>
      <c r="K1378" s="648">
        <f t="shared" si="57"/>
        <v>2</v>
      </c>
      <c r="L1378" s="649">
        <f t="shared" si="58"/>
        <v>44</v>
      </c>
      <c r="M1378" s="903"/>
      <c r="N1378" s="622" t="str">
        <f t="shared" si="59"/>
        <v/>
      </c>
    </row>
    <row r="1379" spans="9:14">
      <c r="I1379" s="631" t="s">
        <v>2248</v>
      </c>
      <c r="J1379" s="629"/>
      <c r="K1379" s="648">
        <f t="shared" si="57"/>
        <v>1</v>
      </c>
      <c r="L1379" s="649">
        <f t="shared" si="58"/>
        <v>44</v>
      </c>
      <c r="M1379" s="903"/>
      <c r="N1379" s="622" t="str">
        <f t="shared" si="59"/>
        <v/>
      </c>
    </row>
    <row r="1380" spans="9:14">
      <c r="I1380" s="631" t="s">
        <v>2249</v>
      </c>
      <c r="J1380" s="629"/>
      <c r="K1380" s="648">
        <f t="shared" si="57"/>
        <v>28</v>
      </c>
      <c r="L1380" s="649">
        <f t="shared" si="58"/>
        <v>45</v>
      </c>
      <c r="M1380" s="903"/>
      <c r="N1380" s="622" t="str">
        <f t="shared" si="59"/>
        <v/>
      </c>
    </row>
    <row r="1381" spans="9:14">
      <c r="I1381" s="631" t="s">
        <v>2250</v>
      </c>
      <c r="J1381" s="629"/>
      <c r="K1381" s="648">
        <f t="shared" si="57"/>
        <v>27</v>
      </c>
      <c r="L1381" s="649">
        <f t="shared" si="58"/>
        <v>45</v>
      </c>
      <c r="M1381" s="903"/>
      <c r="N1381" s="622" t="str">
        <f t="shared" si="59"/>
        <v/>
      </c>
    </row>
    <row r="1382" spans="9:14">
      <c r="I1382" s="631" t="s">
        <v>2251</v>
      </c>
      <c r="J1382" s="629"/>
      <c r="K1382" s="648">
        <f t="shared" si="57"/>
        <v>26</v>
      </c>
      <c r="L1382" s="649">
        <f t="shared" si="58"/>
        <v>45</v>
      </c>
      <c r="M1382" s="903"/>
      <c r="N1382" s="622" t="str">
        <f t="shared" si="59"/>
        <v/>
      </c>
    </row>
    <row r="1383" spans="9:14">
      <c r="I1383" s="631" t="s">
        <v>2252</v>
      </c>
      <c r="J1383" s="629"/>
      <c r="K1383" s="648">
        <f t="shared" si="57"/>
        <v>25</v>
      </c>
      <c r="L1383" s="649">
        <f t="shared" si="58"/>
        <v>45</v>
      </c>
      <c r="M1383" s="903"/>
      <c r="N1383" s="622" t="str">
        <f t="shared" si="59"/>
        <v/>
      </c>
    </row>
    <row r="1384" spans="9:14">
      <c r="I1384" s="631" t="s">
        <v>2253</v>
      </c>
      <c r="J1384" s="629"/>
      <c r="K1384" s="648">
        <f t="shared" si="57"/>
        <v>24</v>
      </c>
      <c r="L1384" s="649">
        <f t="shared" si="58"/>
        <v>45</v>
      </c>
      <c r="M1384" s="903"/>
      <c r="N1384" s="622" t="str">
        <f t="shared" si="59"/>
        <v/>
      </c>
    </row>
    <row r="1385" spans="9:14">
      <c r="I1385" s="631" t="s">
        <v>2254</v>
      </c>
      <c r="J1385" s="629"/>
      <c r="K1385" s="648">
        <f t="shared" si="57"/>
        <v>23</v>
      </c>
      <c r="L1385" s="649">
        <f t="shared" si="58"/>
        <v>45</v>
      </c>
      <c r="M1385" s="903"/>
      <c r="N1385" s="622" t="str">
        <f t="shared" si="59"/>
        <v/>
      </c>
    </row>
    <row r="1386" spans="9:14">
      <c r="I1386" s="631" t="s">
        <v>2255</v>
      </c>
      <c r="J1386" s="629"/>
      <c r="K1386" s="648">
        <f t="shared" si="57"/>
        <v>22</v>
      </c>
      <c r="L1386" s="649">
        <f t="shared" si="58"/>
        <v>45</v>
      </c>
      <c r="M1386" s="903"/>
      <c r="N1386" s="622" t="str">
        <f t="shared" si="59"/>
        <v/>
      </c>
    </row>
    <row r="1387" spans="9:14">
      <c r="I1387" s="631" t="s">
        <v>2256</v>
      </c>
      <c r="J1387" s="629"/>
      <c r="K1387" s="648">
        <f t="shared" si="57"/>
        <v>21</v>
      </c>
      <c r="L1387" s="649">
        <f t="shared" si="58"/>
        <v>45</v>
      </c>
      <c r="M1387" s="903"/>
      <c r="N1387" s="622" t="str">
        <f t="shared" si="59"/>
        <v/>
      </c>
    </row>
    <row r="1388" spans="9:14">
      <c r="I1388" s="631" t="s">
        <v>2257</v>
      </c>
      <c r="J1388" s="629"/>
      <c r="K1388" s="648">
        <f t="shared" si="57"/>
        <v>20</v>
      </c>
      <c r="L1388" s="649">
        <f t="shared" si="58"/>
        <v>45</v>
      </c>
      <c r="M1388" s="903"/>
      <c r="N1388" s="622" t="str">
        <f t="shared" si="59"/>
        <v/>
      </c>
    </row>
    <row r="1389" spans="9:14">
      <c r="I1389" s="631" t="s">
        <v>2258</v>
      </c>
      <c r="J1389" s="629"/>
      <c r="K1389" s="648">
        <f t="shared" si="57"/>
        <v>19</v>
      </c>
      <c r="L1389" s="649">
        <f t="shared" si="58"/>
        <v>45</v>
      </c>
      <c r="M1389" s="903"/>
      <c r="N1389" s="622" t="str">
        <f t="shared" si="59"/>
        <v/>
      </c>
    </row>
    <row r="1390" spans="9:14">
      <c r="I1390" s="631" t="s">
        <v>2259</v>
      </c>
      <c r="J1390" s="629"/>
      <c r="K1390" s="648">
        <f t="shared" si="57"/>
        <v>18</v>
      </c>
      <c r="L1390" s="649">
        <f t="shared" si="58"/>
        <v>45</v>
      </c>
      <c r="M1390" s="903"/>
      <c r="N1390" s="622" t="str">
        <f t="shared" si="59"/>
        <v/>
      </c>
    </row>
    <row r="1391" spans="9:14">
      <c r="I1391" s="631" t="s">
        <v>2260</v>
      </c>
      <c r="J1391" s="629"/>
      <c r="K1391" s="648">
        <f t="shared" si="57"/>
        <v>17</v>
      </c>
      <c r="L1391" s="649">
        <f t="shared" si="58"/>
        <v>45</v>
      </c>
      <c r="M1391" s="903"/>
      <c r="N1391" s="622" t="str">
        <f t="shared" si="59"/>
        <v/>
      </c>
    </row>
    <row r="1392" spans="9:14">
      <c r="I1392" s="631" t="s">
        <v>2261</v>
      </c>
      <c r="J1392" s="629"/>
      <c r="K1392" s="648">
        <f t="shared" si="57"/>
        <v>16</v>
      </c>
      <c r="L1392" s="649">
        <f t="shared" si="58"/>
        <v>45</v>
      </c>
      <c r="M1392" s="903"/>
      <c r="N1392" s="622" t="str">
        <f t="shared" si="59"/>
        <v/>
      </c>
    </row>
    <row r="1393" spans="9:14">
      <c r="I1393" s="631" t="s">
        <v>2262</v>
      </c>
      <c r="J1393" s="629"/>
      <c r="K1393" s="648">
        <f t="shared" si="57"/>
        <v>15</v>
      </c>
      <c r="L1393" s="649">
        <f t="shared" si="58"/>
        <v>45</v>
      </c>
      <c r="M1393" s="903"/>
      <c r="N1393" s="622" t="str">
        <f t="shared" si="59"/>
        <v/>
      </c>
    </row>
    <row r="1394" spans="9:14">
      <c r="I1394" s="631" t="s">
        <v>2263</v>
      </c>
      <c r="J1394" s="629"/>
      <c r="K1394" s="648">
        <f t="shared" si="57"/>
        <v>14</v>
      </c>
      <c r="L1394" s="649">
        <f t="shared" si="58"/>
        <v>45</v>
      </c>
      <c r="M1394" s="903"/>
      <c r="N1394" s="622" t="str">
        <f t="shared" si="59"/>
        <v/>
      </c>
    </row>
    <row r="1395" spans="9:14">
      <c r="I1395" s="631" t="s">
        <v>2264</v>
      </c>
      <c r="J1395" s="629"/>
      <c r="K1395" s="648">
        <f t="shared" si="57"/>
        <v>13</v>
      </c>
      <c r="L1395" s="649">
        <f t="shared" si="58"/>
        <v>45</v>
      </c>
      <c r="M1395" s="903"/>
      <c r="N1395" s="622" t="str">
        <f t="shared" si="59"/>
        <v/>
      </c>
    </row>
    <row r="1396" spans="9:14">
      <c r="I1396" s="631" t="s">
        <v>2265</v>
      </c>
      <c r="J1396" s="629"/>
      <c r="K1396" s="648">
        <f t="shared" si="57"/>
        <v>12</v>
      </c>
      <c r="L1396" s="649">
        <f t="shared" si="58"/>
        <v>45</v>
      </c>
      <c r="M1396" s="903"/>
      <c r="N1396" s="622" t="str">
        <f t="shared" si="59"/>
        <v/>
      </c>
    </row>
    <row r="1397" spans="9:14">
      <c r="I1397" s="631" t="s">
        <v>2266</v>
      </c>
      <c r="J1397" s="629"/>
      <c r="K1397" s="648">
        <f t="shared" si="57"/>
        <v>11</v>
      </c>
      <c r="L1397" s="649">
        <f t="shared" si="58"/>
        <v>45</v>
      </c>
      <c r="M1397" s="903"/>
      <c r="N1397" s="622" t="str">
        <f t="shared" si="59"/>
        <v/>
      </c>
    </row>
    <row r="1398" spans="9:14">
      <c r="I1398" s="631" t="s">
        <v>2267</v>
      </c>
      <c r="J1398" s="629"/>
      <c r="K1398" s="648">
        <f t="shared" si="57"/>
        <v>10</v>
      </c>
      <c r="L1398" s="649">
        <f t="shared" si="58"/>
        <v>45</v>
      </c>
      <c r="M1398" s="903"/>
      <c r="N1398" s="622" t="str">
        <f t="shared" si="59"/>
        <v/>
      </c>
    </row>
    <row r="1399" spans="9:14">
      <c r="I1399" s="631" t="s">
        <v>2268</v>
      </c>
      <c r="J1399" s="629"/>
      <c r="K1399" s="648">
        <f t="shared" si="57"/>
        <v>9</v>
      </c>
      <c r="L1399" s="649">
        <f t="shared" si="58"/>
        <v>45</v>
      </c>
      <c r="M1399" s="903"/>
      <c r="N1399" s="622" t="str">
        <f t="shared" si="59"/>
        <v/>
      </c>
    </row>
    <row r="1400" spans="9:14">
      <c r="I1400" s="631" t="s">
        <v>2269</v>
      </c>
      <c r="J1400" s="629"/>
      <c r="K1400" s="648">
        <f t="shared" si="57"/>
        <v>8</v>
      </c>
      <c r="L1400" s="649">
        <f t="shared" si="58"/>
        <v>45</v>
      </c>
      <c r="M1400" s="903"/>
      <c r="N1400" s="622" t="str">
        <f t="shared" si="59"/>
        <v/>
      </c>
    </row>
    <row r="1401" spans="9:14">
      <c r="I1401" s="631" t="s">
        <v>2270</v>
      </c>
      <c r="J1401" s="629"/>
      <c r="K1401" s="648">
        <f t="shared" si="57"/>
        <v>7</v>
      </c>
      <c r="L1401" s="649">
        <f t="shared" si="58"/>
        <v>45</v>
      </c>
      <c r="M1401" s="903"/>
      <c r="N1401" s="622" t="str">
        <f t="shared" si="59"/>
        <v/>
      </c>
    </row>
    <row r="1402" spans="9:14">
      <c r="I1402" s="631" t="s">
        <v>2271</v>
      </c>
      <c r="J1402" s="629"/>
      <c r="K1402" s="648">
        <f t="shared" si="57"/>
        <v>6</v>
      </c>
      <c r="L1402" s="649">
        <f t="shared" si="58"/>
        <v>45</v>
      </c>
      <c r="M1402" s="903"/>
      <c r="N1402" s="622" t="str">
        <f t="shared" si="59"/>
        <v/>
      </c>
    </row>
    <row r="1403" spans="9:14">
      <c r="I1403" s="631" t="s">
        <v>2272</v>
      </c>
      <c r="J1403" s="629"/>
      <c r="K1403" s="648">
        <f t="shared" si="57"/>
        <v>5</v>
      </c>
      <c r="L1403" s="649">
        <f t="shared" si="58"/>
        <v>45</v>
      </c>
      <c r="M1403" s="903"/>
      <c r="N1403" s="622" t="str">
        <f t="shared" si="59"/>
        <v/>
      </c>
    </row>
    <row r="1404" spans="9:14">
      <c r="I1404" s="631" t="s">
        <v>2273</v>
      </c>
      <c r="J1404" s="629"/>
      <c r="K1404" s="648">
        <f t="shared" si="57"/>
        <v>4</v>
      </c>
      <c r="L1404" s="649">
        <f t="shared" si="58"/>
        <v>45</v>
      </c>
      <c r="M1404" s="903"/>
      <c r="N1404" s="622" t="str">
        <f t="shared" si="59"/>
        <v/>
      </c>
    </row>
    <row r="1405" spans="9:14">
      <c r="I1405" s="631" t="s">
        <v>2274</v>
      </c>
      <c r="J1405" s="629"/>
      <c r="K1405" s="648">
        <f t="shared" si="57"/>
        <v>3</v>
      </c>
      <c r="L1405" s="649">
        <f t="shared" si="58"/>
        <v>45</v>
      </c>
      <c r="M1405" s="903"/>
      <c r="N1405" s="622" t="str">
        <f t="shared" si="59"/>
        <v/>
      </c>
    </row>
    <row r="1406" spans="9:14">
      <c r="I1406" s="631" t="s">
        <v>2275</v>
      </c>
      <c r="J1406" s="629"/>
      <c r="K1406" s="648">
        <f t="shared" si="57"/>
        <v>2</v>
      </c>
      <c r="L1406" s="649">
        <f t="shared" si="58"/>
        <v>45</v>
      </c>
      <c r="M1406" s="903"/>
      <c r="N1406" s="622" t="str">
        <f t="shared" si="59"/>
        <v/>
      </c>
    </row>
    <row r="1407" spans="9:14">
      <c r="I1407" s="631" t="s">
        <v>2276</v>
      </c>
      <c r="J1407" s="629"/>
      <c r="K1407" s="648">
        <f t="shared" si="57"/>
        <v>1</v>
      </c>
      <c r="L1407" s="649">
        <f t="shared" si="58"/>
        <v>45</v>
      </c>
      <c r="M1407" s="903"/>
      <c r="N1407" s="622" t="str">
        <f t="shared" si="59"/>
        <v/>
      </c>
    </row>
    <row r="1408" spans="9:14">
      <c r="I1408" s="631" t="s">
        <v>2277</v>
      </c>
      <c r="J1408" s="629"/>
      <c r="K1408" s="648">
        <f t="shared" si="57"/>
        <v>28</v>
      </c>
      <c r="L1408" s="649">
        <f t="shared" si="58"/>
        <v>46</v>
      </c>
      <c r="M1408" s="903"/>
      <c r="N1408" s="622" t="str">
        <f t="shared" si="59"/>
        <v/>
      </c>
    </row>
    <row r="1409" spans="9:14">
      <c r="I1409" s="631" t="s">
        <v>2278</v>
      </c>
      <c r="J1409" s="629"/>
      <c r="K1409" s="648">
        <f t="shared" si="57"/>
        <v>27</v>
      </c>
      <c r="L1409" s="649">
        <f t="shared" si="58"/>
        <v>46</v>
      </c>
      <c r="M1409" s="903"/>
      <c r="N1409" s="622" t="str">
        <f t="shared" si="59"/>
        <v/>
      </c>
    </row>
    <row r="1410" spans="9:14">
      <c r="I1410" s="631" t="s">
        <v>2279</v>
      </c>
      <c r="J1410" s="629"/>
      <c r="K1410" s="648">
        <f t="shared" si="57"/>
        <v>26</v>
      </c>
      <c r="L1410" s="649">
        <f t="shared" si="58"/>
        <v>46</v>
      </c>
      <c r="M1410" s="903"/>
      <c r="N1410" s="622" t="str">
        <f t="shared" si="59"/>
        <v/>
      </c>
    </row>
    <row r="1411" spans="9:14">
      <c r="I1411" s="631" t="s">
        <v>2280</v>
      </c>
      <c r="J1411" s="629"/>
      <c r="K1411" s="648">
        <f t="shared" si="57"/>
        <v>25</v>
      </c>
      <c r="L1411" s="649">
        <f t="shared" si="58"/>
        <v>46</v>
      </c>
      <c r="M1411" s="903"/>
      <c r="N1411" s="622" t="str">
        <f t="shared" si="59"/>
        <v/>
      </c>
    </row>
    <row r="1412" spans="9:14">
      <c r="I1412" s="631" t="s">
        <v>2281</v>
      </c>
      <c r="J1412" s="629"/>
      <c r="K1412" s="648">
        <f t="shared" si="57"/>
        <v>24</v>
      </c>
      <c r="L1412" s="649">
        <f t="shared" si="58"/>
        <v>46</v>
      </c>
      <c r="M1412" s="903"/>
      <c r="N1412" s="622" t="str">
        <f t="shared" si="59"/>
        <v/>
      </c>
    </row>
    <row r="1413" spans="9:14">
      <c r="I1413" s="631" t="s">
        <v>2282</v>
      </c>
      <c r="J1413" s="629"/>
      <c r="K1413" s="648">
        <f t="shared" si="57"/>
        <v>23</v>
      </c>
      <c r="L1413" s="649">
        <f t="shared" si="58"/>
        <v>46</v>
      </c>
      <c r="M1413" s="903"/>
      <c r="N1413" s="622" t="str">
        <f t="shared" si="59"/>
        <v/>
      </c>
    </row>
    <row r="1414" spans="9:14">
      <c r="I1414" s="631" t="s">
        <v>2283</v>
      </c>
      <c r="J1414" s="629"/>
      <c r="K1414" s="648">
        <f t="shared" si="57"/>
        <v>22</v>
      </c>
      <c r="L1414" s="649">
        <f t="shared" si="58"/>
        <v>46</v>
      </c>
      <c r="M1414" s="903"/>
      <c r="N1414" s="622" t="str">
        <f t="shared" si="59"/>
        <v/>
      </c>
    </row>
    <row r="1415" spans="9:14">
      <c r="I1415" s="631" t="s">
        <v>2284</v>
      </c>
      <c r="J1415" s="629"/>
      <c r="K1415" s="648">
        <f t="shared" si="57"/>
        <v>21</v>
      </c>
      <c r="L1415" s="649">
        <f t="shared" si="58"/>
        <v>46</v>
      </c>
      <c r="M1415" s="903"/>
      <c r="N1415" s="622" t="str">
        <f t="shared" si="59"/>
        <v/>
      </c>
    </row>
    <row r="1416" spans="9:14">
      <c r="I1416" s="631" t="s">
        <v>2285</v>
      </c>
      <c r="J1416" s="629"/>
      <c r="K1416" s="648">
        <f t="shared" si="57"/>
        <v>20</v>
      </c>
      <c r="L1416" s="649">
        <f t="shared" si="58"/>
        <v>46</v>
      </c>
      <c r="M1416" s="903"/>
      <c r="N1416" s="622" t="str">
        <f t="shared" si="59"/>
        <v/>
      </c>
    </row>
    <row r="1417" spans="9:14">
      <c r="I1417" s="631" t="s">
        <v>2286</v>
      </c>
      <c r="J1417" s="629"/>
      <c r="K1417" s="648">
        <f t="shared" si="57"/>
        <v>19</v>
      </c>
      <c r="L1417" s="649">
        <f t="shared" si="58"/>
        <v>46</v>
      </c>
      <c r="M1417" s="903"/>
      <c r="N1417" s="622" t="str">
        <f t="shared" si="59"/>
        <v/>
      </c>
    </row>
    <row r="1418" spans="9:14">
      <c r="I1418" s="631" t="s">
        <v>2287</v>
      </c>
      <c r="J1418" s="629"/>
      <c r="K1418" s="648">
        <f t="shared" si="57"/>
        <v>18</v>
      </c>
      <c r="L1418" s="649">
        <f t="shared" si="58"/>
        <v>46</v>
      </c>
      <c r="M1418" s="903"/>
      <c r="N1418" s="622" t="str">
        <f t="shared" si="59"/>
        <v/>
      </c>
    </row>
    <row r="1419" spans="9:14">
      <c r="I1419" s="631" t="s">
        <v>2288</v>
      </c>
      <c r="J1419" s="629"/>
      <c r="K1419" s="648">
        <f t="shared" si="57"/>
        <v>17</v>
      </c>
      <c r="L1419" s="649">
        <f t="shared" si="58"/>
        <v>46</v>
      </c>
      <c r="M1419" s="903"/>
      <c r="N1419" s="622" t="str">
        <f t="shared" si="59"/>
        <v/>
      </c>
    </row>
    <row r="1420" spans="9:14">
      <c r="I1420" s="631" t="s">
        <v>2289</v>
      </c>
      <c r="J1420" s="629"/>
      <c r="K1420" s="648">
        <f t="shared" si="57"/>
        <v>16</v>
      </c>
      <c r="L1420" s="649">
        <f t="shared" si="58"/>
        <v>46</v>
      </c>
      <c r="M1420" s="903"/>
      <c r="N1420" s="622" t="str">
        <f t="shared" si="59"/>
        <v/>
      </c>
    </row>
    <row r="1421" spans="9:14">
      <c r="I1421" s="631" t="s">
        <v>2290</v>
      </c>
      <c r="J1421" s="629"/>
      <c r="K1421" s="648">
        <f t="shared" si="57"/>
        <v>15</v>
      </c>
      <c r="L1421" s="649">
        <f t="shared" si="58"/>
        <v>46</v>
      </c>
      <c r="M1421" s="903"/>
      <c r="N1421" s="622" t="str">
        <f t="shared" si="59"/>
        <v/>
      </c>
    </row>
    <row r="1422" spans="9:14">
      <c r="I1422" s="631" t="s">
        <v>2291</v>
      </c>
      <c r="J1422" s="629"/>
      <c r="K1422" s="648">
        <f t="shared" si="57"/>
        <v>14</v>
      </c>
      <c r="L1422" s="649">
        <f t="shared" si="58"/>
        <v>46</v>
      </c>
      <c r="M1422" s="903"/>
      <c r="N1422" s="622" t="str">
        <f t="shared" si="59"/>
        <v/>
      </c>
    </row>
    <row r="1423" spans="9:14">
      <c r="I1423" s="631" t="s">
        <v>2292</v>
      </c>
      <c r="J1423" s="629"/>
      <c r="K1423" s="648">
        <f t="shared" si="57"/>
        <v>13</v>
      </c>
      <c r="L1423" s="649">
        <f t="shared" si="58"/>
        <v>46</v>
      </c>
      <c r="M1423" s="903"/>
      <c r="N1423" s="622" t="str">
        <f t="shared" si="59"/>
        <v/>
      </c>
    </row>
    <row r="1424" spans="9:14">
      <c r="I1424" s="631" t="s">
        <v>2293</v>
      </c>
      <c r="J1424" s="629"/>
      <c r="K1424" s="648">
        <f t="shared" si="57"/>
        <v>12</v>
      </c>
      <c r="L1424" s="649">
        <f t="shared" si="58"/>
        <v>46</v>
      </c>
      <c r="M1424" s="903"/>
      <c r="N1424" s="622" t="str">
        <f t="shared" si="59"/>
        <v/>
      </c>
    </row>
    <row r="1425" spans="9:14">
      <c r="I1425" s="631" t="s">
        <v>2294</v>
      </c>
      <c r="J1425" s="629"/>
      <c r="K1425" s="648">
        <f t="shared" si="57"/>
        <v>11</v>
      </c>
      <c r="L1425" s="649">
        <f t="shared" si="58"/>
        <v>46</v>
      </c>
      <c r="M1425" s="903"/>
      <c r="N1425" s="622" t="str">
        <f t="shared" si="59"/>
        <v/>
      </c>
    </row>
    <row r="1426" spans="9:14">
      <c r="I1426" s="631" t="s">
        <v>2295</v>
      </c>
      <c r="J1426" s="629"/>
      <c r="K1426" s="648">
        <f t="shared" si="57"/>
        <v>10</v>
      </c>
      <c r="L1426" s="649">
        <f t="shared" si="58"/>
        <v>46</v>
      </c>
      <c r="M1426" s="903"/>
      <c r="N1426" s="622" t="str">
        <f t="shared" si="59"/>
        <v/>
      </c>
    </row>
    <row r="1427" spans="9:14">
      <c r="I1427" s="631" t="s">
        <v>2296</v>
      </c>
      <c r="J1427" s="629"/>
      <c r="K1427" s="648">
        <f t="shared" si="57"/>
        <v>9</v>
      </c>
      <c r="L1427" s="649">
        <f t="shared" si="58"/>
        <v>46</v>
      </c>
      <c r="M1427" s="903"/>
      <c r="N1427" s="622" t="str">
        <f t="shared" si="59"/>
        <v/>
      </c>
    </row>
    <row r="1428" spans="9:14">
      <c r="I1428" s="631" t="s">
        <v>2297</v>
      </c>
      <c r="J1428" s="629"/>
      <c r="K1428" s="648">
        <f t="shared" si="57"/>
        <v>8</v>
      </c>
      <c r="L1428" s="649">
        <f t="shared" si="58"/>
        <v>46</v>
      </c>
      <c r="M1428" s="903"/>
      <c r="N1428" s="622" t="str">
        <f t="shared" si="59"/>
        <v/>
      </c>
    </row>
    <row r="1429" spans="9:14">
      <c r="I1429" s="631" t="s">
        <v>2298</v>
      </c>
      <c r="J1429" s="629"/>
      <c r="K1429" s="648">
        <f t="shared" ref="K1429:K1492" si="60">1+(RIGHT(I1429,LEN(I1429)-FIND(",",I1429))-10)/20</f>
        <v>7</v>
      </c>
      <c r="L1429" s="649">
        <f t="shared" ref="L1429:L1492" si="61">1+((LEFT(I1429,FIND(",",I1429)-1)*-1)-10)/20</f>
        <v>46</v>
      </c>
      <c r="M1429" s="903"/>
      <c r="N1429" s="622" t="str">
        <f t="shared" ref="N1429:N1492" si="62">IF(AND(K1429&lt;=$I$144,K1429&gt;=$I$145,L1429&gt;=$M$143,L1429&lt;=$N$143),MIN(ROUND(M1429,2),633),"")</f>
        <v/>
      </c>
    </row>
    <row r="1430" spans="9:14">
      <c r="I1430" s="631" t="s">
        <v>2299</v>
      </c>
      <c r="J1430" s="629"/>
      <c r="K1430" s="648">
        <f t="shared" si="60"/>
        <v>6</v>
      </c>
      <c r="L1430" s="649">
        <f t="shared" si="61"/>
        <v>46</v>
      </c>
      <c r="M1430" s="903"/>
      <c r="N1430" s="622" t="str">
        <f t="shared" si="62"/>
        <v/>
      </c>
    </row>
    <row r="1431" spans="9:14">
      <c r="I1431" s="631" t="s">
        <v>2300</v>
      </c>
      <c r="J1431" s="629"/>
      <c r="K1431" s="648">
        <f t="shared" si="60"/>
        <v>5</v>
      </c>
      <c r="L1431" s="649">
        <f t="shared" si="61"/>
        <v>46</v>
      </c>
      <c r="M1431" s="903"/>
      <c r="N1431" s="622" t="str">
        <f t="shared" si="62"/>
        <v/>
      </c>
    </row>
    <row r="1432" spans="9:14">
      <c r="I1432" s="631" t="s">
        <v>2301</v>
      </c>
      <c r="J1432" s="629"/>
      <c r="K1432" s="648">
        <f t="shared" si="60"/>
        <v>4</v>
      </c>
      <c r="L1432" s="649">
        <f t="shared" si="61"/>
        <v>46</v>
      </c>
      <c r="M1432" s="903"/>
      <c r="N1432" s="622" t="str">
        <f t="shared" si="62"/>
        <v/>
      </c>
    </row>
    <row r="1433" spans="9:14">
      <c r="I1433" s="631" t="s">
        <v>2302</v>
      </c>
      <c r="J1433" s="629"/>
      <c r="K1433" s="648">
        <f t="shared" si="60"/>
        <v>3</v>
      </c>
      <c r="L1433" s="649">
        <f t="shared" si="61"/>
        <v>46</v>
      </c>
      <c r="M1433" s="903"/>
      <c r="N1433" s="622" t="str">
        <f t="shared" si="62"/>
        <v/>
      </c>
    </row>
    <row r="1434" spans="9:14">
      <c r="I1434" s="631" t="s">
        <v>2303</v>
      </c>
      <c r="J1434" s="629"/>
      <c r="K1434" s="648">
        <f t="shared" si="60"/>
        <v>2</v>
      </c>
      <c r="L1434" s="649">
        <f t="shared" si="61"/>
        <v>46</v>
      </c>
      <c r="M1434" s="903"/>
      <c r="N1434" s="622" t="str">
        <f t="shared" si="62"/>
        <v/>
      </c>
    </row>
    <row r="1435" spans="9:14">
      <c r="I1435" s="631" t="s">
        <v>2304</v>
      </c>
      <c r="J1435" s="629"/>
      <c r="K1435" s="648">
        <f t="shared" si="60"/>
        <v>1</v>
      </c>
      <c r="L1435" s="649">
        <f t="shared" si="61"/>
        <v>46</v>
      </c>
      <c r="M1435" s="903"/>
      <c r="N1435" s="622" t="str">
        <f t="shared" si="62"/>
        <v/>
      </c>
    </row>
    <row r="1436" spans="9:14">
      <c r="I1436" s="631" t="s">
        <v>2305</v>
      </c>
      <c r="J1436" s="629"/>
      <c r="K1436" s="648">
        <f t="shared" si="60"/>
        <v>28</v>
      </c>
      <c r="L1436" s="649">
        <f t="shared" si="61"/>
        <v>47</v>
      </c>
      <c r="M1436" s="903"/>
      <c r="N1436" s="622" t="str">
        <f t="shared" si="62"/>
        <v/>
      </c>
    </row>
    <row r="1437" spans="9:14">
      <c r="I1437" s="631" t="s">
        <v>2306</v>
      </c>
      <c r="J1437" s="629"/>
      <c r="K1437" s="648">
        <f t="shared" si="60"/>
        <v>27</v>
      </c>
      <c r="L1437" s="649">
        <f t="shared" si="61"/>
        <v>47</v>
      </c>
      <c r="M1437" s="903"/>
      <c r="N1437" s="622" t="str">
        <f t="shared" si="62"/>
        <v/>
      </c>
    </row>
    <row r="1438" spans="9:14">
      <c r="I1438" s="631" t="s">
        <v>2307</v>
      </c>
      <c r="J1438" s="629"/>
      <c r="K1438" s="648">
        <f t="shared" si="60"/>
        <v>26</v>
      </c>
      <c r="L1438" s="649">
        <f t="shared" si="61"/>
        <v>47</v>
      </c>
      <c r="M1438" s="903"/>
      <c r="N1438" s="622" t="str">
        <f t="shared" si="62"/>
        <v/>
      </c>
    </row>
    <row r="1439" spans="9:14">
      <c r="I1439" s="631" t="s">
        <v>2308</v>
      </c>
      <c r="J1439" s="629"/>
      <c r="K1439" s="648">
        <f t="shared" si="60"/>
        <v>25</v>
      </c>
      <c r="L1439" s="649">
        <f t="shared" si="61"/>
        <v>47</v>
      </c>
      <c r="M1439" s="903"/>
      <c r="N1439" s="622" t="str">
        <f t="shared" si="62"/>
        <v/>
      </c>
    </row>
    <row r="1440" spans="9:14">
      <c r="I1440" s="631" t="s">
        <v>2309</v>
      </c>
      <c r="J1440" s="629"/>
      <c r="K1440" s="648">
        <f t="shared" si="60"/>
        <v>24</v>
      </c>
      <c r="L1440" s="649">
        <f t="shared" si="61"/>
        <v>47</v>
      </c>
      <c r="M1440" s="903"/>
      <c r="N1440" s="622" t="str">
        <f t="shared" si="62"/>
        <v/>
      </c>
    </row>
    <row r="1441" spans="9:14">
      <c r="I1441" s="631" t="s">
        <v>2310</v>
      </c>
      <c r="J1441" s="629"/>
      <c r="K1441" s="648">
        <f t="shared" si="60"/>
        <v>23</v>
      </c>
      <c r="L1441" s="649">
        <f t="shared" si="61"/>
        <v>47</v>
      </c>
      <c r="M1441" s="903"/>
      <c r="N1441" s="622" t="str">
        <f t="shared" si="62"/>
        <v/>
      </c>
    </row>
    <row r="1442" spans="9:14">
      <c r="I1442" s="631" t="s">
        <v>2311</v>
      </c>
      <c r="J1442" s="629"/>
      <c r="K1442" s="648">
        <f t="shared" si="60"/>
        <v>22</v>
      </c>
      <c r="L1442" s="649">
        <f t="shared" si="61"/>
        <v>47</v>
      </c>
      <c r="M1442" s="903"/>
      <c r="N1442" s="622" t="str">
        <f t="shared" si="62"/>
        <v/>
      </c>
    </row>
    <row r="1443" spans="9:14">
      <c r="I1443" s="631" t="s">
        <v>2312</v>
      </c>
      <c r="J1443" s="629"/>
      <c r="K1443" s="648">
        <f t="shared" si="60"/>
        <v>21</v>
      </c>
      <c r="L1443" s="649">
        <f t="shared" si="61"/>
        <v>47</v>
      </c>
      <c r="M1443" s="903"/>
      <c r="N1443" s="622" t="str">
        <f t="shared" si="62"/>
        <v/>
      </c>
    </row>
    <row r="1444" spans="9:14">
      <c r="I1444" s="631" t="s">
        <v>2313</v>
      </c>
      <c r="J1444" s="629"/>
      <c r="K1444" s="648">
        <f t="shared" si="60"/>
        <v>20</v>
      </c>
      <c r="L1444" s="649">
        <f t="shared" si="61"/>
        <v>47</v>
      </c>
      <c r="M1444" s="903"/>
      <c r="N1444" s="622" t="str">
        <f t="shared" si="62"/>
        <v/>
      </c>
    </row>
    <row r="1445" spans="9:14">
      <c r="I1445" s="631" t="s">
        <v>2314</v>
      </c>
      <c r="J1445" s="629"/>
      <c r="K1445" s="648">
        <f t="shared" si="60"/>
        <v>19</v>
      </c>
      <c r="L1445" s="649">
        <f t="shared" si="61"/>
        <v>47</v>
      </c>
      <c r="M1445" s="903"/>
      <c r="N1445" s="622" t="str">
        <f t="shared" si="62"/>
        <v/>
      </c>
    </row>
    <row r="1446" spans="9:14">
      <c r="I1446" s="631" t="s">
        <v>2315</v>
      </c>
      <c r="J1446" s="629"/>
      <c r="K1446" s="648">
        <f t="shared" si="60"/>
        <v>18</v>
      </c>
      <c r="L1446" s="649">
        <f t="shared" si="61"/>
        <v>47</v>
      </c>
      <c r="M1446" s="903"/>
      <c r="N1446" s="622" t="str">
        <f t="shared" si="62"/>
        <v/>
      </c>
    </row>
    <row r="1447" spans="9:14">
      <c r="I1447" s="631" t="s">
        <v>2316</v>
      </c>
      <c r="J1447" s="629"/>
      <c r="K1447" s="648">
        <f t="shared" si="60"/>
        <v>17</v>
      </c>
      <c r="L1447" s="649">
        <f t="shared" si="61"/>
        <v>47</v>
      </c>
      <c r="M1447" s="903"/>
      <c r="N1447" s="622" t="str">
        <f t="shared" si="62"/>
        <v/>
      </c>
    </row>
    <row r="1448" spans="9:14">
      <c r="I1448" s="631" t="s">
        <v>2317</v>
      </c>
      <c r="J1448" s="629"/>
      <c r="K1448" s="648">
        <f t="shared" si="60"/>
        <v>16</v>
      </c>
      <c r="L1448" s="649">
        <f t="shared" si="61"/>
        <v>47</v>
      </c>
      <c r="M1448" s="903"/>
      <c r="N1448" s="622" t="str">
        <f t="shared" si="62"/>
        <v/>
      </c>
    </row>
    <row r="1449" spans="9:14">
      <c r="I1449" s="631" t="s">
        <v>2318</v>
      </c>
      <c r="J1449" s="629"/>
      <c r="K1449" s="648">
        <f t="shared" si="60"/>
        <v>15</v>
      </c>
      <c r="L1449" s="649">
        <f t="shared" si="61"/>
        <v>47</v>
      </c>
      <c r="M1449" s="903"/>
      <c r="N1449" s="622" t="str">
        <f t="shared" si="62"/>
        <v/>
      </c>
    </row>
    <row r="1450" spans="9:14">
      <c r="I1450" s="631" t="s">
        <v>2319</v>
      </c>
      <c r="J1450" s="629"/>
      <c r="K1450" s="648">
        <f t="shared" si="60"/>
        <v>14</v>
      </c>
      <c r="L1450" s="649">
        <f t="shared" si="61"/>
        <v>47</v>
      </c>
      <c r="M1450" s="903"/>
      <c r="N1450" s="622" t="str">
        <f t="shared" si="62"/>
        <v/>
      </c>
    </row>
    <row r="1451" spans="9:14">
      <c r="I1451" s="631" t="s">
        <v>2320</v>
      </c>
      <c r="J1451" s="629"/>
      <c r="K1451" s="648">
        <f t="shared" si="60"/>
        <v>13</v>
      </c>
      <c r="L1451" s="649">
        <f t="shared" si="61"/>
        <v>47</v>
      </c>
      <c r="M1451" s="903"/>
      <c r="N1451" s="622" t="str">
        <f t="shared" si="62"/>
        <v/>
      </c>
    </row>
    <row r="1452" spans="9:14">
      <c r="I1452" s="631" t="s">
        <v>2321</v>
      </c>
      <c r="J1452" s="629"/>
      <c r="K1452" s="648">
        <f t="shared" si="60"/>
        <v>12</v>
      </c>
      <c r="L1452" s="649">
        <f t="shared" si="61"/>
        <v>47</v>
      </c>
      <c r="M1452" s="903"/>
      <c r="N1452" s="622" t="str">
        <f t="shared" si="62"/>
        <v/>
      </c>
    </row>
    <row r="1453" spans="9:14">
      <c r="I1453" s="631" t="s">
        <v>2322</v>
      </c>
      <c r="J1453" s="629"/>
      <c r="K1453" s="648">
        <f t="shared" si="60"/>
        <v>11</v>
      </c>
      <c r="L1453" s="649">
        <f t="shared" si="61"/>
        <v>47</v>
      </c>
      <c r="M1453" s="903"/>
      <c r="N1453" s="622" t="str">
        <f t="shared" si="62"/>
        <v/>
      </c>
    </row>
    <row r="1454" spans="9:14">
      <c r="I1454" s="631" t="s">
        <v>2323</v>
      </c>
      <c r="J1454" s="629"/>
      <c r="K1454" s="648">
        <f t="shared" si="60"/>
        <v>10</v>
      </c>
      <c r="L1454" s="649">
        <f t="shared" si="61"/>
        <v>47</v>
      </c>
      <c r="M1454" s="903"/>
      <c r="N1454" s="622" t="str">
        <f t="shared" si="62"/>
        <v/>
      </c>
    </row>
    <row r="1455" spans="9:14">
      <c r="I1455" s="631" t="s">
        <v>2324</v>
      </c>
      <c r="J1455" s="629"/>
      <c r="K1455" s="648">
        <f t="shared" si="60"/>
        <v>9</v>
      </c>
      <c r="L1455" s="649">
        <f t="shared" si="61"/>
        <v>47</v>
      </c>
      <c r="M1455" s="903"/>
      <c r="N1455" s="622" t="str">
        <f t="shared" si="62"/>
        <v/>
      </c>
    </row>
    <row r="1456" spans="9:14">
      <c r="I1456" s="631" t="s">
        <v>2325</v>
      </c>
      <c r="J1456" s="629"/>
      <c r="K1456" s="648">
        <f t="shared" si="60"/>
        <v>8</v>
      </c>
      <c r="L1456" s="649">
        <f t="shared" si="61"/>
        <v>47</v>
      </c>
      <c r="M1456" s="903"/>
      <c r="N1456" s="622" t="str">
        <f t="shared" si="62"/>
        <v/>
      </c>
    </row>
    <row r="1457" spans="9:14">
      <c r="I1457" s="631" t="s">
        <v>2326</v>
      </c>
      <c r="J1457" s="629"/>
      <c r="K1457" s="648">
        <f t="shared" si="60"/>
        <v>7</v>
      </c>
      <c r="L1457" s="649">
        <f t="shared" si="61"/>
        <v>47</v>
      </c>
      <c r="M1457" s="903"/>
      <c r="N1457" s="622" t="str">
        <f t="shared" si="62"/>
        <v/>
      </c>
    </row>
    <row r="1458" spans="9:14">
      <c r="I1458" s="631" t="s">
        <v>2327</v>
      </c>
      <c r="J1458" s="629"/>
      <c r="K1458" s="648">
        <f t="shared" si="60"/>
        <v>6</v>
      </c>
      <c r="L1458" s="649">
        <f t="shared" si="61"/>
        <v>47</v>
      </c>
      <c r="M1458" s="903"/>
      <c r="N1458" s="622" t="str">
        <f t="shared" si="62"/>
        <v/>
      </c>
    </row>
    <row r="1459" spans="9:14">
      <c r="I1459" s="631" t="s">
        <v>2328</v>
      </c>
      <c r="J1459" s="629"/>
      <c r="K1459" s="648">
        <f t="shared" si="60"/>
        <v>5</v>
      </c>
      <c r="L1459" s="649">
        <f t="shared" si="61"/>
        <v>47</v>
      </c>
      <c r="M1459" s="903"/>
      <c r="N1459" s="622" t="str">
        <f t="shared" si="62"/>
        <v/>
      </c>
    </row>
    <row r="1460" spans="9:14">
      <c r="I1460" s="631" t="s">
        <v>2329</v>
      </c>
      <c r="J1460" s="629"/>
      <c r="K1460" s="648">
        <f t="shared" si="60"/>
        <v>4</v>
      </c>
      <c r="L1460" s="649">
        <f t="shared" si="61"/>
        <v>47</v>
      </c>
      <c r="M1460" s="903"/>
      <c r="N1460" s="622" t="str">
        <f t="shared" si="62"/>
        <v/>
      </c>
    </row>
    <row r="1461" spans="9:14">
      <c r="I1461" s="631" t="s">
        <v>2330</v>
      </c>
      <c r="J1461" s="629"/>
      <c r="K1461" s="648">
        <f t="shared" si="60"/>
        <v>3</v>
      </c>
      <c r="L1461" s="649">
        <f t="shared" si="61"/>
        <v>47</v>
      </c>
      <c r="M1461" s="903"/>
      <c r="N1461" s="622" t="str">
        <f t="shared" si="62"/>
        <v/>
      </c>
    </row>
    <row r="1462" spans="9:14">
      <c r="I1462" s="631" t="s">
        <v>2331</v>
      </c>
      <c r="J1462" s="629"/>
      <c r="K1462" s="648">
        <f t="shared" si="60"/>
        <v>2</v>
      </c>
      <c r="L1462" s="649">
        <f t="shared" si="61"/>
        <v>47</v>
      </c>
      <c r="M1462" s="903"/>
      <c r="N1462" s="622" t="str">
        <f t="shared" si="62"/>
        <v/>
      </c>
    </row>
    <row r="1463" spans="9:14">
      <c r="I1463" s="631" t="s">
        <v>2332</v>
      </c>
      <c r="J1463" s="629"/>
      <c r="K1463" s="648">
        <f t="shared" si="60"/>
        <v>1</v>
      </c>
      <c r="L1463" s="649">
        <f t="shared" si="61"/>
        <v>47</v>
      </c>
      <c r="M1463" s="903"/>
      <c r="N1463" s="622" t="str">
        <f t="shared" si="62"/>
        <v/>
      </c>
    </row>
    <row r="1464" spans="9:14">
      <c r="I1464" s="631" t="s">
        <v>2333</v>
      </c>
      <c r="J1464" s="629"/>
      <c r="K1464" s="648">
        <f t="shared" si="60"/>
        <v>28</v>
      </c>
      <c r="L1464" s="649">
        <f t="shared" si="61"/>
        <v>48</v>
      </c>
      <c r="M1464" s="903"/>
      <c r="N1464" s="622" t="str">
        <f t="shared" si="62"/>
        <v/>
      </c>
    </row>
    <row r="1465" spans="9:14">
      <c r="I1465" s="631" t="s">
        <v>2334</v>
      </c>
      <c r="J1465" s="629"/>
      <c r="K1465" s="648">
        <f t="shared" si="60"/>
        <v>27</v>
      </c>
      <c r="L1465" s="649">
        <f t="shared" si="61"/>
        <v>48</v>
      </c>
      <c r="M1465" s="903"/>
      <c r="N1465" s="622" t="str">
        <f t="shared" si="62"/>
        <v/>
      </c>
    </row>
    <row r="1466" spans="9:14">
      <c r="I1466" s="631" t="s">
        <v>2335</v>
      </c>
      <c r="J1466" s="629"/>
      <c r="K1466" s="648">
        <f t="shared" si="60"/>
        <v>26</v>
      </c>
      <c r="L1466" s="649">
        <f t="shared" si="61"/>
        <v>48</v>
      </c>
      <c r="M1466" s="903"/>
      <c r="N1466" s="622" t="str">
        <f t="shared" si="62"/>
        <v/>
      </c>
    </row>
    <row r="1467" spans="9:14">
      <c r="I1467" s="631" t="s">
        <v>2336</v>
      </c>
      <c r="J1467" s="629"/>
      <c r="K1467" s="648">
        <f t="shared" si="60"/>
        <v>25</v>
      </c>
      <c r="L1467" s="649">
        <f t="shared" si="61"/>
        <v>48</v>
      </c>
      <c r="M1467" s="903"/>
      <c r="N1467" s="622" t="str">
        <f t="shared" si="62"/>
        <v/>
      </c>
    </row>
    <row r="1468" spans="9:14">
      <c r="I1468" s="631" t="s">
        <v>2337</v>
      </c>
      <c r="J1468" s="629"/>
      <c r="K1468" s="648">
        <f t="shared" si="60"/>
        <v>24</v>
      </c>
      <c r="L1468" s="649">
        <f t="shared" si="61"/>
        <v>48</v>
      </c>
      <c r="M1468" s="903"/>
      <c r="N1468" s="622" t="str">
        <f t="shared" si="62"/>
        <v/>
      </c>
    </row>
    <row r="1469" spans="9:14">
      <c r="I1469" s="631" t="s">
        <v>2338</v>
      </c>
      <c r="J1469" s="629"/>
      <c r="K1469" s="648">
        <f t="shared" si="60"/>
        <v>23</v>
      </c>
      <c r="L1469" s="649">
        <f t="shared" si="61"/>
        <v>48</v>
      </c>
      <c r="M1469" s="903"/>
      <c r="N1469" s="622" t="str">
        <f t="shared" si="62"/>
        <v/>
      </c>
    </row>
    <row r="1470" spans="9:14">
      <c r="I1470" s="631" t="s">
        <v>2339</v>
      </c>
      <c r="J1470" s="629"/>
      <c r="K1470" s="648">
        <f t="shared" si="60"/>
        <v>22</v>
      </c>
      <c r="L1470" s="649">
        <f t="shared" si="61"/>
        <v>48</v>
      </c>
      <c r="M1470" s="903"/>
      <c r="N1470" s="622" t="str">
        <f t="shared" si="62"/>
        <v/>
      </c>
    </row>
    <row r="1471" spans="9:14">
      <c r="I1471" s="631" t="s">
        <v>2340</v>
      </c>
      <c r="J1471" s="629"/>
      <c r="K1471" s="648">
        <f t="shared" si="60"/>
        <v>21</v>
      </c>
      <c r="L1471" s="649">
        <f t="shared" si="61"/>
        <v>48</v>
      </c>
      <c r="M1471" s="903"/>
      <c r="N1471" s="622" t="str">
        <f t="shared" si="62"/>
        <v/>
      </c>
    </row>
    <row r="1472" spans="9:14">
      <c r="I1472" s="631" t="s">
        <v>2341</v>
      </c>
      <c r="J1472" s="629"/>
      <c r="K1472" s="648">
        <f t="shared" si="60"/>
        <v>20</v>
      </c>
      <c r="L1472" s="649">
        <f t="shared" si="61"/>
        <v>48</v>
      </c>
      <c r="M1472" s="903"/>
      <c r="N1472" s="622" t="str">
        <f t="shared" si="62"/>
        <v/>
      </c>
    </row>
    <row r="1473" spans="9:14">
      <c r="I1473" s="631" t="s">
        <v>2342</v>
      </c>
      <c r="J1473" s="629"/>
      <c r="K1473" s="648">
        <f t="shared" si="60"/>
        <v>19</v>
      </c>
      <c r="L1473" s="649">
        <f t="shared" si="61"/>
        <v>48</v>
      </c>
      <c r="M1473" s="903"/>
      <c r="N1473" s="622" t="str">
        <f t="shared" si="62"/>
        <v/>
      </c>
    </row>
    <row r="1474" spans="9:14">
      <c r="I1474" s="631" t="s">
        <v>2343</v>
      </c>
      <c r="J1474" s="629"/>
      <c r="K1474" s="648">
        <f t="shared" si="60"/>
        <v>18</v>
      </c>
      <c r="L1474" s="649">
        <f t="shared" si="61"/>
        <v>48</v>
      </c>
      <c r="M1474" s="903"/>
      <c r="N1474" s="622" t="str">
        <f t="shared" si="62"/>
        <v/>
      </c>
    </row>
    <row r="1475" spans="9:14">
      <c r="I1475" s="631" t="s">
        <v>2344</v>
      </c>
      <c r="J1475" s="629"/>
      <c r="K1475" s="648">
        <f t="shared" si="60"/>
        <v>17</v>
      </c>
      <c r="L1475" s="649">
        <f t="shared" si="61"/>
        <v>48</v>
      </c>
      <c r="M1475" s="903"/>
      <c r="N1475" s="622" t="str">
        <f t="shared" si="62"/>
        <v/>
      </c>
    </row>
    <row r="1476" spans="9:14">
      <c r="I1476" s="631" t="s">
        <v>2345</v>
      </c>
      <c r="J1476" s="629"/>
      <c r="K1476" s="648">
        <f t="shared" si="60"/>
        <v>16</v>
      </c>
      <c r="L1476" s="649">
        <f t="shared" si="61"/>
        <v>48</v>
      </c>
      <c r="M1476" s="903"/>
      <c r="N1476" s="622" t="str">
        <f t="shared" si="62"/>
        <v/>
      </c>
    </row>
    <row r="1477" spans="9:14">
      <c r="I1477" s="631" t="s">
        <v>2346</v>
      </c>
      <c r="J1477" s="629"/>
      <c r="K1477" s="648">
        <f t="shared" si="60"/>
        <v>15</v>
      </c>
      <c r="L1477" s="649">
        <f t="shared" si="61"/>
        <v>48</v>
      </c>
      <c r="M1477" s="903"/>
      <c r="N1477" s="622" t="str">
        <f t="shared" si="62"/>
        <v/>
      </c>
    </row>
    <row r="1478" spans="9:14">
      <c r="I1478" s="631" t="s">
        <v>2347</v>
      </c>
      <c r="J1478" s="629"/>
      <c r="K1478" s="648">
        <f t="shared" si="60"/>
        <v>14</v>
      </c>
      <c r="L1478" s="649">
        <f t="shared" si="61"/>
        <v>48</v>
      </c>
      <c r="M1478" s="903"/>
      <c r="N1478" s="622" t="str">
        <f t="shared" si="62"/>
        <v/>
      </c>
    </row>
    <row r="1479" spans="9:14">
      <c r="I1479" s="631" t="s">
        <v>2348</v>
      </c>
      <c r="J1479" s="629"/>
      <c r="K1479" s="648">
        <f t="shared" si="60"/>
        <v>13</v>
      </c>
      <c r="L1479" s="649">
        <f t="shared" si="61"/>
        <v>48</v>
      </c>
      <c r="M1479" s="903"/>
      <c r="N1479" s="622" t="str">
        <f t="shared" si="62"/>
        <v/>
      </c>
    </row>
    <row r="1480" spans="9:14">
      <c r="I1480" s="631" t="s">
        <v>2349</v>
      </c>
      <c r="J1480" s="629"/>
      <c r="K1480" s="648">
        <f t="shared" si="60"/>
        <v>12</v>
      </c>
      <c r="L1480" s="649">
        <f t="shared" si="61"/>
        <v>48</v>
      </c>
      <c r="M1480" s="903"/>
      <c r="N1480" s="622" t="str">
        <f t="shared" si="62"/>
        <v/>
      </c>
    </row>
    <row r="1481" spans="9:14">
      <c r="I1481" s="631" t="s">
        <v>2350</v>
      </c>
      <c r="J1481" s="629"/>
      <c r="K1481" s="648">
        <f t="shared" si="60"/>
        <v>11</v>
      </c>
      <c r="L1481" s="649">
        <f t="shared" si="61"/>
        <v>48</v>
      </c>
      <c r="M1481" s="903"/>
      <c r="N1481" s="622" t="str">
        <f t="shared" si="62"/>
        <v/>
      </c>
    </row>
    <row r="1482" spans="9:14">
      <c r="I1482" s="631" t="s">
        <v>2351</v>
      </c>
      <c r="J1482" s="629"/>
      <c r="K1482" s="648">
        <f t="shared" si="60"/>
        <v>10</v>
      </c>
      <c r="L1482" s="649">
        <f t="shared" si="61"/>
        <v>48</v>
      </c>
      <c r="M1482" s="903"/>
      <c r="N1482" s="622" t="str">
        <f t="shared" si="62"/>
        <v/>
      </c>
    </row>
    <row r="1483" spans="9:14">
      <c r="I1483" s="631" t="s">
        <v>2352</v>
      </c>
      <c r="J1483" s="629"/>
      <c r="K1483" s="648">
        <f t="shared" si="60"/>
        <v>9</v>
      </c>
      <c r="L1483" s="649">
        <f t="shared" si="61"/>
        <v>48</v>
      </c>
      <c r="M1483" s="903"/>
      <c r="N1483" s="622" t="str">
        <f t="shared" si="62"/>
        <v/>
      </c>
    </row>
    <row r="1484" spans="9:14">
      <c r="I1484" s="631" t="s">
        <v>2353</v>
      </c>
      <c r="J1484" s="629"/>
      <c r="K1484" s="648">
        <f t="shared" si="60"/>
        <v>8</v>
      </c>
      <c r="L1484" s="649">
        <f t="shared" si="61"/>
        <v>48</v>
      </c>
      <c r="M1484" s="903"/>
      <c r="N1484" s="622" t="str">
        <f t="shared" si="62"/>
        <v/>
      </c>
    </row>
    <row r="1485" spans="9:14">
      <c r="I1485" s="631" t="s">
        <v>2354</v>
      </c>
      <c r="J1485" s="629"/>
      <c r="K1485" s="648">
        <f t="shared" si="60"/>
        <v>7</v>
      </c>
      <c r="L1485" s="649">
        <f t="shared" si="61"/>
        <v>48</v>
      </c>
      <c r="M1485" s="903"/>
      <c r="N1485" s="622" t="str">
        <f t="shared" si="62"/>
        <v/>
      </c>
    </row>
    <row r="1486" spans="9:14">
      <c r="I1486" s="631" t="s">
        <v>2355</v>
      </c>
      <c r="J1486" s="629"/>
      <c r="K1486" s="648">
        <f t="shared" si="60"/>
        <v>6</v>
      </c>
      <c r="L1486" s="649">
        <f t="shared" si="61"/>
        <v>48</v>
      </c>
      <c r="M1486" s="903"/>
      <c r="N1486" s="622" t="str">
        <f t="shared" si="62"/>
        <v/>
      </c>
    </row>
    <row r="1487" spans="9:14">
      <c r="I1487" s="631" t="s">
        <v>2356</v>
      </c>
      <c r="J1487" s="629"/>
      <c r="K1487" s="648">
        <f t="shared" si="60"/>
        <v>5</v>
      </c>
      <c r="L1487" s="649">
        <f t="shared" si="61"/>
        <v>48</v>
      </c>
      <c r="M1487" s="903"/>
      <c r="N1487" s="622" t="str">
        <f t="shared" si="62"/>
        <v/>
      </c>
    </row>
    <row r="1488" spans="9:14">
      <c r="I1488" s="631" t="s">
        <v>2357</v>
      </c>
      <c r="J1488" s="629"/>
      <c r="K1488" s="648">
        <f t="shared" si="60"/>
        <v>4</v>
      </c>
      <c r="L1488" s="649">
        <f t="shared" si="61"/>
        <v>48</v>
      </c>
      <c r="M1488" s="903"/>
      <c r="N1488" s="622" t="str">
        <f t="shared" si="62"/>
        <v/>
      </c>
    </row>
    <row r="1489" spans="9:14">
      <c r="I1489" s="631" t="s">
        <v>2358</v>
      </c>
      <c r="J1489" s="629"/>
      <c r="K1489" s="648">
        <f t="shared" si="60"/>
        <v>3</v>
      </c>
      <c r="L1489" s="649">
        <f t="shared" si="61"/>
        <v>48</v>
      </c>
      <c r="M1489" s="903"/>
      <c r="N1489" s="622" t="str">
        <f t="shared" si="62"/>
        <v/>
      </c>
    </row>
    <row r="1490" spans="9:14">
      <c r="I1490" s="631" t="s">
        <v>2359</v>
      </c>
      <c r="J1490" s="629"/>
      <c r="K1490" s="648">
        <f t="shared" si="60"/>
        <v>2</v>
      </c>
      <c r="L1490" s="649">
        <f t="shared" si="61"/>
        <v>48</v>
      </c>
      <c r="M1490" s="903"/>
      <c r="N1490" s="622" t="str">
        <f t="shared" si="62"/>
        <v/>
      </c>
    </row>
    <row r="1491" spans="9:14">
      <c r="I1491" s="631" t="s">
        <v>2360</v>
      </c>
      <c r="J1491" s="629"/>
      <c r="K1491" s="648">
        <f t="shared" si="60"/>
        <v>1</v>
      </c>
      <c r="L1491" s="649">
        <f t="shared" si="61"/>
        <v>48</v>
      </c>
      <c r="M1491" s="903"/>
      <c r="N1491" s="622" t="str">
        <f t="shared" si="62"/>
        <v/>
      </c>
    </row>
    <row r="1492" spans="9:14">
      <c r="I1492" s="631" t="s">
        <v>2361</v>
      </c>
      <c r="J1492" s="629"/>
      <c r="K1492" s="648">
        <f t="shared" si="60"/>
        <v>28</v>
      </c>
      <c r="L1492" s="649">
        <f t="shared" si="61"/>
        <v>49</v>
      </c>
      <c r="M1492" s="903"/>
      <c r="N1492" s="622" t="str">
        <f t="shared" si="62"/>
        <v/>
      </c>
    </row>
    <row r="1493" spans="9:14">
      <c r="I1493" s="631" t="s">
        <v>2362</v>
      </c>
      <c r="J1493" s="629"/>
      <c r="K1493" s="648">
        <f t="shared" ref="K1493:K1547" si="63">1+(RIGHT(I1493,LEN(I1493)-FIND(",",I1493))-10)/20</f>
        <v>27</v>
      </c>
      <c r="L1493" s="649">
        <f t="shared" ref="L1493:L1547" si="64">1+((LEFT(I1493,FIND(",",I1493)-1)*-1)-10)/20</f>
        <v>49</v>
      </c>
      <c r="M1493" s="903"/>
      <c r="N1493" s="622" t="str">
        <f t="shared" ref="N1493:N1547" si="65">IF(AND(K1493&lt;=$I$144,K1493&gt;=$I$145,L1493&gt;=$M$143,L1493&lt;=$N$143),MIN(ROUND(M1493,2),633),"")</f>
        <v/>
      </c>
    </row>
    <row r="1494" spans="9:14">
      <c r="I1494" s="631" t="s">
        <v>2363</v>
      </c>
      <c r="J1494" s="629"/>
      <c r="K1494" s="648">
        <f t="shared" si="63"/>
        <v>26</v>
      </c>
      <c r="L1494" s="649">
        <f t="shared" si="64"/>
        <v>49</v>
      </c>
      <c r="M1494" s="903"/>
      <c r="N1494" s="622" t="str">
        <f t="shared" si="65"/>
        <v/>
      </c>
    </row>
    <row r="1495" spans="9:14">
      <c r="I1495" s="631" t="s">
        <v>2364</v>
      </c>
      <c r="J1495" s="629"/>
      <c r="K1495" s="648">
        <f t="shared" si="63"/>
        <v>25</v>
      </c>
      <c r="L1495" s="649">
        <f t="shared" si="64"/>
        <v>49</v>
      </c>
      <c r="M1495" s="903"/>
      <c r="N1495" s="622" t="str">
        <f t="shared" si="65"/>
        <v/>
      </c>
    </row>
    <row r="1496" spans="9:14">
      <c r="I1496" s="631" t="s">
        <v>2365</v>
      </c>
      <c r="J1496" s="629"/>
      <c r="K1496" s="648">
        <f t="shared" si="63"/>
        <v>24</v>
      </c>
      <c r="L1496" s="649">
        <f t="shared" si="64"/>
        <v>49</v>
      </c>
      <c r="M1496" s="903"/>
      <c r="N1496" s="622" t="str">
        <f t="shared" si="65"/>
        <v/>
      </c>
    </row>
    <row r="1497" spans="9:14">
      <c r="I1497" s="631" t="s">
        <v>2366</v>
      </c>
      <c r="J1497" s="629"/>
      <c r="K1497" s="648">
        <f t="shared" si="63"/>
        <v>23</v>
      </c>
      <c r="L1497" s="649">
        <f t="shared" si="64"/>
        <v>49</v>
      </c>
      <c r="M1497" s="903"/>
      <c r="N1497" s="622" t="str">
        <f t="shared" si="65"/>
        <v/>
      </c>
    </row>
    <row r="1498" spans="9:14">
      <c r="I1498" s="631" t="s">
        <v>2367</v>
      </c>
      <c r="J1498" s="629"/>
      <c r="K1498" s="648">
        <f t="shared" si="63"/>
        <v>22</v>
      </c>
      <c r="L1498" s="649">
        <f t="shared" si="64"/>
        <v>49</v>
      </c>
      <c r="M1498" s="903"/>
      <c r="N1498" s="622" t="str">
        <f t="shared" si="65"/>
        <v/>
      </c>
    </row>
    <row r="1499" spans="9:14">
      <c r="I1499" s="631" t="s">
        <v>2368</v>
      </c>
      <c r="J1499" s="629"/>
      <c r="K1499" s="648">
        <f t="shared" si="63"/>
        <v>21</v>
      </c>
      <c r="L1499" s="649">
        <f t="shared" si="64"/>
        <v>49</v>
      </c>
      <c r="M1499" s="903"/>
      <c r="N1499" s="622" t="str">
        <f t="shared" si="65"/>
        <v/>
      </c>
    </row>
    <row r="1500" spans="9:14">
      <c r="I1500" s="631" t="s">
        <v>2369</v>
      </c>
      <c r="J1500" s="629"/>
      <c r="K1500" s="648">
        <f t="shared" si="63"/>
        <v>20</v>
      </c>
      <c r="L1500" s="649">
        <f t="shared" si="64"/>
        <v>49</v>
      </c>
      <c r="M1500" s="903"/>
      <c r="N1500" s="622" t="str">
        <f t="shared" si="65"/>
        <v/>
      </c>
    </row>
    <row r="1501" spans="9:14">
      <c r="I1501" s="631" t="s">
        <v>2370</v>
      </c>
      <c r="J1501" s="629"/>
      <c r="K1501" s="648">
        <f t="shared" si="63"/>
        <v>19</v>
      </c>
      <c r="L1501" s="649">
        <f t="shared" si="64"/>
        <v>49</v>
      </c>
      <c r="M1501" s="903"/>
      <c r="N1501" s="622" t="str">
        <f t="shared" si="65"/>
        <v/>
      </c>
    </row>
    <row r="1502" spans="9:14">
      <c r="I1502" s="631" t="s">
        <v>2371</v>
      </c>
      <c r="J1502" s="629"/>
      <c r="K1502" s="648">
        <f t="shared" si="63"/>
        <v>18</v>
      </c>
      <c r="L1502" s="649">
        <f t="shared" si="64"/>
        <v>49</v>
      </c>
      <c r="M1502" s="903"/>
      <c r="N1502" s="622" t="str">
        <f t="shared" si="65"/>
        <v/>
      </c>
    </row>
    <row r="1503" spans="9:14">
      <c r="I1503" s="631" t="s">
        <v>2372</v>
      </c>
      <c r="J1503" s="629"/>
      <c r="K1503" s="648">
        <f t="shared" si="63"/>
        <v>17</v>
      </c>
      <c r="L1503" s="649">
        <f t="shared" si="64"/>
        <v>49</v>
      </c>
      <c r="M1503" s="903"/>
      <c r="N1503" s="622" t="str">
        <f t="shared" si="65"/>
        <v/>
      </c>
    </row>
    <row r="1504" spans="9:14">
      <c r="I1504" s="631" t="s">
        <v>2373</v>
      </c>
      <c r="J1504" s="629"/>
      <c r="K1504" s="648">
        <f t="shared" si="63"/>
        <v>16</v>
      </c>
      <c r="L1504" s="649">
        <f t="shared" si="64"/>
        <v>49</v>
      </c>
      <c r="M1504" s="903"/>
      <c r="N1504" s="622" t="str">
        <f t="shared" si="65"/>
        <v/>
      </c>
    </row>
    <row r="1505" spans="9:14">
      <c r="I1505" s="631" t="s">
        <v>2374</v>
      </c>
      <c r="J1505" s="629"/>
      <c r="K1505" s="648">
        <f t="shared" si="63"/>
        <v>15</v>
      </c>
      <c r="L1505" s="649">
        <f t="shared" si="64"/>
        <v>49</v>
      </c>
      <c r="M1505" s="903"/>
      <c r="N1505" s="622" t="str">
        <f t="shared" si="65"/>
        <v/>
      </c>
    </row>
    <row r="1506" spans="9:14">
      <c r="I1506" s="631" t="s">
        <v>2375</v>
      </c>
      <c r="J1506" s="629"/>
      <c r="K1506" s="648">
        <f t="shared" si="63"/>
        <v>14</v>
      </c>
      <c r="L1506" s="649">
        <f t="shared" si="64"/>
        <v>49</v>
      </c>
      <c r="M1506" s="903"/>
      <c r="N1506" s="622" t="str">
        <f t="shared" si="65"/>
        <v/>
      </c>
    </row>
    <row r="1507" spans="9:14">
      <c r="I1507" s="631" t="s">
        <v>2376</v>
      </c>
      <c r="J1507" s="629"/>
      <c r="K1507" s="648">
        <f t="shared" si="63"/>
        <v>13</v>
      </c>
      <c r="L1507" s="649">
        <f t="shared" si="64"/>
        <v>49</v>
      </c>
      <c r="M1507" s="903"/>
      <c r="N1507" s="622" t="str">
        <f t="shared" si="65"/>
        <v/>
      </c>
    </row>
    <row r="1508" spans="9:14">
      <c r="I1508" s="631" t="s">
        <v>2377</v>
      </c>
      <c r="J1508" s="629"/>
      <c r="K1508" s="648">
        <f t="shared" si="63"/>
        <v>12</v>
      </c>
      <c r="L1508" s="649">
        <f t="shared" si="64"/>
        <v>49</v>
      </c>
      <c r="M1508" s="903"/>
      <c r="N1508" s="622" t="str">
        <f t="shared" si="65"/>
        <v/>
      </c>
    </row>
    <row r="1509" spans="9:14">
      <c r="I1509" s="631" t="s">
        <v>2378</v>
      </c>
      <c r="J1509" s="629"/>
      <c r="K1509" s="648">
        <f t="shared" si="63"/>
        <v>11</v>
      </c>
      <c r="L1509" s="649">
        <f t="shared" si="64"/>
        <v>49</v>
      </c>
      <c r="M1509" s="903"/>
      <c r="N1509" s="622" t="str">
        <f t="shared" si="65"/>
        <v/>
      </c>
    </row>
    <row r="1510" spans="9:14">
      <c r="I1510" s="631" t="s">
        <v>2379</v>
      </c>
      <c r="J1510" s="629"/>
      <c r="K1510" s="648">
        <f t="shared" si="63"/>
        <v>10</v>
      </c>
      <c r="L1510" s="649">
        <f t="shared" si="64"/>
        <v>49</v>
      </c>
      <c r="M1510" s="903"/>
      <c r="N1510" s="622" t="str">
        <f t="shared" si="65"/>
        <v/>
      </c>
    </row>
    <row r="1511" spans="9:14">
      <c r="I1511" s="631" t="s">
        <v>2380</v>
      </c>
      <c r="J1511" s="629"/>
      <c r="K1511" s="648">
        <f t="shared" si="63"/>
        <v>9</v>
      </c>
      <c r="L1511" s="649">
        <f t="shared" si="64"/>
        <v>49</v>
      </c>
      <c r="M1511" s="903"/>
      <c r="N1511" s="622" t="str">
        <f t="shared" si="65"/>
        <v/>
      </c>
    </row>
    <row r="1512" spans="9:14">
      <c r="I1512" s="631" t="s">
        <v>2381</v>
      </c>
      <c r="J1512" s="629"/>
      <c r="K1512" s="648">
        <f t="shared" si="63"/>
        <v>8</v>
      </c>
      <c r="L1512" s="649">
        <f t="shared" si="64"/>
        <v>49</v>
      </c>
      <c r="M1512" s="903"/>
      <c r="N1512" s="622" t="str">
        <f t="shared" si="65"/>
        <v/>
      </c>
    </row>
    <row r="1513" spans="9:14">
      <c r="I1513" s="631" t="s">
        <v>2382</v>
      </c>
      <c r="J1513" s="629"/>
      <c r="K1513" s="648">
        <f t="shared" si="63"/>
        <v>7</v>
      </c>
      <c r="L1513" s="649">
        <f t="shared" si="64"/>
        <v>49</v>
      </c>
      <c r="M1513" s="903"/>
      <c r="N1513" s="622" t="str">
        <f t="shared" si="65"/>
        <v/>
      </c>
    </row>
    <row r="1514" spans="9:14">
      <c r="I1514" s="631" t="s">
        <v>2383</v>
      </c>
      <c r="J1514" s="629"/>
      <c r="K1514" s="648">
        <f t="shared" si="63"/>
        <v>6</v>
      </c>
      <c r="L1514" s="649">
        <f t="shared" si="64"/>
        <v>49</v>
      </c>
      <c r="M1514" s="903"/>
      <c r="N1514" s="622" t="str">
        <f t="shared" si="65"/>
        <v/>
      </c>
    </row>
    <row r="1515" spans="9:14">
      <c r="I1515" s="631" t="s">
        <v>2384</v>
      </c>
      <c r="J1515" s="629"/>
      <c r="K1515" s="648">
        <f t="shared" si="63"/>
        <v>5</v>
      </c>
      <c r="L1515" s="649">
        <f t="shared" si="64"/>
        <v>49</v>
      </c>
      <c r="M1515" s="903"/>
      <c r="N1515" s="622" t="str">
        <f t="shared" si="65"/>
        <v/>
      </c>
    </row>
    <row r="1516" spans="9:14">
      <c r="I1516" s="631" t="s">
        <v>2385</v>
      </c>
      <c r="J1516" s="629"/>
      <c r="K1516" s="648">
        <f t="shared" si="63"/>
        <v>4</v>
      </c>
      <c r="L1516" s="649">
        <f t="shared" si="64"/>
        <v>49</v>
      </c>
      <c r="M1516" s="903"/>
      <c r="N1516" s="622" t="str">
        <f t="shared" si="65"/>
        <v/>
      </c>
    </row>
    <row r="1517" spans="9:14">
      <c r="I1517" s="631" t="s">
        <v>2386</v>
      </c>
      <c r="J1517" s="629"/>
      <c r="K1517" s="648">
        <f t="shared" si="63"/>
        <v>3</v>
      </c>
      <c r="L1517" s="649">
        <f t="shared" si="64"/>
        <v>49</v>
      </c>
      <c r="M1517" s="903"/>
      <c r="N1517" s="622" t="str">
        <f t="shared" si="65"/>
        <v/>
      </c>
    </row>
    <row r="1518" spans="9:14">
      <c r="I1518" s="631" t="s">
        <v>2387</v>
      </c>
      <c r="J1518" s="629"/>
      <c r="K1518" s="648">
        <f t="shared" si="63"/>
        <v>2</v>
      </c>
      <c r="L1518" s="649">
        <f t="shared" si="64"/>
        <v>49</v>
      </c>
      <c r="M1518" s="903"/>
      <c r="N1518" s="622" t="str">
        <f t="shared" si="65"/>
        <v/>
      </c>
    </row>
    <row r="1519" spans="9:14">
      <c r="I1519" s="631" t="s">
        <v>2388</v>
      </c>
      <c r="J1519" s="629"/>
      <c r="K1519" s="648">
        <f t="shared" si="63"/>
        <v>1</v>
      </c>
      <c r="L1519" s="649">
        <f t="shared" si="64"/>
        <v>49</v>
      </c>
      <c r="M1519" s="903"/>
      <c r="N1519" s="622" t="str">
        <f t="shared" si="65"/>
        <v/>
      </c>
    </row>
    <row r="1520" spans="9:14">
      <c r="I1520" s="631" t="s">
        <v>2389</v>
      </c>
      <c r="J1520" s="629"/>
      <c r="K1520" s="648">
        <f t="shared" si="63"/>
        <v>28</v>
      </c>
      <c r="L1520" s="649">
        <f t="shared" si="64"/>
        <v>50</v>
      </c>
      <c r="M1520" s="903"/>
      <c r="N1520" s="622" t="str">
        <f t="shared" si="65"/>
        <v/>
      </c>
    </row>
    <row r="1521" spans="9:14">
      <c r="I1521" s="631" t="s">
        <v>2390</v>
      </c>
      <c r="J1521" s="629"/>
      <c r="K1521" s="648">
        <f t="shared" si="63"/>
        <v>27</v>
      </c>
      <c r="L1521" s="649">
        <f t="shared" si="64"/>
        <v>50</v>
      </c>
      <c r="M1521" s="903"/>
      <c r="N1521" s="622" t="str">
        <f t="shared" si="65"/>
        <v/>
      </c>
    </row>
    <row r="1522" spans="9:14">
      <c r="I1522" s="631" t="s">
        <v>2391</v>
      </c>
      <c r="J1522" s="629"/>
      <c r="K1522" s="648">
        <f t="shared" si="63"/>
        <v>26</v>
      </c>
      <c r="L1522" s="649">
        <f t="shared" si="64"/>
        <v>50</v>
      </c>
      <c r="M1522" s="903"/>
      <c r="N1522" s="622" t="str">
        <f t="shared" si="65"/>
        <v/>
      </c>
    </row>
    <row r="1523" spans="9:14">
      <c r="I1523" s="631" t="s">
        <v>2392</v>
      </c>
      <c r="J1523" s="629"/>
      <c r="K1523" s="648">
        <f t="shared" si="63"/>
        <v>25</v>
      </c>
      <c r="L1523" s="649">
        <f t="shared" si="64"/>
        <v>50</v>
      </c>
      <c r="M1523" s="903"/>
      <c r="N1523" s="622" t="str">
        <f t="shared" si="65"/>
        <v/>
      </c>
    </row>
    <row r="1524" spans="9:14">
      <c r="I1524" s="631" t="s">
        <v>2393</v>
      </c>
      <c r="J1524" s="629"/>
      <c r="K1524" s="648">
        <f t="shared" si="63"/>
        <v>24</v>
      </c>
      <c r="L1524" s="649">
        <f t="shared" si="64"/>
        <v>50</v>
      </c>
      <c r="M1524" s="903"/>
      <c r="N1524" s="622" t="str">
        <f t="shared" si="65"/>
        <v/>
      </c>
    </row>
    <row r="1525" spans="9:14">
      <c r="I1525" s="631" t="s">
        <v>2394</v>
      </c>
      <c r="J1525" s="629"/>
      <c r="K1525" s="648">
        <f t="shared" si="63"/>
        <v>23</v>
      </c>
      <c r="L1525" s="649">
        <f t="shared" si="64"/>
        <v>50</v>
      </c>
      <c r="M1525" s="903"/>
      <c r="N1525" s="622" t="str">
        <f t="shared" si="65"/>
        <v/>
      </c>
    </row>
    <row r="1526" spans="9:14">
      <c r="I1526" s="631" t="s">
        <v>2395</v>
      </c>
      <c r="J1526" s="629"/>
      <c r="K1526" s="648">
        <f t="shared" si="63"/>
        <v>22</v>
      </c>
      <c r="L1526" s="649">
        <f t="shared" si="64"/>
        <v>50</v>
      </c>
      <c r="M1526" s="903"/>
      <c r="N1526" s="622" t="str">
        <f t="shared" si="65"/>
        <v/>
      </c>
    </row>
    <row r="1527" spans="9:14">
      <c r="I1527" s="631" t="s">
        <v>2396</v>
      </c>
      <c r="J1527" s="629"/>
      <c r="K1527" s="648">
        <f t="shared" si="63"/>
        <v>21</v>
      </c>
      <c r="L1527" s="649">
        <f t="shared" si="64"/>
        <v>50</v>
      </c>
      <c r="M1527" s="903"/>
      <c r="N1527" s="622" t="str">
        <f t="shared" si="65"/>
        <v/>
      </c>
    </row>
    <row r="1528" spans="9:14">
      <c r="I1528" s="631" t="s">
        <v>2397</v>
      </c>
      <c r="J1528" s="629"/>
      <c r="K1528" s="648">
        <f t="shared" si="63"/>
        <v>20</v>
      </c>
      <c r="L1528" s="649">
        <f t="shared" si="64"/>
        <v>50</v>
      </c>
      <c r="M1528" s="903"/>
      <c r="N1528" s="622" t="str">
        <f t="shared" si="65"/>
        <v/>
      </c>
    </row>
    <row r="1529" spans="9:14">
      <c r="I1529" s="631" t="s">
        <v>2398</v>
      </c>
      <c r="J1529" s="629"/>
      <c r="K1529" s="648">
        <f t="shared" si="63"/>
        <v>19</v>
      </c>
      <c r="L1529" s="649">
        <f t="shared" si="64"/>
        <v>50</v>
      </c>
      <c r="M1529" s="903"/>
      <c r="N1529" s="622" t="str">
        <f t="shared" si="65"/>
        <v/>
      </c>
    </row>
    <row r="1530" spans="9:14">
      <c r="I1530" s="631" t="s">
        <v>2399</v>
      </c>
      <c r="J1530" s="629"/>
      <c r="K1530" s="648">
        <f t="shared" si="63"/>
        <v>18</v>
      </c>
      <c r="L1530" s="649">
        <f t="shared" si="64"/>
        <v>50</v>
      </c>
      <c r="M1530" s="903"/>
      <c r="N1530" s="622" t="str">
        <f t="shared" si="65"/>
        <v/>
      </c>
    </row>
    <row r="1531" spans="9:14">
      <c r="I1531" s="631" t="s">
        <v>2400</v>
      </c>
      <c r="J1531" s="629"/>
      <c r="K1531" s="648">
        <f t="shared" si="63"/>
        <v>17</v>
      </c>
      <c r="L1531" s="649">
        <f t="shared" si="64"/>
        <v>50</v>
      </c>
      <c r="M1531" s="903"/>
      <c r="N1531" s="622" t="str">
        <f t="shared" si="65"/>
        <v/>
      </c>
    </row>
    <row r="1532" spans="9:14">
      <c r="I1532" s="631" t="s">
        <v>2401</v>
      </c>
      <c r="J1532" s="629"/>
      <c r="K1532" s="648">
        <f t="shared" si="63"/>
        <v>16</v>
      </c>
      <c r="L1532" s="649">
        <f t="shared" si="64"/>
        <v>50</v>
      </c>
      <c r="M1532" s="903"/>
      <c r="N1532" s="622" t="str">
        <f t="shared" si="65"/>
        <v/>
      </c>
    </row>
    <row r="1533" spans="9:14">
      <c r="I1533" s="631" t="s">
        <v>2402</v>
      </c>
      <c r="J1533" s="629"/>
      <c r="K1533" s="648">
        <f t="shared" si="63"/>
        <v>15</v>
      </c>
      <c r="L1533" s="649">
        <f t="shared" si="64"/>
        <v>50</v>
      </c>
      <c r="M1533" s="903"/>
      <c r="N1533" s="622" t="str">
        <f t="shared" si="65"/>
        <v/>
      </c>
    </row>
    <row r="1534" spans="9:14">
      <c r="I1534" s="631" t="s">
        <v>2403</v>
      </c>
      <c r="J1534" s="629"/>
      <c r="K1534" s="648">
        <f t="shared" si="63"/>
        <v>14</v>
      </c>
      <c r="L1534" s="649">
        <f t="shared" si="64"/>
        <v>50</v>
      </c>
      <c r="M1534" s="903"/>
      <c r="N1534" s="622" t="str">
        <f t="shared" si="65"/>
        <v/>
      </c>
    </row>
    <row r="1535" spans="9:14">
      <c r="I1535" s="631" t="s">
        <v>2404</v>
      </c>
      <c r="J1535" s="629"/>
      <c r="K1535" s="648">
        <f t="shared" si="63"/>
        <v>13</v>
      </c>
      <c r="L1535" s="649">
        <f t="shared" si="64"/>
        <v>50</v>
      </c>
      <c r="M1535" s="903"/>
      <c r="N1535" s="622" t="str">
        <f t="shared" si="65"/>
        <v/>
      </c>
    </row>
    <row r="1536" spans="9:14">
      <c r="I1536" s="631" t="s">
        <v>2405</v>
      </c>
      <c r="J1536" s="629"/>
      <c r="K1536" s="648">
        <f t="shared" si="63"/>
        <v>12</v>
      </c>
      <c r="L1536" s="649">
        <f t="shared" si="64"/>
        <v>50</v>
      </c>
      <c r="M1536" s="903"/>
      <c r="N1536" s="622" t="str">
        <f t="shared" si="65"/>
        <v/>
      </c>
    </row>
    <row r="1537" spans="9:14">
      <c r="I1537" s="631" t="s">
        <v>2406</v>
      </c>
      <c r="J1537" s="629"/>
      <c r="K1537" s="648">
        <f t="shared" si="63"/>
        <v>11</v>
      </c>
      <c r="L1537" s="649">
        <f t="shared" si="64"/>
        <v>50</v>
      </c>
      <c r="M1537" s="903"/>
      <c r="N1537" s="622" t="str">
        <f t="shared" si="65"/>
        <v/>
      </c>
    </row>
    <row r="1538" spans="9:14">
      <c r="I1538" s="631" t="s">
        <v>2407</v>
      </c>
      <c r="J1538" s="629"/>
      <c r="K1538" s="648">
        <f t="shared" si="63"/>
        <v>10</v>
      </c>
      <c r="L1538" s="649">
        <f t="shared" si="64"/>
        <v>50</v>
      </c>
      <c r="M1538" s="903"/>
      <c r="N1538" s="622" t="str">
        <f t="shared" si="65"/>
        <v/>
      </c>
    </row>
    <row r="1539" spans="9:14">
      <c r="I1539" s="631" t="s">
        <v>2408</v>
      </c>
      <c r="J1539" s="629"/>
      <c r="K1539" s="648">
        <f t="shared" si="63"/>
        <v>9</v>
      </c>
      <c r="L1539" s="649">
        <f t="shared" si="64"/>
        <v>50</v>
      </c>
      <c r="M1539" s="903"/>
      <c r="N1539" s="622" t="str">
        <f t="shared" si="65"/>
        <v/>
      </c>
    </row>
    <row r="1540" spans="9:14">
      <c r="I1540" s="631" t="s">
        <v>2409</v>
      </c>
      <c r="J1540" s="629"/>
      <c r="K1540" s="648">
        <f t="shared" si="63"/>
        <v>8</v>
      </c>
      <c r="L1540" s="649">
        <f t="shared" si="64"/>
        <v>50</v>
      </c>
      <c r="M1540" s="903"/>
      <c r="N1540" s="622" t="str">
        <f t="shared" si="65"/>
        <v/>
      </c>
    </row>
    <row r="1541" spans="9:14">
      <c r="I1541" s="631" t="s">
        <v>2410</v>
      </c>
      <c r="J1541" s="629"/>
      <c r="K1541" s="648">
        <f t="shared" si="63"/>
        <v>7</v>
      </c>
      <c r="L1541" s="649">
        <f t="shared" si="64"/>
        <v>50</v>
      </c>
      <c r="M1541" s="903"/>
      <c r="N1541" s="622" t="str">
        <f t="shared" si="65"/>
        <v/>
      </c>
    </row>
    <row r="1542" spans="9:14">
      <c r="I1542" s="631" t="s">
        <v>2411</v>
      </c>
      <c r="J1542" s="629"/>
      <c r="K1542" s="648">
        <f t="shared" si="63"/>
        <v>6</v>
      </c>
      <c r="L1542" s="649">
        <f t="shared" si="64"/>
        <v>50</v>
      </c>
      <c r="M1542" s="903"/>
      <c r="N1542" s="622" t="str">
        <f t="shared" si="65"/>
        <v/>
      </c>
    </row>
    <row r="1543" spans="9:14">
      <c r="I1543" s="631" t="s">
        <v>2412</v>
      </c>
      <c r="J1543" s="629"/>
      <c r="K1543" s="648">
        <f t="shared" si="63"/>
        <v>5</v>
      </c>
      <c r="L1543" s="649">
        <f t="shared" si="64"/>
        <v>50</v>
      </c>
      <c r="M1543" s="903"/>
      <c r="N1543" s="622" t="str">
        <f t="shared" si="65"/>
        <v/>
      </c>
    </row>
    <row r="1544" spans="9:14">
      <c r="I1544" s="631" t="s">
        <v>2413</v>
      </c>
      <c r="J1544" s="629"/>
      <c r="K1544" s="648">
        <f t="shared" si="63"/>
        <v>4</v>
      </c>
      <c r="L1544" s="649">
        <f t="shared" si="64"/>
        <v>50</v>
      </c>
      <c r="M1544" s="903"/>
      <c r="N1544" s="622" t="str">
        <f t="shared" si="65"/>
        <v/>
      </c>
    </row>
    <row r="1545" spans="9:14">
      <c r="I1545" s="631" t="s">
        <v>2414</v>
      </c>
      <c r="J1545" s="629"/>
      <c r="K1545" s="648">
        <f t="shared" si="63"/>
        <v>3</v>
      </c>
      <c r="L1545" s="649">
        <f t="shared" si="64"/>
        <v>50</v>
      </c>
      <c r="M1545" s="903"/>
      <c r="N1545" s="622" t="str">
        <f t="shared" si="65"/>
        <v/>
      </c>
    </row>
    <row r="1546" spans="9:14">
      <c r="I1546" s="631" t="s">
        <v>2415</v>
      </c>
      <c r="J1546" s="629"/>
      <c r="K1546" s="648">
        <f t="shared" si="63"/>
        <v>2</v>
      </c>
      <c r="L1546" s="649">
        <f t="shared" si="64"/>
        <v>50</v>
      </c>
      <c r="M1546" s="903"/>
      <c r="N1546" s="622" t="str">
        <f t="shared" si="65"/>
        <v/>
      </c>
    </row>
    <row r="1547" spans="9:14" ht="13.5" thickBot="1">
      <c r="I1547" s="623" t="s">
        <v>2416</v>
      </c>
      <c r="J1547" s="624"/>
      <c r="K1547" s="650">
        <f t="shared" si="63"/>
        <v>1</v>
      </c>
      <c r="L1547" s="651">
        <f t="shared" si="64"/>
        <v>50</v>
      </c>
      <c r="M1547" s="904"/>
      <c r="N1547" s="622" t="str">
        <f t="shared" si="65"/>
        <v/>
      </c>
    </row>
  </sheetData>
  <mergeCells count="69">
    <mergeCell ref="B397:E397"/>
    <mergeCell ref="B129:C129"/>
    <mergeCell ref="D129:G129"/>
    <mergeCell ref="B134:G134"/>
    <mergeCell ref="D120:G120"/>
    <mergeCell ref="E121:G121"/>
    <mergeCell ref="E122:G122"/>
    <mergeCell ref="E123:G123"/>
    <mergeCell ref="D126:G126"/>
    <mergeCell ref="B127:C127"/>
    <mergeCell ref="D127:G127"/>
    <mergeCell ref="D128:G128"/>
    <mergeCell ref="B118:C118"/>
    <mergeCell ref="D118:G118"/>
    <mergeCell ref="B111:C111"/>
    <mergeCell ref="D112:E112"/>
    <mergeCell ref="F112:G112"/>
    <mergeCell ref="D113:E113"/>
    <mergeCell ref="F113:G113"/>
    <mergeCell ref="D114:E114"/>
    <mergeCell ref="F114:G114"/>
    <mergeCell ref="D115:E115"/>
    <mergeCell ref="F115:G115"/>
    <mergeCell ref="B116:C116"/>
    <mergeCell ref="D116:E116"/>
    <mergeCell ref="F116:G116"/>
    <mergeCell ref="F109:G109"/>
    <mergeCell ref="B51:C51"/>
    <mergeCell ref="B57:C57"/>
    <mergeCell ref="D57:E57"/>
    <mergeCell ref="F57:G57"/>
    <mergeCell ref="B79:C79"/>
    <mergeCell ref="D79:E79"/>
    <mergeCell ref="F79:G79"/>
    <mergeCell ref="B89:C89"/>
    <mergeCell ref="B98:C98"/>
    <mergeCell ref="B107:C107"/>
    <mergeCell ref="B109:C109"/>
    <mergeCell ref="D109:E109"/>
    <mergeCell ref="F55:G55"/>
    <mergeCell ref="B34:C34"/>
    <mergeCell ref="D34:E34"/>
    <mergeCell ref="F34:G34"/>
    <mergeCell ref="B2:C3"/>
    <mergeCell ref="D2:E3"/>
    <mergeCell ref="F2:G3"/>
    <mergeCell ref="B4:C4"/>
    <mergeCell ref="B24:C24"/>
    <mergeCell ref="I134:N134"/>
    <mergeCell ref="I135:L135"/>
    <mergeCell ref="M135:N135"/>
    <mergeCell ref="I136:L136"/>
    <mergeCell ref="M136:N136"/>
    <mergeCell ref="I137:L137"/>
    <mergeCell ref="M137:N137"/>
    <mergeCell ref="I138:L138"/>
    <mergeCell ref="M138:N138"/>
    <mergeCell ref="I139:L139"/>
    <mergeCell ref="M139:N139"/>
    <mergeCell ref="I143:L143"/>
    <mergeCell ref="I144:L144"/>
    <mergeCell ref="I145:L145"/>
    <mergeCell ref="M146:N146"/>
    <mergeCell ref="I140:L140"/>
    <mergeCell ref="M140:N140"/>
    <mergeCell ref="I141:L141"/>
    <mergeCell ref="M141:N141"/>
    <mergeCell ref="I142:L142"/>
    <mergeCell ref="M142:N142"/>
  </mergeCells>
  <conditionalFormatting sqref="E51">
    <cfRule type="cellIs" dxfId="1732" priority="19" stopIfTrue="1" operator="equal">
      <formula>4</formula>
    </cfRule>
    <cfRule type="cellIs" dxfId="1731" priority="20" stopIfTrue="1" operator="greaterThanOrEqual">
      <formula>2.67</formula>
    </cfRule>
    <cfRule type="cellIs" dxfId="1730" priority="21" stopIfTrue="1" operator="greaterThanOrEqual">
      <formula>1.33</formula>
    </cfRule>
    <cfRule type="cellIs" dxfId="1729" priority="22" stopIfTrue="1" operator="greaterThanOrEqual">
      <formula>0.001</formula>
    </cfRule>
    <cfRule type="cellIs" dxfId="1728" priority="23" stopIfTrue="1" operator="equal">
      <formula>0</formula>
    </cfRule>
  </conditionalFormatting>
  <conditionalFormatting sqref="D34">
    <cfRule type="cellIs" dxfId="1727" priority="114" stopIfTrue="1" operator="equal">
      <formula>4</formula>
    </cfRule>
    <cfRule type="cellIs" dxfId="1726" priority="115" stopIfTrue="1" operator="greaterThanOrEqual">
      <formula>2.67</formula>
    </cfRule>
    <cfRule type="cellIs" dxfId="1725" priority="116" stopIfTrue="1" operator="greaterThanOrEqual">
      <formula>1.33</formula>
    </cfRule>
    <cfRule type="cellIs" dxfId="1724" priority="117" stopIfTrue="1" operator="greaterThanOrEqual">
      <formula>0.001</formula>
    </cfRule>
    <cfRule type="cellIs" dxfId="1723" priority="118" stopIfTrue="1" operator="equal">
      <formula>0</formula>
    </cfRule>
  </conditionalFormatting>
  <conditionalFormatting sqref="G24">
    <cfRule type="cellIs" dxfId="1722" priority="109" stopIfTrue="1" operator="equal">
      <formula>4</formula>
    </cfRule>
    <cfRule type="cellIs" dxfId="1721" priority="110" stopIfTrue="1" operator="greaterThanOrEqual">
      <formula>2.67</formula>
    </cfRule>
    <cfRule type="cellIs" dxfId="1720" priority="111" stopIfTrue="1" operator="greaterThanOrEqual">
      <formula>1.33</formula>
    </cfRule>
    <cfRule type="cellIs" dxfId="1719" priority="112" stopIfTrue="1" operator="greaterThanOrEqual">
      <formula>0.001</formula>
    </cfRule>
    <cfRule type="cellIs" dxfId="1718" priority="113" stopIfTrue="1" operator="equal">
      <formula>0</formula>
    </cfRule>
  </conditionalFormatting>
  <conditionalFormatting sqref="F34">
    <cfRule type="cellIs" dxfId="1717" priority="104" stopIfTrue="1" operator="equal">
      <formula>4</formula>
    </cfRule>
    <cfRule type="cellIs" dxfId="1716" priority="105" stopIfTrue="1" operator="greaterThanOrEqual">
      <formula>2.67</formula>
    </cfRule>
    <cfRule type="cellIs" dxfId="1715" priority="106" stopIfTrue="1" operator="greaterThanOrEqual">
      <formula>1.33</formula>
    </cfRule>
    <cfRule type="cellIs" dxfId="1714" priority="107" stopIfTrue="1" operator="greaterThanOrEqual">
      <formula>0.001</formula>
    </cfRule>
    <cfRule type="cellIs" dxfId="1713" priority="108" stopIfTrue="1" operator="equal">
      <formula>0</formula>
    </cfRule>
  </conditionalFormatting>
  <conditionalFormatting sqref="E24">
    <cfRule type="cellIs" dxfId="1712" priority="99" stopIfTrue="1" operator="equal">
      <formula>4</formula>
    </cfRule>
    <cfRule type="cellIs" dxfId="1711" priority="100" stopIfTrue="1" operator="greaterThanOrEqual">
      <formula>2.67</formula>
    </cfRule>
    <cfRule type="cellIs" dxfId="1710" priority="101" stopIfTrue="1" operator="greaterThanOrEqual">
      <formula>1.33</formula>
    </cfRule>
    <cfRule type="cellIs" dxfId="1709" priority="102" stopIfTrue="1" operator="greaterThanOrEqual">
      <formula>0.001</formula>
    </cfRule>
    <cfRule type="cellIs" dxfId="1708" priority="103" stopIfTrue="1" operator="equal">
      <formula>0</formula>
    </cfRule>
  </conditionalFormatting>
  <conditionalFormatting sqref="E32">
    <cfRule type="cellIs" dxfId="1707" priority="94" stopIfTrue="1" operator="equal">
      <formula>4</formula>
    </cfRule>
    <cfRule type="cellIs" dxfId="1706" priority="95" stopIfTrue="1" operator="greaterThanOrEqual">
      <formula>2.67</formula>
    </cfRule>
    <cfRule type="cellIs" dxfId="1705" priority="96" stopIfTrue="1" operator="greaterThanOrEqual">
      <formula>1.33</formula>
    </cfRule>
    <cfRule type="cellIs" dxfId="1704" priority="97" stopIfTrue="1" operator="greaterThanOrEqual">
      <formula>0.001</formula>
    </cfRule>
    <cfRule type="cellIs" dxfId="1703" priority="98" stopIfTrue="1" operator="equal">
      <formula>0</formula>
    </cfRule>
  </conditionalFormatting>
  <conditionalFormatting sqref="G32">
    <cfRule type="cellIs" dxfId="1702" priority="89" stopIfTrue="1" operator="equal">
      <formula>4</formula>
    </cfRule>
    <cfRule type="cellIs" dxfId="1701" priority="90" stopIfTrue="1" operator="greaterThanOrEqual">
      <formula>2.67</formula>
    </cfRule>
    <cfRule type="cellIs" dxfId="1700" priority="91" stopIfTrue="1" operator="greaterThanOrEqual">
      <formula>1.33</formula>
    </cfRule>
    <cfRule type="cellIs" dxfId="1699" priority="92" stopIfTrue="1" operator="greaterThanOrEqual">
      <formula>0.001</formula>
    </cfRule>
    <cfRule type="cellIs" dxfId="1698" priority="93" stopIfTrue="1" operator="equal">
      <formula>0</formula>
    </cfRule>
  </conditionalFormatting>
  <conditionalFormatting sqref="G73">
    <cfRule type="cellIs" dxfId="1697" priority="49" stopIfTrue="1" operator="equal">
      <formula>4</formula>
    </cfRule>
    <cfRule type="cellIs" dxfId="1696" priority="50" stopIfTrue="1" operator="greaterThanOrEqual">
      <formula>2.67</formula>
    </cfRule>
    <cfRule type="cellIs" dxfId="1695" priority="51" stopIfTrue="1" operator="greaterThanOrEqual">
      <formula>1.33</formula>
    </cfRule>
    <cfRule type="cellIs" dxfId="1694" priority="52" stopIfTrue="1" operator="greaterThanOrEqual">
      <formula>0.001</formula>
    </cfRule>
    <cfRule type="cellIs" dxfId="1693" priority="53" stopIfTrue="1" operator="equal">
      <formula>0</formula>
    </cfRule>
  </conditionalFormatting>
  <conditionalFormatting sqref="E66">
    <cfRule type="cellIs" dxfId="1692" priority="64" stopIfTrue="1" operator="equal">
      <formula>4</formula>
    </cfRule>
    <cfRule type="cellIs" dxfId="1691" priority="65" stopIfTrue="1" operator="greaterThanOrEqual">
      <formula>2.67</formula>
    </cfRule>
    <cfRule type="cellIs" dxfId="1690" priority="66" stopIfTrue="1" operator="greaterThanOrEqual">
      <formula>1.33</formula>
    </cfRule>
    <cfRule type="cellIs" dxfId="1689" priority="67" stopIfTrue="1" operator="greaterThanOrEqual">
      <formula>0.001</formula>
    </cfRule>
    <cfRule type="cellIs" dxfId="1688" priority="68" stopIfTrue="1" operator="equal">
      <formula>0</formula>
    </cfRule>
  </conditionalFormatting>
  <conditionalFormatting sqref="F57">
    <cfRule type="cellIs" dxfId="1687" priority="84" stopIfTrue="1" operator="equal">
      <formula>4</formula>
    </cfRule>
    <cfRule type="cellIs" dxfId="1686" priority="85" stopIfTrue="1" operator="greaterThanOrEqual">
      <formula>2.67</formula>
    </cfRule>
    <cfRule type="cellIs" dxfId="1685" priority="86" stopIfTrue="1" operator="greaterThanOrEqual">
      <formula>1.33</formula>
    </cfRule>
    <cfRule type="cellIs" dxfId="1684" priority="87" stopIfTrue="1" operator="greaterThanOrEqual">
      <formula>0.001</formula>
    </cfRule>
    <cfRule type="cellIs" dxfId="1683" priority="88" stopIfTrue="1" operator="equal">
      <formula>0</formula>
    </cfRule>
  </conditionalFormatting>
  <conditionalFormatting sqref="G51">
    <cfRule type="cellIs" dxfId="1682" priority="79" stopIfTrue="1" operator="equal">
      <formula>4</formula>
    </cfRule>
    <cfRule type="cellIs" dxfId="1681" priority="80" stopIfTrue="1" operator="greaterThanOrEqual">
      <formula>2.67</formula>
    </cfRule>
    <cfRule type="cellIs" dxfId="1680" priority="81" stopIfTrue="1" operator="greaterThanOrEqual">
      <formula>1.33</formula>
    </cfRule>
    <cfRule type="cellIs" dxfId="1679" priority="82" stopIfTrue="1" operator="greaterThanOrEqual">
      <formula>0.001</formula>
    </cfRule>
    <cfRule type="cellIs" dxfId="1678" priority="83" stopIfTrue="1" operator="equal">
      <formula>0</formula>
    </cfRule>
  </conditionalFormatting>
  <conditionalFormatting sqref="D79">
    <cfRule type="cellIs" dxfId="1677" priority="74" stopIfTrue="1" operator="equal">
      <formula>4</formula>
    </cfRule>
    <cfRule type="cellIs" dxfId="1676" priority="75" stopIfTrue="1" operator="greaterThanOrEqual">
      <formula>2.67</formula>
    </cfRule>
    <cfRule type="cellIs" dxfId="1675" priority="76" stopIfTrue="1" operator="greaterThanOrEqual">
      <formula>1.33</formula>
    </cfRule>
    <cfRule type="cellIs" dxfId="1674" priority="77" stopIfTrue="1" operator="greaterThanOrEqual">
      <formula>0.001</formula>
    </cfRule>
    <cfRule type="cellIs" dxfId="1673" priority="78" stopIfTrue="1" operator="equal">
      <formula>0</formula>
    </cfRule>
  </conditionalFormatting>
  <conditionalFormatting sqref="F79">
    <cfRule type="cellIs" dxfId="1672" priority="69" stopIfTrue="1" operator="equal">
      <formula>4</formula>
    </cfRule>
    <cfRule type="cellIs" dxfId="1671" priority="70" stopIfTrue="1" operator="greaterThanOrEqual">
      <formula>2.67</formula>
    </cfRule>
    <cfRule type="cellIs" dxfId="1670" priority="71" stopIfTrue="1" operator="greaterThanOrEqual">
      <formula>1.33</formula>
    </cfRule>
    <cfRule type="cellIs" dxfId="1669" priority="72" stopIfTrue="1" operator="greaterThanOrEqual">
      <formula>0.001</formula>
    </cfRule>
    <cfRule type="cellIs" dxfId="1668" priority="73" stopIfTrue="1" operator="equal">
      <formula>0</formula>
    </cfRule>
  </conditionalFormatting>
  <conditionalFormatting sqref="G66">
    <cfRule type="cellIs" dxfId="1667" priority="59" stopIfTrue="1" operator="equal">
      <formula>4</formula>
    </cfRule>
    <cfRule type="cellIs" dxfId="1666" priority="60" stopIfTrue="1" operator="greaterThanOrEqual">
      <formula>2.67</formula>
    </cfRule>
    <cfRule type="cellIs" dxfId="1665" priority="61" stopIfTrue="1" operator="greaterThanOrEqual">
      <formula>1.33</formula>
    </cfRule>
    <cfRule type="cellIs" dxfId="1664" priority="62" stopIfTrue="1" operator="greaterThanOrEqual">
      <formula>0.001</formula>
    </cfRule>
    <cfRule type="cellIs" dxfId="1663" priority="63" stopIfTrue="1" operator="equal">
      <formula>0</formula>
    </cfRule>
  </conditionalFormatting>
  <conditionalFormatting sqref="E73">
    <cfRule type="cellIs" dxfId="1662" priority="54" stopIfTrue="1" operator="equal">
      <formula>4</formula>
    </cfRule>
    <cfRule type="cellIs" dxfId="1661" priority="55" stopIfTrue="1" operator="greaterThanOrEqual">
      <formula>2.67</formula>
    </cfRule>
    <cfRule type="cellIs" dxfId="1660" priority="56" stopIfTrue="1" operator="greaterThanOrEqual">
      <formula>1.33</formula>
    </cfRule>
    <cfRule type="cellIs" dxfId="1659" priority="57" stopIfTrue="1" operator="greaterThanOrEqual">
      <formula>0.001</formula>
    </cfRule>
    <cfRule type="cellIs" dxfId="1658" priority="58" stopIfTrue="1" operator="equal">
      <formula>0</formula>
    </cfRule>
  </conditionalFormatting>
  <conditionalFormatting sqref="E77">
    <cfRule type="cellIs" dxfId="1657" priority="44" stopIfTrue="1" operator="equal">
      <formula>4</formula>
    </cfRule>
    <cfRule type="cellIs" dxfId="1656" priority="45" stopIfTrue="1" operator="greaterThanOrEqual">
      <formula>2.67</formula>
    </cfRule>
    <cfRule type="cellIs" dxfId="1655" priority="46" stopIfTrue="1" operator="greaterThanOrEqual">
      <formula>1.33</formula>
    </cfRule>
    <cfRule type="cellIs" dxfId="1654" priority="47" stopIfTrue="1" operator="greaterThanOrEqual">
      <formula>0.001</formula>
    </cfRule>
    <cfRule type="cellIs" dxfId="1653" priority="48" stopIfTrue="1" operator="equal">
      <formula>0</formula>
    </cfRule>
  </conditionalFormatting>
  <conditionalFormatting sqref="D57">
    <cfRule type="cellIs" dxfId="1652" priority="24" stopIfTrue="1" operator="equal">
      <formula>4</formula>
    </cfRule>
    <cfRule type="cellIs" dxfId="1651" priority="25" stopIfTrue="1" operator="greaterThanOrEqual">
      <formula>2.67</formula>
    </cfRule>
    <cfRule type="cellIs" dxfId="1650" priority="26" stopIfTrue="1" operator="greaterThanOrEqual">
      <formula>1.33</formula>
    </cfRule>
    <cfRule type="cellIs" dxfId="1649" priority="27" stopIfTrue="1" operator="greaterThanOrEqual">
      <formula>0.001</formula>
    </cfRule>
    <cfRule type="cellIs" dxfId="1648" priority="28" stopIfTrue="1" operator="equal">
      <formula>0</formula>
    </cfRule>
  </conditionalFormatting>
  <conditionalFormatting sqref="E89 G89 E98 G98 E107 D109 F109">
    <cfRule type="cellIs" dxfId="1647" priority="39" stopIfTrue="1" operator="equal">
      <formula>4</formula>
    </cfRule>
    <cfRule type="cellIs" dxfId="1646" priority="40" stopIfTrue="1" operator="greaterThanOrEqual">
      <formula>2.67</formula>
    </cfRule>
    <cfRule type="cellIs" dxfId="1645" priority="41" stopIfTrue="1" operator="greaterThanOrEqual">
      <formula>1.33</formula>
    </cfRule>
    <cfRule type="cellIs" dxfId="1644" priority="42" stopIfTrue="1" operator="greaterThanOrEqual">
      <formula>0.001</formula>
    </cfRule>
    <cfRule type="cellIs" dxfId="1643" priority="43" stopIfTrue="1" operator="equal">
      <formula>0</formula>
    </cfRule>
  </conditionalFormatting>
  <conditionalFormatting sqref="D112:D115">
    <cfRule type="cellIs" dxfId="1642" priority="34" stopIfTrue="1" operator="equal">
      <formula>4</formula>
    </cfRule>
    <cfRule type="cellIs" dxfId="1641" priority="35" stopIfTrue="1" operator="greaterThanOrEqual">
      <formula>2.67</formula>
    </cfRule>
    <cfRule type="cellIs" dxfId="1640" priority="36" stopIfTrue="1" operator="greaterThanOrEqual">
      <formula>1.33</formula>
    </cfRule>
    <cfRule type="cellIs" dxfId="1639" priority="37" stopIfTrue="1" operator="greaterThanOrEqual">
      <formula>0.001</formula>
    </cfRule>
    <cfRule type="cellIs" dxfId="1638" priority="38" stopIfTrue="1" operator="equal">
      <formula>0</formula>
    </cfRule>
  </conditionalFormatting>
  <conditionalFormatting sqref="F112:F115">
    <cfRule type="cellIs" dxfId="1637" priority="29" stopIfTrue="1" operator="equal">
      <formula>4</formula>
    </cfRule>
    <cfRule type="cellIs" dxfId="1636" priority="30" stopIfTrue="1" operator="greaterThanOrEqual">
      <formula>2.67</formula>
    </cfRule>
    <cfRule type="cellIs" dxfId="1635" priority="31" stopIfTrue="1" operator="greaterThanOrEqual">
      <formula>1.33</formula>
    </cfRule>
    <cfRule type="cellIs" dxfId="1634" priority="32" stopIfTrue="1" operator="greaterThanOrEqual">
      <formula>0.001</formula>
    </cfRule>
    <cfRule type="cellIs" dxfId="1633" priority="33" stopIfTrue="1" operator="equal">
      <formula>0</formula>
    </cfRule>
  </conditionalFormatting>
  <conditionalFormatting sqref="E55">
    <cfRule type="cellIs" dxfId="1632" priority="14" stopIfTrue="1" operator="equal">
      <formula>4</formula>
    </cfRule>
    <cfRule type="cellIs" dxfId="1631" priority="15" stopIfTrue="1" operator="greaterThanOrEqual">
      <formula>2.67</formula>
    </cfRule>
    <cfRule type="cellIs" dxfId="1630" priority="16" stopIfTrue="1" operator="greaterThanOrEqual">
      <formula>1.33</formula>
    </cfRule>
    <cfRule type="cellIs" dxfId="1629" priority="17" stopIfTrue="1" operator="greaterThanOrEqual">
      <formula>0.001</formula>
    </cfRule>
    <cfRule type="cellIs" dxfId="1628" priority="18" stopIfTrue="1" operator="equal">
      <formula>0</formula>
    </cfRule>
  </conditionalFormatting>
  <dataValidations count="7">
    <dataValidation type="list" allowBlank="1" showInputMessage="1" showErrorMessage="1" sqref="F17:F19 F47 F71:F72 F64:F65 D47:D48 D105 D64:D65 D17:D19 D50 D71:D72" xr:uid="{DCCB53EA-8442-408C-B4BA-42EA602D14E7}">
      <formula1>"0,-1"</formula1>
    </dataValidation>
    <dataValidation type="list" allowBlank="1" showInputMessage="1" showErrorMessage="1" sqref="D118" xr:uid="{88F9B4BF-B377-4B25-8B9C-893DCDFD3EB8}">
      <formula1>"0,-1,-2,-3,-4,-5"</formula1>
    </dataValidation>
    <dataValidation type="list" allowBlank="1" showInputMessage="1" showErrorMessage="1" sqref="D6 D76" xr:uid="{797D4343-0A7D-4BEE-BC6D-5098E1465C95}">
      <formula1>"Yes,No"</formula1>
    </dataValidation>
    <dataValidation allowBlank="1" showInputMessage="1" showErrorMessage="1" promptTitle="Sign Convention" prompt="+ve Rearward_x000a_-ve Forward" sqref="D102:D104" xr:uid="{22EEB836-FDFC-46B8-8006-9AD7AEA516D8}"/>
    <dataValidation allowBlank="1" showInputMessage="1" showErrorMessage="1" promptTitle="Sign Convention" prompt="+ve Up_x000a_-ve Down" sqref="D86:D88" xr:uid="{7878470B-61C4-4585-8BCB-CDC0A4B246A1}"/>
    <dataValidation type="list" allowBlank="1" showInputMessage="1" showErrorMessage="1" sqref="M137:N137" xr:uid="{436AC043-2B61-4FE5-A9C4-4ADE7D4D12D5}">
      <formula1>"LHD,RHD"</formula1>
    </dataValidation>
    <dataValidation type="list" allowBlank="1" showInputMessage="1" showErrorMessage="1" sqref="D70 F70 D63 F63" xr:uid="{17B29CAD-4DB5-4AAA-BE6F-F3EF03A89242}">
      <formula1>"0,-0.5,-1"</formula1>
    </dataValidation>
  </dataValidations>
  <pageMargins left="0.8" right="0.44" top="0.53" bottom="1" header="0.5" footer="0.5"/>
  <pageSetup paperSize="9" scale="48" orientation="portrait" r:id="rId1"/>
  <headerFooter alignWithMargins="0"/>
  <ignoredErrors>
    <ignoredError sqref="B4" unlockedFormula="1"/>
    <ignoredError sqref="E49" formula="1"/>
    <ignoredError sqref="D118" listDataValidation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9">
    <tabColor indexed="51"/>
    <pageSetUpPr fitToPage="1"/>
  </sheetPr>
  <dimension ref="A1:R207"/>
  <sheetViews>
    <sheetView showGridLines="0" showOutlineSymbols="0" topLeftCell="A24" zoomScaleNormal="100" workbookViewId="0"/>
  </sheetViews>
  <sheetFormatPr defaultColWidth="8.7109375" defaultRowHeight="12.75"/>
  <cols>
    <col min="1" max="2" width="8.7109375" style="1"/>
    <col min="3" max="3" width="40.42578125" style="1" customWidth="1"/>
    <col min="4" max="4" width="10.5703125" style="1" customWidth="1"/>
    <col min="5" max="5" width="10.5703125" style="2" customWidth="1"/>
    <col min="6" max="6" width="10.5703125" style="1" customWidth="1"/>
    <col min="7" max="9" width="10.5703125" style="2" customWidth="1"/>
    <col min="10" max="14" width="8.7109375" style="1" customWidth="1"/>
    <col min="15" max="15" width="9.28515625" style="3" customWidth="1"/>
    <col min="16" max="16384" width="8.7109375" style="1"/>
  </cols>
  <sheetData>
    <row r="1" spans="1:17" ht="13.5" thickBot="1"/>
    <row r="2" spans="1:17" s="4" customFormat="1" ht="12.75" customHeight="1">
      <c r="B2" s="1450" t="s">
        <v>365</v>
      </c>
      <c r="C2" s="1451"/>
      <c r="D2" s="1454" t="s">
        <v>49</v>
      </c>
      <c r="E2" s="1455"/>
      <c r="F2" s="1464" t="s">
        <v>467</v>
      </c>
      <c r="G2" s="1455"/>
      <c r="H2" s="1458" t="s">
        <v>366</v>
      </c>
      <c r="I2" s="1459"/>
      <c r="J2" s="437"/>
      <c r="O2" s="5"/>
    </row>
    <row r="3" spans="1:17" s="4" customFormat="1" ht="15" customHeight="1">
      <c r="B3" s="1452"/>
      <c r="C3" s="1453"/>
      <c r="D3" s="1456"/>
      <c r="E3" s="1457"/>
      <c r="F3" s="1465"/>
      <c r="G3" s="1457"/>
      <c r="H3" s="1460"/>
      <c r="I3" s="1461"/>
      <c r="J3" s="437"/>
      <c r="K3" s="218"/>
      <c r="L3" s="218"/>
      <c r="M3" s="218"/>
      <c r="O3" s="5"/>
    </row>
    <row r="4" spans="1:17" ht="15" customHeight="1" thickBot="1">
      <c r="B4" s="1462" t="str">
        <f>'General Overview'!G5</f>
        <v/>
      </c>
      <c r="C4" s="1463"/>
      <c r="D4" s="6" t="s">
        <v>99</v>
      </c>
      <c r="E4" s="35" t="s">
        <v>40</v>
      </c>
      <c r="F4" s="238" t="s">
        <v>99</v>
      </c>
      <c r="G4" s="35" t="s">
        <v>40</v>
      </c>
      <c r="H4" s="36" t="s">
        <v>99</v>
      </c>
      <c r="I4" s="7" t="s">
        <v>40</v>
      </c>
      <c r="J4" s="438"/>
    </row>
    <row r="5" spans="1:17" ht="15" customHeight="1">
      <c r="A5" s="145"/>
      <c r="B5" s="152" t="s">
        <v>65</v>
      </c>
      <c r="C5" s="104"/>
      <c r="D5" s="106"/>
      <c r="E5" s="153"/>
      <c r="F5" s="104"/>
      <c r="G5" s="153"/>
      <c r="H5" s="154"/>
      <c r="I5" s="155"/>
      <c r="J5" s="438"/>
    </row>
    <row r="6" spans="1:17" ht="15" customHeight="1">
      <c r="A6" s="156"/>
      <c r="B6" s="106"/>
      <c r="C6" s="104" t="s">
        <v>66</v>
      </c>
      <c r="D6" s="907"/>
      <c r="E6" s="153"/>
      <c r="F6" s="154"/>
      <c r="G6" s="153"/>
      <c r="H6" s="157" t="s">
        <v>367</v>
      </c>
      <c r="I6" s="909"/>
      <c r="J6" s="438"/>
      <c r="M6" s="3"/>
      <c r="O6" s="1"/>
    </row>
    <row r="7" spans="1:17" ht="15" customHeight="1">
      <c r="A7" s="156"/>
      <c r="B7" s="106"/>
      <c r="C7" s="104" t="s">
        <v>67</v>
      </c>
      <c r="D7" s="866"/>
      <c r="E7" s="158">
        <f>IF(D6="Yes",IF(D7&lt;80,4,""),0)</f>
        <v>0</v>
      </c>
      <c r="F7" s="867"/>
      <c r="G7" s="158">
        <f>IF(F7="",0,IF(F7&lt;80,4,""))</f>
        <v>0</v>
      </c>
      <c r="H7" s="867"/>
      <c r="I7" s="159" t="str">
        <f>IF(I6="Yes",IF(H7&lt;80,4,""),"")</f>
        <v/>
      </c>
      <c r="J7" s="438"/>
      <c r="L7" s="217"/>
      <c r="M7" s="219"/>
      <c r="N7" s="217"/>
      <c r="O7" s="217"/>
      <c r="P7" s="217"/>
      <c r="Q7" s="217"/>
    </row>
    <row r="8" spans="1:17" ht="15" customHeight="1">
      <c r="A8" s="156"/>
      <c r="B8" s="106"/>
      <c r="C8" s="104" t="s">
        <v>368</v>
      </c>
      <c r="D8" s="866"/>
      <c r="E8" s="158" t="str">
        <f>IF(D6="Yes",IF(D7&lt;80,"",ROUND(Sliding_Scale(D8,500,700,4,0),Round)),"")</f>
        <v/>
      </c>
      <c r="F8" s="867"/>
      <c r="G8" s="123" t="str">
        <f>IF(F7&lt;80,"",ROUND(Sliding_Scale(F8,500,700,4,0),Round))</f>
        <v/>
      </c>
      <c r="H8" s="908"/>
      <c r="I8" s="159" t="str">
        <f>IF(I6="Yes",IF(H7&lt;80,"",ROUND(Sliding_Scale(H8,500,700,4,0),Round)),"")</f>
        <v/>
      </c>
      <c r="J8" s="438"/>
      <c r="M8" s="3"/>
      <c r="O8" s="1"/>
    </row>
    <row r="9" spans="1:17" ht="15" customHeight="1">
      <c r="A9" s="156"/>
      <c r="B9" s="106"/>
      <c r="C9" s="104" t="s">
        <v>68</v>
      </c>
      <c r="D9" s="866"/>
      <c r="E9" s="158" t="str">
        <f>IF(D6="Yes",IF(D7&lt;80,"",ROUND(Sliding_Scale(D9,72,80,4,0),Round)),"")</f>
        <v/>
      </c>
      <c r="F9" s="867"/>
      <c r="G9" s="123" t="str">
        <f>IF(F7&lt;80,"",ROUND(Sliding_Scale(F9,72,80,4,0),Round))</f>
        <v/>
      </c>
      <c r="H9" s="908"/>
      <c r="I9" s="159" t="str">
        <f>IF(I6="No",ROUND(Sliding_Scale(H9,72,80,4,0),Round),"")</f>
        <v/>
      </c>
      <c r="J9" s="438"/>
      <c r="M9" s="3"/>
      <c r="O9" s="1"/>
    </row>
    <row r="10" spans="1:17" ht="15" customHeight="1">
      <c r="A10" s="156"/>
      <c r="B10" s="106"/>
      <c r="C10" s="104" t="s">
        <v>98</v>
      </c>
      <c r="D10" s="1034"/>
      <c r="E10" s="158">
        <f>D10</f>
        <v>0</v>
      </c>
      <c r="F10" s="1035"/>
      <c r="G10" s="158">
        <f>F10</f>
        <v>0</v>
      </c>
      <c r="H10" s="1036"/>
      <c r="I10" s="12">
        <f>H10</f>
        <v>0</v>
      </c>
      <c r="J10" s="438"/>
      <c r="M10" s="3"/>
      <c r="O10" s="1"/>
    </row>
    <row r="11" spans="1:17" ht="15" customHeight="1">
      <c r="A11" s="156"/>
      <c r="B11" s="106"/>
      <c r="C11" s="104" t="s">
        <v>154</v>
      </c>
      <c r="D11" s="1034"/>
      <c r="E11" s="158">
        <f>D11</f>
        <v>0</v>
      </c>
      <c r="F11" s="1035"/>
      <c r="G11" s="158">
        <f>F11</f>
        <v>0</v>
      </c>
      <c r="H11" s="1036"/>
      <c r="I11" s="12">
        <f>H11</f>
        <v>0</v>
      </c>
      <c r="J11" s="438"/>
      <c r="M11" s="3"/>
      <c r="O11" s="1"/>
    </row>
    <row r="12" spans="1:17" ht="15" customHeight="1">
      <c r="A12" s="156"/>
      <c r="B12" s="106"/>
      <c r="C12" s="104" t="s">
        <v>106</v>
      </c>
      <c r="D12" s="1034"/>
      <c r="E12" s="158">
        <f>D12</f>
        <v>0</v>
      </c>
      <c r="F12" s="1035"/>
      <c r="G12" s="158">
        <f>F12</f>
        <v>0</v>
      </c>
      <c r="H12" s="1036"/>
      <c r="I12" s="12">
        <f>H12</f>
        <v>0</v>
      </c>
      <c r="J12" s="438"/>
      <c r="M12" s="3"/>
      <c r="O12" s="1"/>
    </row>
    <row r="13" spans="1:17" ht="15" customHeight="1" thickBot="1">
      <c r="A13" s="156"/>
      <c r="B13" s="106"/>
      <c r="C13" s="104" t="s">
        <v>521</v>
      </c>
      <c r="D13" s="246"/>
      <c r="E13" s="158"/>
      <c r="F13" s="123"/>
      <c r="G13" s="158"/>
      <c r="H13" s="1036"/>
      <c r="I13" s="12">
        <f>H13</f>
        <v>0</v>
      </c>
      <c r="J13" s="438"/>
      <c r="M13" s="3"/>
      <c r="O13" s="1"/>
    </row>
    <row r="14" spans="1:17" ht="15" customHeight="1" thickBot="1">
      <c r="A14" s="156"/>
      <c r="B14" s="1358" t="s">
        <v>369</v>
      </c>
      <c r="C14" s="1359"/>
      <c r="D14" s="1447">
        <f>MAX(IF(D6="Yes",MIN(E7:E9)+SUM(E10:E12),0))</f>
        <v>0</v>
      </c>
      <c r="E14" s="1361"/>
      <c r="F14" s="1448">
        <f>MAX(MIN(G7:G9)+SUM(G10:G12),0)</f>
        <v>0</v>
      </c>
      <c r="G14" s="1361"/>
      <c r="H14" s="1360">
        <f>MAX(MIN(I7:I9)+SUM(I10:I13),0)</f>
        <v>0</v>
      </c>
      <c r="I14" s="1446"/>
      <c r="J14" s="438"/>
      <c r="M14" s="3"/>
      <c r="O14" s="1"/>
    </row>
    <row r="15" spans="1:17" ht="15" customHeight="1" thickBot="1">
      <c r="A15" s="156"/>
      <c r="B15" s="95"/>
      <c r="C15" s="95"/>
      <c r="D15" s="1436"/>
      <c r="E15" s="1436"/>
      <c r="F15" s="1436"/>
      <c r="G15" s="1436"/>
      <c r="H15" s="1436"/>
      <c r="I15" s="1436"/>
      <c r="M15" s="3"/>
      <c r="O15" s="1"/>
    </row>
    <row r="16" spans="1:17" ht="15" customHeight="1">
      <c r="A16" s="156"/>
      <c r="B16" s="164" t="s">
        <v>27</v>
      </c>
      <c r="C16" s="165"/>
      <c r="D16" s="166"/>
      <c r="E16" s="240"/>
      <c r="F16" s="173"/>
      <c r="G16" s="167"/>
      <c r="H16" s="168"/>
      <c r="I16" s="169"/>
      <c r="J16" s="438"/>
      <c r="M16" s="3"/>
      <c r="O16" s="1"/>
    </row>
    <row r="17" spans="1:18" ht="15" customHeight="1">
      <c r="A17" s="156"/>
      <c r="B17" s="106"/>
      <c r="C17" s="105" t="s">
        <v>28</v>
      </c>
      <c r="D17" s="866"/>
      <c r="E17" s="158">
        <f>ROUND(Sliding_Scale(D17,1.2,1.95,4,0),Round)</f>
        <v>0</v>
      </c>
      <c r="F17" s="867"/>
      <c r="G17" s="123">
        <f>ROUND(Sliding_Scale(F17,1.2,1.95,4,0),Round)</f>
        <v>0</v>
      </c>
      <c r="H17" s="908"/>
      <c r="I17" s="159">
        <f>ROUND(Sliding_Scale(H17,1.2,1.95,1,0),Round)</f>
        <v>0</v>
      </c>
      <c r="J17" s="438"/>
    </row>
    <row r="18" spans="1:18" ht="15" customHeight="1">
      <c r="A18" s="156"/>
      <c r="B18" s="106"/>
      <c r="C18" s="105" t="s">
        <v>57</v>
      </c>
      <c r="D18" s="866"/>
      <c r="E18" s="158">
        <f>ROUND(Sliding_Scale(D18,1.7,2.62,4,0),Round)</f>
        <v>0</v>
      </c>
      <c r="F18" s="867"/>
      <c r="G18" s="123">
        <f>ROUND(Sliding_Scale(F18,1.7,2.62,4,0),Round)</f>
        <v>0</v>
      </c>
      <c r="H18" s="908"/>
      <c r="I18" s="159">
        <f>ROUND(Sliding_Scale(H18,1.7,2.62,1,0),Round)</f>
        <v>0</v>
      </c>
      <c r="J18" s="438"/>
    </row>
    <row r="19" spans="1:18" ht="15" customHeight="1" thickBot="1">
      <c r="A19" s="156"/>
      <c r="B19" s="170"/>
      <c r="C19" s="108" t="s">
        <v>47</v>
      </c>
      <c r="D19" s="910"/>
      <c r="E19" s="241">
        <f>ROUND(Sliding_Scale(D19,36,49,4,0),Round)</f>
        <v>0</v>
      </c>
      <c r="F19" s="911"/>
      <c r="G19" s="171">
        <f>ROUND(Sliding_Scale(F19,36,49,4,0),Round)</f>
        <v>0</v>
      </c>
      <c r="H19" s="912"/>
      <c r="I19" s="172">
        <f>ROUND(Sliding_Scale(H19,36,49,2,0),Round)</f>
        <v>0</v>
      </c>
      <c r="J19" s="438"/>
    </row>
    <row r="20" spans="1:18" ht="15" customHeight="1" thickBot="1">
      <c r="A20" s="156"/>
      <c r="B20" s="1358" t="s">
        <v>107</v>
      </c>
      <c r="C20" s="1470"/>
      <c r="D20" s="1447">
        <f>IF(D6="Yes",MIN(E17:E19),0)</f>
        <v>0</v>
      </c>
      <c r="E20" s="1361"/>
      <c r="F20" s="1448">
        <f>MIN(G17:G19)</f>
        <v>0</v>
      </c>
      <c r="G20" s="1361"/>
      <c r="H20" s="1360">
        <f>SUM(I17:I19)</f>
        <v>0</v>
      </c>
      <c r="I20" s="1446"/>
      <c r="J20" s="438"/>
    </row>
    <row r="21" spans="1:18" ht="15" customHeight="1" thickBot="1">
      <c r="A21" s="156"/>
      <c r="B21" s="95"/>
      <c r="C21" s="95"/>
      <c r="D21" s="1436"/>
      <c r="E21" s="1436"/>
      <c r="F21" s="1436"/>
      <c r="G21" s="1436"/>
      <c r="H21" s="1436"/>
      <c r="I21" s="1436"/>
    </row>
    <row r="22" spans="1:18" ht="15" customHeight="1">
      <c r="A22" s="156"/>
      <c r="B22" s="164" t="s">
        <v>59</v>
      </c>
      <c r="C22" s="173"/>
      <c r="D22" s="166"/>
      <c r="E22" s="240"/>
      <c r="F22" s="173"/>
      <c r="G22" s="240"/>
      <c r="H22" s="173"/>
      <c r="I22" s="169"/>
      <c r="J22" s="438"/>
    </row>
    <row r="23" spans="1:18" ht="15" customHeight="1">
      <c r="A23" s="156"/>
      <c r="B23" s="106"/>
      <c r="C23" s="104" t="s">
        <v>60</v>
      </c>
      <c r="D23" s="866"/>
      <c r="E23" s="158">
        <f>ROUND(Sliding_Scale(D23,18,34,4,0),Round)</f>
        <v>0</v>
      </c>
      <c r="F23" s="867"/>
      <c r="G23" s="158">
        <f>ROUND(Sliding_Scale(F23,18,34,4,0),Round)</f>
        <v>0</v>
      </c>
      <c r="H23" s="867"/>
      <c r="I23" s="159">
        <f>ROUND(Sliding_Scale(H23,18,34,4,0),Round)</f>
        <v>0</v>
      </c>
      <c r="J23" s="10"/>
      <c r="K23" s="9"/>
      <c r="L23" s="9"/>
      <c r="M23" s="9"/>
      <c r="N23" s="9"/>
      <c r="O23" s="629"/>
      <c r="P23" s="9"/>
      <c r="Q23" s="9"/>
      <c r="R23" s="9"/>
    </row>
    <row r="24" spans="1:18" ht="15" customHeight="1">
      <c r="A24" s="156"/>
      <c r="B24" s="106"/>
      <c r="C24" s="104" t="s">
        <v>48</v>
      </c>
      <c r="D24" s="866"/>
      <c r="E24" s="158">
        <f>ROUND(Sliding_Scale(D24,0.5,1,4,0),Round)</f>
        <v>0</v>
      </c>
      <c r="F24" s="867"/>
      <c r="G24" s="158">
        <f>ROUND(Sliding_Scale(F24,0.5,1,4,0),Round)</f>
        <v>0</v>
      </c>
      <c r="H24" s="867"/>
      <c r="I24" s="159">
        <f>ROUND(Sliding_Scale(H24,0.5,1,4,0),Round)</f>
        <v>0</v>
      </c>
      <c r="J24" s="10"/>
      <c r="K24" s="9"/>
      <c r="L24" s="9"/>
      <c r="M24" s="9"/>
      <c r="N24" s="9"/>
      <c r="O24" s="629"/>
      <c r="P24" s="9"/>
      <c r="Q24" s="9"/>
      <c r="R24" s="9"/>
    </row>
    <row r="25" spans="1:18" ht="15" customHeight="1">
      <c r="A25" s="156"/>
      <c r="B25" s="106"/>
      <c r="C25" s="149" t="s">
        <v>370</v>
      </c>
      <c r="D25" s="866"/>
      <c r="E25" s="158">
        <f>IF(D25&gt;6,-2,0)</f>
        <v>0</v>
      </c>
      <c r="F25" s="908"/>
      <c r="G25" s="158">
        <f>IF(F25&gt;6,-2,0)</f>
        <v>0</v>
      </c>
      <c r="H25" s="867"/>
      <c r="I25" s="159">
        <f>IF(H25&gt;6,-2,0)</f>
        <v>0</v>
      </c>
      <c r="J25" s="10"/>
      <c r="K25" s="9"/>
      <c r="L25" s="9"/>
      <c r="M25" s="9"/>
      <c r="N25" s="9"/>
      <c r="O25" s="629"/>
      <c r="P25" s="9"/>
      <c r="Q25" s="9"/>
      <c r="R25" s="9"/>
    </row>
    <row r="26" spans="1:18" ht="15" customHeight="1">
      <c r="A26" s="156"/>
      <c r="B26" s="106"/>
      <c r="C26" s="104" t="s">
        <v>106</v>
      </c>
      <c r="D26" s="868"/>
      <c r="E26" s="158">
        <f>D26</f>
        <v>0</v>
      </c>
      <c r="F26" s="181"/>
      <c r="G26" s="158"/>
      <c r="H26" s="869"/>
      <c r="I26" s="159">
        <f>H26</f>
        <v>0</v>
      </c>
      <c r="J26" s="10"/>
      <c r="K26" s="9"/>
      <c r="L26" s="9"/>
      <c r="M26" s="9"/>
      <c r="N26" s="9"/>
      <c r="O26" s="629"/>
      <c r="P26" s="9"/>
      <c r="Q26" s="9"/>
      <c r="R26" s="9"/>
    </row>
    <row r="27" spans="1:18" ht="15" customHeight="1" thickBot="1">
      <c r="A27" s="156"/>
      <c r="B27" s="106"/>
      <c r="C27" s="104" t="s">
        <v>83</v>
      </c>
      <c r="D27" s="868"/>
      <c r="E27" s="158">
        <f>D27</f>
        <v>0</v>
      </c>
      <c r="F27" s="104"/>
      <c r="G27" s="241"/>
      <c r="H27" s="154"/>
      <c r="I27" s="159"/>
      <c r="J27" s="10"/>
      <c r="K27" s="9"/>
      <c r="L27" s="9"/>
      <c r="M27" s="9"/>
      <c r="N27" s="9"/>
      <c r="O27" s="629"/>
      <c r="P27" s="9"/>
      <c r="Q27" s="9"/>
      <c r="R27" s="9"/>
    </row>
    <row r="28" spans="1:18" ht="15" customHeight="1" thickBot="1">
      <c r="A28" s="156"/>
      <c r="B28" s="150" t="s">
        <v>51</v>
      </c>
      <c r="C28" s="151"/>
      <c r="D28" s="1447">
        <f>MAX(MIN(E23:E24)+E25+E26+E27,0)</f>
        <v>0</v>
      </c>
      <c r="E28" s="1361"/>
      <c r="F28" s="1448">
        <f>MAX(MIN(G23:G24)+G25,0)</f>
        <v>0</v>
      </c>
      <c r="G28" s="1361"/>
      <c r="H28" s="1360">
        <f>MAX(MIN(I23:I24)+I25+I26,0)</f>
        <v>0</v>
      </c>
      <c r="I28" s="1446"/>
      <c r="J28" s="10"/>
      <c r="K28" s="9"/>
      <c r="L28" s="9"/>
      <c r="M28" s="9"/>
      <c r="N28" s="9"/>
      <c r="O28" s="9"/>
      <c r="P28" s="629"/>
      <c r="Q28" s="9"/>
      <c r="R28" s="9"/>
    </row>
    <row r="29" spans="1:18" ht="15" customHeight="1" thickBot="1">
      <c r="A29" s="156"/>
      <c r="B29" s="95"/>
      <c r="C29" s="95"/>
      <c r="D29" s="1436"/>
      <c r="E29" s="1436"/>
      <c r="F29" s="1436"/>
      <c r="G29" s="1436"/>
      <c r="H29" s="1436"/>
      <c r="I29" s="1436"/>
      <c r="J29" s="9"/>
      <c r="K29" s="9"/>
      <c r="L29" s="9"/>
      <c r="M29" s="9"/>
      <c r="N29" s="9"/>
      <c r="O29" s="629"/>
      <c r="P29" s="9"/>
      <c r="Q29" s="9"/>
      <c r="R29" s="9"/>
    </row>
    <row r="30" spans="1:18" ht="15" customHeight="1">
      <c r="A30" s="156"/>
      <c r="B30" s="164" t="s">
        <v>61</v>
      </c>
      <c r="C30" s="173"/>
      <c r="D30" s="166"/>
      <c r="E30" s="240"/>
      <c r="F30" s="173"/>
      <c r="G30" s="240"/>
      <c r="H30" s="173"/>
      <c r="I30" s="169"/>
      <c r="J30" s="10"/>
      <c r="K30" s="9"/>
      <c r="L30" s="9"/>
      <c r="M30" s="9"/>
      <c r="N30" s="9"/>
      <c r="O30" s="629"/>
      <c r="P30" s="9"/>
      <c r="Q30" s="9"/>
      <c r="R30" s="9"/>
    </row>
    <row r="31" spans="1:18" ht="15" customHeight="1">
      <c r="A31" s="156"/>
      <c r="B31" s="106"/>
      <c r="C31" s="104" t="s">
        <v>69</v>
      </c>
      <c r="D31" s="866"/>
      <c r="E31" s="158"/>
      <c r="F31" s="867"/>
      <c r="G31" s="158"/>
      <c r="H31" s="867"/>
      <c r="I31" s="159"/>
      <c r="J31" s="10"/>
      <c r="K31" s="9"/>
      <c r="L31" s="9"/>
      <c r="M31" s="9"/>
      <c r="N31" s="9"/>
      <c r="O31" s="629"/>
      <c r="P31" s="9"/>
      <c r="Q31" s="9"/>
      <c r="R31" s="9"/>
    </row>
    <row r="32" spans="1:18" ht="15" customHeight="1">
      <c r="A32" s="156"/>
      <c r="B32" s="106"/>
      <c r="C32" s="104" t="s">
        <v>70</v>
      </c>
      <c r="D32" s="866"/>
      <c r="E32" s="158">
        <f>ROUND(Sliding_Scale(D32,2.6,6.2,4,0),Round)</f>
        <v>0</v>
      </c>
      <c r="F32" s="867"/>
      <c r="G32" s="158">
        <f>ROUND(Sliding_Scale(F32,2.6,6.2,4,0),Round)</f>
        <v>0</v>
      </c>
      <c r="H32" s="867"/>
      <c r="I32" s="159">
        <f>ROUND(Sliding_Scale(H32,2.6,6.2,4,0),Round)</f>
        <v>0</v>
      </c>
      <c r="J32" s="10"/>
      <c r="K32" s="9"/>
      <c r="L32" s="9"/>
      <c r="M32"/>
      <c r="N32" s="9"/>
      <c r="O32" s="629"/>
      <c r="P32" s="9"/>
      <c r="Q32" s="9"/>
      <c r="R32" s="9"/>
    </row>
    <row r="33" spans="1:18" ht="15" customHeight="1" thickBot="1">
      <c r="A33" s="156"/>
      <c r="B33" s="106"/>
      <c r="C33" s="104" t="s">
        <v>106</v>
      </c>
      <c r="D33" s="868"/>
      <c r="E33" s="158">
        <f>D33</f>
        <v>0</v>
      </c>
      <c r="F33" s="181"/>
      <c r="G33" s="158"/>
      <c r="H33" s="869"/>
      <c r="I33" s="159">
        <f>H33</f>
        <v>0</v>
      </c>
      <c r="J33" s="10"/>
      <c r="K33" s="9"/>
      <c r="L33" s="9"/>
      <c r="M33" s="9"/>
      <c r="N33" s="9"/>
      <c r="O33" s="629"/>
      <c r="P33" s="9"/>
      <c r="Q33" s="9"/>
      <c r="R33" s="9"/>
    </row>
    <row r="34" spans="1:18" ht="15" customHeight="1" thickBot="1">
      <c r="A34" s="156"/>
      <c r="B34" s="1466" t="s">
        <v>108</v>
      </c>
      <c r="C34" s="1467"/>
      <c r="D34" s="248"/>
      <c r="E34" s="242">
        <f>MAX(MIN(E32:E32)+E33,0)</f>
        <v>0</v>
      </c>
      <c r="F34" s="249"/>
      <c r="G34" s="242">
        <f>MAX(MIN(G31:G32),0)</f>
        <v>0</v>
      </c>
      <c r="H34" s="249"/>
      <c r="I34" s="174">
        <f>MAX(MIN(I32:I32)+I33,0)</f>
        <v>0</v>
      </c>
      <c r="J34" s="10"/>
      <c r="K34" s="9"/>
      <c r="L34" s="9"/>
      <c r="M34" s="9"/>
      <c r="N34" s="9"/>
      <c r="O34" s="629"/>
      <c r="P34" s="9"/>
      <c r="Q34" s="9"/>
      <c r="R34" s="9"/>
    </row>
    <row r="35" spans="1:18" ht="15" customHeight="1">
      <c r="A35" s="156"/>
      <c r="B35" s="106"/>
      <c r="C35" s="104" t="s">
        <v>71</v>
      </c>
      <c r="D35" s="866"/>
      <c r="E35" s="158"/>
      <c r="F35" s="867"/>
      <c r="G35" s="158"/>
      <c r="H35" s="867"/>
      <c r="I35" s="159"/>
      <c r="J35" s="10"/>
      <c r="K35" s="9"/>
      <c r="L35" s="9"/>
      <c r="M35" s="9"/>
      <c r="N35" s="9"/>
      <c r="O35" s="629"/>
      <c r="P35" s="9"/>
      <c r="Q35" s="9"/>
      <c r="R35" s="9"/>
    </row>
    <row r="36" spans="1:18" ht="15" customHeight="1">
      <c r="A36" s="156"/>
      <c r="B36" s="106"/>
      <c r="C36" s="104" t="s">
        <v>72</v>
      </c>
      <c r="D36" s="866"/>
      <c r="E36" s="158">
        <f>ROUND(Sliding_Scale(D36,2.6,6.2,4,0),Round)</f>
        <v>0</v>
      </c>
      <c r="F36" s="867"/>
      <c r="G36" s="158">
        <f>ROUND(Sliding_Scale(F36,2.6,6.2,4,0),Round)</f>
        <v>0</v>
      </c>
      <c r="H36" s="867"/>
      <c r="I36" s="159">
        <f>ROUND(Sliding_Scale(H36,2.6,6.2,4,0),Round)</f>
        <v>0</v>
      </c>
      <c r="J36" s="10"/>
      <c r="K36" s="9"/>
      <c r="L36" s="9"/>
      <c r="M36" s="9"/>
      <c r="N36" s="9"/>
      <c r="O36" s="629"/>
      <c r="P36" s="9"/>
      <c r="Q36" s="9"/>
      <c r="R36" s="9"/>
    </row>
    <row r="37" spans="1:18" ht="15" customHeight="1" thickBot="1">
      <c r="A37" s="156"/>
      <c r="B37" s="106"/>
      <c r="C37" s="104" t="s">
        <v>106</v>
      </c>
      <c r="D37" s="868"/>
      <c r="E37" s="158">
        <f>D37</f>
        <v>0</v>
      </c>
      <c r="F37" s="181"/>
      <c r="G37" s="158"/>
      <c r="H37" s="869"/>
      <c r="I37" s="159">
        <f>H37</f>
        <v>0</v>
      </c>
      <c r="J37" s="10"/>
      <c r="K37" s="9"/>
      <c r="L37" s="9"/>
      <c r="M37" s="9"/>
      <c r="N37" s="9"/>
      <c r="O37" s="629"/>
      <c r="P37" s="9"/>
      <c r="Q37" s="9"/>
      <c r="R37" s="9"/>
    </row>
    <row r="38" spans="1:18" ht="15" customHeight="1" thickBot="1">
      <c r="A38" s="156"/>
      <c r="B38" s="1466" t="s">
        <v>109</v>
      </c>
      <c r="C38" s="1467"/>
      <c r="D38" s="248"/>
      <c r="E38" s="242">
        <f>MAX(MIN(E36:E36)+E37,0)</f>
        <v>0</v>
      </c>
      <c r="F38" s="249"/>
      <c r="G38" s="242">
        <f>MAX(MIN(G35:G36),0)</f>
        <v>0</v>
      </c>
      <c r="H38" s="249"/>
      <c r="I38" s="174">
        <f>MAX(MIN(I36:I36)+I37,0)</f>
        <v>0</v>
      </c>
      <c r="J38" s="10"/>
      <c r="K38" s="9"/>
      <c r="L38" s="9"/>
      <c r="M38" s="9"/>
      <c r="N38" s="9"/>
      <c r="O38" s="629"/>
      <c r="P38" s="9"/>
      <c r="Q38" s="9"/>
      <c r="R38" s="9"/>
    </row>
    <row r="39" spans="1:18" ht="15" customHeight="1">
      <c r="A39" s="156"/>
      <c r="B39" s="164"/>
      <c r="C39" s="165"/>
      <c r="D39" s="166"/>
      <c r="E39" s="240"/>
      <c r="F39" s="173"/>
      <c r="G39" s="240"/>
      <c r="H39" s="173"/>
      <c r="I39" s="169"/>
      <c r="J39" s="10"/>
      <c r="K39" s="9"/>
      <c r="L39" s="629"/>
      <c r="M39" s="9"/>
      <c r="N39" s="9"/>
      <c r="O39" s="629"/>
      <c r="P39" s="9"/>
      <c r="Q39" s="9"/>
      <c r="R39" s="9"/>
    </row>
    <row r="40" spans="1:18" ht="15" customHeight="1" thickBot="1">
      <c r="A40" s="156"/>
      <c r="B40" s="106"/>
      <c r="C40" s="105" t="s">
        <v>2676</v>
      </c>
      <c r="D40" s="1037"/>
      <c r="E40" s="158">
        <f>D40</f>
        <v>0</v>
      </c>
      <c r="F40" s="1037"/>
      <c r="G40" s="158">
        <f>F40</f>
        <v>0</v>
      </c>
      <c r="H40" s="1037"/>
      <c r="I40" s="159">
        <f>H40</f>
        <v>0</v>
      </c>
      <c r="J40" s="10"/>
      <c r="K40" s="9"/>
      <c r="L40" s="9"/>
      <c r="M40" s="9"/>
      <c r="N40" s="9"/>
      <c r="O40" s="629"/>
      <c r="P40" s="9"/>
      <c r="Q40" s="9"/>
      <c r="R40" s="9"/>
    </row>
    <row r="41" spans="1:18" ht="15" customHeight="1" thickBot="1">
      <c r="A41" s="156"/>
      <c r="B41" s="1466" t="s">
        <v>53</v>
      </c>
      <c r="C41" s="1467"/>
      <c r="D41" s="248" t="str">
        <f>IF(E41=0,"Green",IF(E41=-4,"Red"))</f>
        <v>Green</v>
      </c>
      <c r="E41" s="243">
        <f>E40</f>
        <v>0</v>
      </c>
      <c r="F41" s="249" t="str">
        <f>IF(G41=0,"Green",IF(G41=-4,"Red"))</f>
        <v>Green</v>
      </c>
      <c r="G41" s="243">
        <f>G40</f>
        <v>0</v>
      </c>
      <c r="H41" s="249" t="str">
        <f>IF(I41=0,"Green",IF(I41=-4,"Red"))</f>
        <v>Green</v>
      </c>
      <c r="I41" s="174">
        <f>I40</f>
        <v>0</v>
      </c>
      <c r="J41" s="10"/>
      <c r="K41" s="9"/>
      <c r="L41" s="629"/>
      <c r="M41" s="9"/>
      <c r="N41" s="9"/>
      <c r="O41" s="629"/>
      <c r="P41" s="9"/>
      <c r="Q41" s="9"/>
      <c r="R41" s="9"/>
    </row>
    <row r="42" spans="1:18" ht="15" customHeight="1" thickBot="1">
      <c r="A42" s="145"/>
      <c r="B42" s="99"/>
      <c r="C42" s="176"/>
      <c r="D42" s="95"/>
      <c r="E42" s="244"/>
      <c r="F42" s="95"/>
      <c r="G42" s="252"/>
      <c r="H42" s="97"/>
      <c r="I42" s="159"/>
      <c r="J42" s="10"/>
      <c r="K42" s="9"/>
      <c r="L42" s="9"/>
      <c r="M42" s="9"/>
      <c r="N42" s="9"/>
      <c r="O42" s="629"/>
      <c r="P42" s="9"/>
      <c r="Q42" s="9"/>
      <c r="R42" s="9"/>
    </row>
    <row r="43" spans="1:18" ht="15" customHeight="1" thickBot="1">
      <c r="A43" s="145"/>
      <c r="B43" s="1474" t="s">
        <v>29</v>
      </c>
      <c r="C43" s="1475"/>
      <c r="D43" s="1389">
        <f>MAX(MIN(E34,E38)+E41,0)</f>
        <v>0</v>
      </c>
      <c r="E43" s="1390"/>
      <c r="F43" s="1449">
        <f>MAX(MIN(G34,G38)+G41,0)</f>
        <v>0</v>
      </c>
      <c r="G43" s="1390"/>
      <c r="H43" s="1472">
        <f>MAX(MIN(I34,I38)+I41,0)</f>
        <v>0</v>
      </c>
      <c r="I43" s="1473"/>
      <c r="J43" s="10"/>
      <c r="K43" s="9"/>
      <c r="L43" s="9"/>
      <c r="M43" s="9"/>
      <c r="N43" s="9"/>
      <c r="O43" s="629"/>
      <c r="P43" s="9"/>
      <c r="Q43" s="9"/>
      <c r="R43" s="9"/>
    </row>
    <row r="44" spans="1:18" ht="15" customHeight="1" thickBot="1">
      <c r="A44" s="145"/>
      <c r="B44" s="95"/>
      <c r="C44" s="113"/>
      <c r="D44" s="95"/>
      <c r="E44" s="122"/>
      <c r="F44" s="95"/>
      <c r="G44" s="122"/>
      <c r="H44" s="97"/>
      <c r="I44" s="122"/>
      <c r="J44" s="9"/>
      <c r="K44" s="9"/>
      <c r="L44" s="9"/>
      <c r="M44" s="9"/>
      <c r="N44" s="9"/>
      <c r="O44" s="629"/>
      <c r="P44" s="9"/>
      <c r="Q44" s="9"/>
      <c r="R44" s="9"/>
    </row>
    <row r="45" spans="1:18" ht="15" customHeight="1">
      <c r="A45" s="145"/>
      <c r="B45" s="164" t="s">
        <v>73</v>
      </c>
      <c r="C45" s="173"/>
      <c r="D45" s="166"/>
      <c r="E45" s="240"/>
      <c r="F45" s="173"/>
      <c r="G45" s="167"/>
      <c r="H45" s="168"/>
      <c r="I45" s="169"/>
      <c r="J45" s="10"/>
      <c r="K45" s="9"/>
      <c r="L45" s="9"/>
      <c r="M45" s="9"/>
      <c r="N45" s="9"/>
      <c r="O45" s="629"/>
      <c r="P45" s="9"/>
      <c r="Q45" s="9"/>
      <c r="R45" s="9"/>
    </row>
    <row r="46" spans="1:18" ht="15" customHeight="1">
      <c r="A46" s="145"/>
      <c r="B46" s="106"/>
      <c r="C46" s="104" t="s">
        <v>30</v>
      </c>
      <c r="D46" s="865"/>
      <c r="E46" s="158"/>
      <c r="F46" s="1039"/>
      <c r="G46" s="123"/>
      <c r="H46" s="157"/>
      <c r="I46" s="159"/>
      <c r="J46" s="10"/>
      <c r="K46" s="9"/>
      <c r="L46" s="9"/>
      <c r="M46" s="9"/>
      <c r="N46" s="9"/>
      <c r="O46" s="629"/>
      <c r="P46" s="9"/>
      <c r="Q46" s="9"/>
      <c r="R46" s="9"/>
    </row>
    <row r="47" spans="1:18" ht="15" customHeight="1">
      <c r="A47" s="145"/>
      <c r="B47" s="106"/>
      <c r="C47" s="104" t="s">
        <v>74</v>
      </c>
      <c r="D47" s="865"/>
      <c r="E47" s="158"/>
      <c r="F47" s="1039"/>
      <c r="G47" s="123"/>
      <c r="H47" s="157"/>
      <c r="I47" s="159"/>
      <c r="J47" s="10"/>
      <c r="K47" s="9"/>
      <c r="L47" s="9"/>
      <c r="M47" s="9"/>
      <c r="N47" s="9"/>
      <c r="O47" s="629"/>
      <c r="P47" s="9"/>
      <c r="Q47" s="9"/>
      <c r="R47" s="9"/>
    </row>
    <row r="48" spans="1:18" ht="15" customHeight="1">
      <c r="A48" s="145"/>
      <c r="B48" s="106"/>
      <c r="C48" s="104" t="s">
        <v>75</v>
      </c>
      <c r="D48" s="865"/>
      <c r="E48" s="158"/>
      <c r="F48" s="1039"/>
      <c r="G48" s="123"/>
      <c r="H48" s="157"/>
      <c r="I48" s="159"/>
      <c r="J48" s="10"/>
      <c r="K48" s="9"/>
      <c r="L48" s="9"/>
      <c r="M48" s="9"/>
      <c r="N48" s="9"/>
      <c r="O48" s="629"/>
      <c r="P48" s="9"/>
      <c r="Q48" s="9"/>
      <c r="R48" s="9"/>
    </row>
    <row r="49" spans="1:18" ht="15" customHeight="1">
      <c r="A49" s="145"/>
      <c r="B49" s="106"/>
      <c r="C49" s="104"/>
      <c r="D49" s="161"/>
      <c r="E49" s="158"/>
      <c r="F49" s="104"/>
      <c r="G49" s="123"/>
      <c r="H49" s="181"/>
      <c r="I49" s="159"/>
      <c r="J49" s="10"/>
      <c r="K49" s="9"/>
      <c r="L49" s="9"/>
      <c r="M49" s="9"/>
      <c r="N49" s="9"/>
      <c r="O49" s="629"/>
      <c r="P49" s="9"/>
      <c r="Q49" s="9"/>
      <c r="R49" s="9"/>
    </row>
    <row r="50" spans="1:18" ht="15" customHeight="1">
      <c r="A50" s="145"/>
      <c r="B50" s="106"/>
      <c r="C50" s="104" t="s">
        <v>32</v>
      </c>
      <c r="D50" s="865"/>
      <c r="E50" s="158"/>
      <c r="F50" s="1039"/>
      <c r="G50" s="123"/>
      <c r="H50" s="157"/>
      <c r="I50" s="159"/>
      <c r="J50" s="10"/>
      <c r="K50" s="9"/>
      <c r="L50" s="9"/>
      <c r="M50" s="9"/>
      <c r="N50" s="9"/>
      <c r="O50" s="629"/>
      <c r="P50" s="9"/>
      <c r="Q50" s="9"/>
      <c r="R50" s="9"/>
    </row>
    <row r="51" spans="1:18" ht="15" customHeight="1">
      <c r="A51" s="145"/>
      <c r="B51" s="106"/>
      <c r="C51" s="104" t="s">
        <v>76</v>
      </c>
      <c r="D51" s="865"/>
      <c r="E51" s="158"/>
      <c r="F51" s="1039"/>
      <c r="G51" s="123"/>
      <c r="H51" s="157"/>
      <c r="I51" s="159"/>
      <c r="J51" s="10"/>
      <c r="K51" s="9"/>
      <c r="L51" s="9"/>
      <c r="M51" s="9"/>
      <c r="N51" s="9"/>
      <c r="O51" s="629"/>
      <c r="P51" s="9"/>
      <c r="Q51" s="9"/>
      <c r="R51" s="9"/>
    </row>
    <row r="52" spans="1:18" ht="15" customHeight="1" thickBot="1">
      <c r="A52" s="145"/>
      <c r="B52" s="106"/>
      <c r="C52" s="104" t="s">
        <v>77</v>
      </c>
      <c r="D52" s="865"/>
      <c r="E52" s="241"/>
      <c r="F52" s="1039"/>
      <c r="G52" s="123"/>
      <c r="H52" s="157"/>
      <c r="I52" s="159"/>
      <c r="J52" s="10"/>
      <c r="K52" s="9"/>
      <c r="L52" s="9"/>
      <c r="M52" s="9"/>
      <c r="N52" s="9"/>
      <c r="O52" s="629"/>
      <c r="P52" s="9"/>
      <c r="Q52" s="9"/>
      <c r="R52" s="9"/>
    </row>
    <row r="53" spans="1:18" ht="15" customHeight="1" thickBot="1">
      <c r="A53" s="145"/>
      <c r="B53" s="97"/>
      <c r="C53" s="177"/>
      <c r="D53" s="97"/>
      <c r="E53" s="178"/>
      <c r="F53" s="97"/>
      <c r="G53" s="178"/>
      <c r="H53" s="97"/>
      <c r="I53" s="178"/>
      <c r="J53" s="9"/>
      <c r="K53" s="9"/>
      <c r="L53" s="9"/>
      <c r="M53" s="9"/>
      <c r="N53" s="9"/>
      <c r="O53" s="629"/>
      <c r="P53" s="9"/>
      <c r="Q53" s="9"/>
      <c r="R53" s="9"/>
    </row>
    <row r="54" spans="1:18" ht="15" customHeight="1" thickBot="1">
      <c r="A54" s="145"/>
      <c r="B54" s="1387" t="s">
        <v>37</v>
      </c>
      <c r="C54" s="1388"/>
      <c r="D54" s="162"/>
      <c r="E54" s="243"/>
      <c r="F54" s="245"/>
      <c r="G54" s="175"/>
      <c r="H54" s="163"/>
      <c r="I54" s="174"/>
      <c r="J54" s="10"/>
      <c r="K54" s="9"/>
      <c r="L54" s="9"/>
      <c r="M54" s="9"/>
      <c r="N54" s="9"/>
      <c r="O54" s="629"/>
      <c r="P54" s="9"/>
      <c r="Q54" s="9"/>
      <c r="R54" s="9"/>
    </row>
    <row r="55" spans="1:18" ht="15" customHeight="1">
      <c r="A55" s="145"/>
      <c r="B55" s="106"/>
      <c r="C55" s="160" t="s">
        <v>45</v>
      </c>
      <c r="D55" s="1441">
        <f>D14</f>
        <v>0</v>
      </c>
      <c r="E55" s="1442"/>
      <c r="F55" s="1445">
        <f>F14</f>
        <v>0</v>
      </c>
      <c r="G55" s="1442"/>
      <c r="H55" s="1443">
        <f>H14</f>
        <v>0</v>
      </c>
      <c r="I55" s="1444"/>
      <c r="J55" s="10"/>
      <c r="K55" s="9"/>
      <c r="L55" s="9"/>
      <c r="M55" s="9"/>
      <c r="N55" s="9"/>
      <c r="O55" s="629"/>
      <c r="P55" s="9"/>
      <c r="Q55" s="9"/>
      <c r="R55" s="9"/>
    </row>
    <row r="56" spans="1:18" ht="15" customHeight="1">
      <c r="A56" s="145"/>
      <c r="B56" s="106"/>
      <c r="C56" s="160" t="s">
        <v>107</v>
      </c>
      <c r="D56" s="1437">
        <f>D20</f>
        <v>0</v>
      </c>
      <c r="E56" s="1438"/>
      <c r="F56" s="1471">
        <f>F20</f>
        <v>0</v>
      </c>
      <c r="G56" s="1438"/>
      <c r="H56" s="1439">
        <f>H20</f>
        <v>0</v>
      </c>
      <c r="I56" s="1440"/>
      <c r="J56" s="10"/>
      <c r="K56" s="9"/>
      <c r="L56" s="9"/>
      <c r="M56" s="9"/>
      <c r="N56" s="9"/>
      <c r="O56" s="629"/>
      <c r="P56" s="9"/>
      <c r="Q56" s="9"/>
      <c r="R56" s="9"/>
    </row>
    <row r="57" spans="1:18" ht="15" customHeight="1">
      <c r="A57" s="145"/>
      <c r="B57" s="106"/>
      <c r="C57" s="160" t="s">
        <v>51</v>
      </c>
      <c r="D57" s="1476">
        <f>D28</f>
        <v>0</v>
      </c>
      <c r="E57" s="1477"/>
      <c r="F57" s="1479">
        <f>F28</f>
        <v>0</v>
      </c>
      <c r="G57" s="1477"/>
      <c r="H57" s="1439">
        <f>H28</f>
        <v>0</v>
      </c>
      <c r="I57" s="1440"/>
      <c r="J57" s="10"/>
      <c r="K57" s="9"/>
      <c r="L57" s="9"/>
      <c r="M57" s="9"/>
      <c r="N57" s="9"/>
      <c r="O57" s="629"/>
      <c r="P57" s="9"/>
      <c r="Q57" s="9"/>
      <c r="R57" s="9"/>
    </row>
    <row r="58" spans="1:18" ht="15" customHeight="1" thickBot="1">
      <c r="A58" s="145"/>
      <c r="B58" s="170"/>
      <c r="C58" s="179" t="s">
        <v>29</v>
      </c>
      <c r="D58" s="1482">
        <f>D43</f>
        <v>0</v>
      </c>
      <c r="E58" s="1481"/>
      <c r="F58" s="1480">
        <f>F43</f>
        <v>0</v>
      </c>
      <c r="G58" s="1481"/>
      <c r="H58" s="1468">
        <f>H43</f>
        <v>0</v>
      </c>
      <c r="I58" s="1469"/>
      <c r="J58" s="10"/>
      <c r="K58" s="9"/>
      <c r="L58" s="9"/>
      <c r="M58" s="9"/>
      <c r="N58" s="9"/>
      <c r="O58" s="629"/>
      <c r="P58" s="9"/>
      <c r="Q58" s="9"/>
      <c r="R58" s="9"/>
    </row>
    <row r="59" spans="1:18" ht="15" customHeight="1" thickBot="1">
      <c r="B59" s="1395" t="s">
        <v>781</v>
      </c>
      <c r="C59" s="1396"/>
      <c r="D59" s="1416">
        <f>ROUND(SUM(D55:E58),Round)</f>
        <v>0</v>
      </c>
      <c r="E59" s="1478"/>
      <c r="F59" s="1417">
        <f>ROUND(SUM(F55:G58),Round)</f>
        <v>0</v>
      </c>
      <c r="G59" s="1417"/>
      <c r="H59" s="1418">
        <f>ROUND(SUM(H55:I58),Round)</f>
        <v>0</v>
      </c>
      <c r="I59" s="1419"/>
      <c r="J59" s="10"/>
      <c r="K59" s="9"/>
      <c r="L59" s="9"/>
      <c r="M59" s="9"/>
      <c r="N59" s="9"/>
      <c r="O59" s="629"/>
      <c r="P59" s="9"/>
      <c r="Q59" s="9"/>
      <c r="R59" s="9"/>
    </row>
    <row r="60" spans="1:18" ht="15" customHeight="1" thickBot="1">
      <c r="B60" s="25"/>
      <c r="C60" s="26"/>
      <c r="D60" s="25"/>
      <c r="E60" s="27"/>
      <c r="F60" s="25"/>
      <c r="G60" s="27"/>
      <c r="H60" s="25"/>
      <c r="I60" s="27"/>
      <c r="J60" s="9"/>
      <c r="K60" s="9"/>
      <c r="L60" s="9"/>
      <c r="M60" s="9"/>
      <c r="N60" s="9"/>
      <c r="O60" s="629"/>
      <c r="P60" s="9"/>
      <c r="Q60" s="9"/>
      <c r="R60" s="9"/>
    </row>
    <row r="61" spans="1:18" ht="15" customHeight="1" thickBot="1">
      <c r="B61" s="1395" t="s">
        <v>54</v>
      </c>
      <c r="C61" s="1396"/>
      <c r="D61" s="1400">
        <v>0</v>
      </c>
      <c r="E61" s="1401"/>
      <c r="F61" s="1401"/>
      <c r="G61" s="1401"/>
      <c r="H61" s="1401"/>
      <c r="I61" s="1402"/>
      <c r="J61" s="10"/>
      <c r="K61" s="9"/>
      <c r="L61" s="9"/>
      <c r="M61" s="9"/>
      <c r="N61" s="9"/>
      <c r="O61" s="629"/>
      <c r="P61" s="9"/>
      <c r="Q61" s="9"/>
      <c r="R61" s="9"/>
    </row>
    <row r="62" spans="1:18" ht="15" customHeight="1" thickBot="1">
      <c r="D62" s="1435" t="b">
        <f>IF(OR(D55=0,D56=0,D57=0,F55=0,F57=0,H55=0,H57=0),TRUE,FALSE)</f>
        <v>1</v>
      </c>
      <c r="E62" s="1435"/>
      <c r="F62" s="1435"/>
      <c r="G62" s="1435"/>
      <c r="H62" s="1435"/>
      <c r="I62" s="1435"/>
      <c r="J62" s="9"/>
      <c r="K62" s="9"/>
      <c r="L62" s="629"/>
      <c r="M62" s="9"/>
      <c r="N62" s="9"/>
      <c r="O62" s="629"/>
      <c r="P62" s="9"/>
      <c r="Q62" s="9"/>
      <c r="R62" s="9"/>
    </row>
    <row r="63" spans="1:18" ht="21.75" thickBot="1">
      <c r="B63" s="1420" t="s">
        <v>490</v>
      </c>
      <c r="C63" s="1421"/>
      <c r="D63" s="1422">
        <f>IF(OR(D7&gt;=120,D8&gt;=700,D9&gt;=80,D17&gt;=2.7,D18&gt;=2.9,D19&gt;=57,D23&gt;=34,D24&gt;=1,AND(I6="Yes",H8&gt;=700),H9&gt;=80,H23&gt;=34,H24&gt;=1),0,ROUND(MAX(IF(F59&lt;0.9*D59,(0.5*(MIN(D55:G55)+MIN(D56:G56)+MIN(D57:G57)+MIN(D58:G58))+H59)/4*IF('General Overview'!C17=0,2,1)+D61,(D59+H59)/4*IF('General Overview'!C17=0,2,1)+D61),0),Round))</f>
        <v>0</v>
      </c>
      <c r="E63" s="1423"/>
      <c r="F63" s="1423"/>
      <c r="G63" s="1423"/>
      <c r="H63" s="1423"/>
      <c r="I63" s="1424"/>
      <c r="J63" s="831"/>
      <c r="K63" s="9"/>
      <c r="L63" s="9"/>
      <c r="M63" s="9"/>
      <c r="N63" s="9"/>
      <c r="O63" s="629"/>
      <c r="P63" s="9"/>
      <c r="Q63" s="9"/>
      <c r="R63" s="9"/>
    </row>
    <row r="64" spans="1:18" ht="15" customHeight="1">
      <c r="E64" s="250"/>
      <c r="F64" s="251" t="s">
        <v>538</v>
      </c>
    </row>
    <row r="65" spans="2:10" ht="15" customHeight="1">
      <c r="H65" s="51"/>
      <c r="I65" s="51"/>
    </row>
    <row r="66" spans="2:10" ht="15" customHeight="1">
      <c r="H66" s="51"/>
      <c r="I66" s="51"/>
    </row>
    <row r="67" spans="2:10" ht="15" customHeight="1">
      <c r="H67" s="51"/>
      <c r="I67" s="51"/>
    </row>
    <row r="68" spans="2:10" ht="15" customHeight="1" thickBot="1"/>
    <row r="69" spans="2:10" ht="15" customHeight="1" thickBot="1">
      <c r="B69" s="1348" t="s">
        <v>390</v>
      </c>
      <c r="C69" s="1349"/>
      <c r="D69" s="1349"/>
      <c r="E69" s="1349"/>
      <c r="F69" s="1349"/>
      <c r="G69" s="1349"/>
      <c r="H69" s="1349"/>
      <c r="I69" s="1350"/>
      <c r="J69" s="438"/>
    </row>
    <row r="70" spans="2:10" ht="15" customHeight="1">
      <c r="B70" s="16" t="s">
        <v>363</v>
      </c>
      <c r="C70" s="34"/>
      <c r="D70" s="182"/>
      <c r="E70" s="37"/>
      <c r="F70" s="60"/>
      <c r="G70" s="60"/>
      <c r="H70" s="59"/>
      <c r="I70" s="33"/>
      <c r="J70" s="438"/>
    </row>
    <row r="71" spans="2:10" ht="15" customHeight="1">
      <c r="B71" s="183" t="s">
        <v>387</v>
      </c>
      <c r="C71" s="184" t="s">
        <v>380</v>
      </c>
      <c r="D71" s="877"/>
      <c r="E71" s="881"/>
      <c r="F71" s="872"/>
      <c r="G71" s="881"/>
      <c r="H71" s="913"/>
      <c r="I71" s="11"/>
      <c r="J71" s="438"/>
    </row>
    <row r="72" spans="2:10" ht="15" customHeight="1">
      <c r="B72" s="183"/>
      <c r="C72" s="184" t="s">
        <v>381</v>
      </c>
      <c r="D72" s="877"/>
      <c r="E72" s="881"/>
      <c r="F72" s="872"/>
      <c r="G72" s="881"/>
      <c r="H72" s="913"/>
      <c r="I72" s="11"/>
      <c r="J72" s="438"/>
    </row>
    <row r="73" spans="2:10" ht="15" customHeight="1">
      <c r="B73" s="183" t="s">
        <v>388</v>
      </c>
      <c r="C73" s="184" t="s">
        <v>380</v>
      </c>
      <c r="D73" s="877"/>
      <c r="E73" s="881"/>
      <c r="F73" s="872"/>
      <c r="G73" s="881"/>
      <c r="H73" s="913"/>
      <c r="I73" s="11"/>
      <c r="J73" s="438"/>
    </row>
    <row r="74" spans="2:10" ht="15" customHeight="1">
      <c r="B74" s="183"/>
      <c r="C74" s="184" t="s">
        <v>381</v>
      </c>
      <c r="D74" s="877"/>
      <c r="E74" s="881"/>
      <c r="F74" s="872"/>
      <c r="G74" s="881"/>
      <c r="H74" s="913"/>
      <c r="I74" s="11"/>
      <c r="J74" s="438"/>
    </row>
    <row r="75" spans="2:10" ht="15" customHeight="1">
      <c r="B75" s="183" t="s">
        <v>389</v>
      </c>
      <c r="C75" s="184" t="s">
        <v>380</v>
      </c>
      <c r="D75" s="877"/>
      <c r="E75" s="881"/>
      <c r="F75" s="872"/>
      <c r="G75" s="881"/>
      <c r="H75" s="913"/>
      <c r="I75" s="11"/>
      <c r="J75" s="438"/>
    </row>
    <row r="76" spans="2:10" ht="15" customHeight="1" thickBot="1">
      <c r="B76" s="183"/>
      <c r="C76" s="184" t="s">
        <v>381</v>
      </c>
      <c r="D76" s="877"/>
      <c r="E76" s="881"/>
      <c r="F76" s="872"/>
      <c r="G76" s="881"/>
      <c r="H76" s="913"/>
      <c r="I76" s="11"/>
      <c r="J76" s="438"/>
    </row>
    <row r="77" spans="2:10" ht="15" customHeight="1">
      <c r="B77" s="16" t="s">
        <v>354</v>
      </c>
      <c r="C77" s="186"/>
      <c r="D77" s="891"/>
      <c r="E77" s="889"/>
      <c r="F77" s="889"/>
      <c r="G77" s="889"/>
      <c r="H77" s="914"/>
      <c r="I77" s="33"/>
      <c r="J77" s="438"/>
    </row>
    <row r="78" spans="2:10" ht="15" customHeight="1">
      <c r="B78" s="183" t="s">
        <v>379</v>
      </c>
      <c r="C78" s="184" t="s">
        <v>380</v>
      </c>
      <c r="D78" s="877"/>
      <c r="E78" s="881"/>
      <c r="F78" s="872"/>
      <c r="G78" s="881"/>
      <c r="H78" s="913"/>
      <c r="I78" s="11"/>
      <c r="J78" s="438"/>
    </row>
    <row r="79" spans="2:10" ht="15" customHeight="1">
      <c r="B79" s="183"/>
      <c r="C79" s="184" t="s">
        <v>381</v>
      </c>
      <c r="D79" s="877"/>
      <c r="E79" s="881"/>
      <c r="F79" s="872"/>
      <c r="G79" s="881"/>
      <c r="H79" s="913"/>
      <c r="I79" s="11"/>
      <c r="J79" s="438"/>
    </row>
    <row r="80" spans="2:10" ht="15" customHeight="1">
      <c r="B80" s="183" t="s">
        <v>382</v>
      </c>
      <c r="C80" s="184" t="s">
        <v>380</v>
      </c>
      <c r="D80" s="877"/>
      <c r="E80" s="881"/>
      <c r="F80" s="872"/>
      <c r="G80" s="881"/>
      <c r="H80" s="913"/>
      <c r="I80" s="11"/>
      <c r="J80" s="438"/>
    </row>
    <row r="81" spans="2:10" ht="15" customHeight="1">
      <c r="B81" s="183"/>
      <c r="C81" s="184" t="s">
        <v>381</v>
      </c>
      <c r="D81" s="877"/>
      <c r="E81" s="881"/>
      <c r="F81" s="872"/>
      <c r="G81" s="881"/>
      <c r="H81" s="913"/>
      <c r="I81" s="11"/>
      <c r="J81" s="438"/>
    </row>
    <row r="82" spans="2:10" ht="15" customHeight="1">
      <c r="B82" s="183" t="s">
        <v>386</v>
      </c>
      <c r="C82" s="184" t="s">
        <v>380</v>
      </c>
      <c r="D82" s="877"/>
      <c r="E82" s="881"/>
      <c r="F82" s="872"/>
      <c r="G82" s="881"/>
      <c r="H82" s="913"/>
      <c r="I82" s="11"/>
      <c r="J82" s="438"/>
    </row>
    <row r="83" spans="2:10" ht="15" customHeight="1">
      <c r="B83" s="183"/>
      <c r="C83" s="184" t="s">
        <v>381</v>
      </c>
      <c r="D83" s="877"/>
      <c r="E83" s="881"/>
      <c r="F83" s="872"/>
      <c r="G83" s="881"/>
      <c r="H83" s="913"/>
      <c r="I83" s="11"/>
      <c r="J83" s="438"/>
    </row>
    <row r="84" spans="2:10" ht="15" customHeight="1">
      <c r="B84" s="183" t="s">
        <v>385</v>
      </c>
      <c r="C84" s="184" t="s">
        <v>380</v>
      </c>
      <c r="D84" s="877"/>
      <c r="E84" s="881"/>
      <c r="F84" s="872"/>
      <c r="G84" s="881"/>
      <c r="H84" s="913"/>
      <c r="I84" s="11"/>
      <c r="J84" s="438"/>
    </row>
    <row r="85" spans="2:10" ht="15" customHeight="1">
      <c r="B85" s="183"/>
      <c r="C85" s="184" t="s">
        <v>381</v>
      </c>
      <c r="D85" s="877"/>
      <c r="E85" s="881"/>
      <c r="F85" s="872"/>
      <c r="G85" s="881"/>
      <c r="H85" s="913"/>
      <c r="I85" s="11"/>
      <c r="J85" s="438"/>
    </row>
    <row r="86" spans="2:10" ht="15" customHeight="1">
      <c r="B86" s="183" t="s">
        <v>383</v>
      </c>
      <c r="C86" s="184" t="s">
        <v>380</v>
      </c>
      <c r="D86" s="877"/>
      <c r="E86" s="881"/>
      <c r="F86" s="872"/>
      <c r="G86" s="881"/>
      <c r="H86" s="913"/>
      <c r="I86" s="11"/>
      <c r="J86" s="438"/>
    </row>
    <row r="87" spans="2:10" ht="15" customHeight="1">
      <c r="B87" s="183"/>
      <c r="C87" s="184" t="s">
        <v>381</v>
      </c>
      <c r="D87" s="877"/>
      <c r="E87" s="881"/>
      <c r="F87" s="872"/>
      <c r="G87" s="881"/>
      <c r="H87" s="913"/>
      <c r="I87" s="11"/>
      <c r="J87" s="438"/>
    </row>
    <row r="88" spans="2:10" ht="15" customHeight="1">
      <c r="B88" s="183" t="s">
        <v>384</v>
      </c>
      <c r="C88" s="184" t="s">
        <v>380</v>
      </c>
      <c r="D88" s="877"/>
      <c r="E88" s="881"/>
      <c r="F88" s="872"/>
      <c r="G88" s="881"/>
      <c r="H88" s="913"/>
      <c r="I88" s="11"/>
      <c r="J88" s="438"/>
    </row>
    <row r="89" spans="2:10" ht="15" customHeight="1" thickBot="1">
      <c r="B89" s="187"/>
      <c r="C89" s="184" t="s">
        <v>381</v>
      </c>
      <c r="D89" s="872"/>
      <c r="E89" s="881"/>
      <c r="F89" s="872"/>
      <c r="G89" s="881"/>
      <c r="H89" s="915"/>
      <c r="I89" s="185"/>
      <c r="J89" s="438"/>
    </row>
    <row r="90" spans="2:10" ht="15" customHeight="1">
      <c r="B90" s="16" t="s">
        <v>391</v>
      </c>
      <c r="C90" s="34"/>
      <c r="D90" s="891"/>
      <c r="E90" s="889"/>
      <c r="F90" s="889"/>
      <c r="G90" s="889"/>
      <c r="H90" s="914"/>
      <c r="I90" s="33"/>
      <c r="J90" s="438"/>
    </row>
    <row r="91" spans="2:10" ht="15" customHeight="1">
      <c r="B91" s="183" t="s">
        <v>387</v>
      </c>
      <c r="C91" s="184" t="s">
        <v>380</v>
      </c>
      <c r="D91" s="877"/>
      <c r="E91" s="881"/>
      <c r="F91" s="872"/>
      <c r="G91" s="881"/>
      <c r="H91" s="913"/>
      <c r="I91" s="11"/>
      <c r="J91" s="438"/>
    </row>
    <row r="92" spans="2:10" ht="15" customHeight="1">
      <c r="B92" s="183"/>
      <c r="C92" s="184" t="s">
        <v>381</v>
      </c>
      <c r="D92" s="877"/>
      <c r="E92" s="881"/>
      <c r="F92" s="872"/>
      <c r="G92" s="881"/>
      <c r="H92" s="913"/>
      <c r="I92" s="11"/>
      <c r="J92" s="438"/>
    </row>
    <row r="93" spans="2:10" ht="15" customHeight="1">
      <c r="B93" s="183" t="s">
        <v>388</v>
      </c>
      <c r="C93" s="184" t="s">
        <v>380</v>
      </c>
      <c r="D93" s="877"/>
      <c r="E93" s="881"/>
      <c r="F93" s="872"/>
      <c r="G93" s="881"/>
      <c r="H93" s="913"/>
      <c r="I93" s="11"/>
      <c r="J93" s="438"/>
    </row>
    <row r="94" spans="2:10" ht="15" customHeight="1">
      <c r="B94" s="183"/>
      <c r="C94" s="184" t="s">
        <v>381</v>
      </c>
      <c r="D94" s="877"/>
      <c r="E94" s="881"/>
      <c r="F94" s="872"/>
      <c r="G94" s="881"/>
      <c r="H94" s="913"/>
      <c r="I94" s="11"/>
      <c r="J94" s="438"/>
    </row>
    <row r="95" spans="2:10" ht="15" customHeight="1">
      <c r="B95" s="183" t="s">
        <v>389</v>
      </c>
      <c r="C95" s="184" t="s">
        <v>380</v>
      </c>
      <c r="D95" s="877"/>
      <c r="E95" s="881"/>
      <c r="F95" s="872"/>
      <c r="G95" s="881"/>
      <c r="H95" s="913"/>
      <c r="I95" s="11"/>
      <c r="J95" s="438"/>
    </row>
    <row r="96" spans="2:10" ht="15" customHeight="1">
      <c r="B96" s="183"/>
      <c r="C96" s="184" t="s">
        <v>381</v>
      </c>
      <c r="D96" s="877"/>
      <c r="E96" s="881"/>
      <c r="F96" s="872"/>
      <c r="G96" s="881"/>
      <c r="H96" s="913"/>
      <c r="I96" s="11"/>
      <c r="J96" s="438"/>
    </row>
    <row r="97" spans="2:10" ht="15" customHeight="1">
      <c r="B97" s="183" t="s">
        <v>392</v>
      </c>
      <c r="C97" s="184" t="s">
        <v>380</v>
      </c>
      <c r="D97" s="893"/>
      <c r="E97" s="894"/>
      <c r="F97" s="895"/>
      <c r="G97" s="894"/>
      <c r="H97" s="913"/>
      <c r="I97" s="11"/>
      <c r="J97" s="438"/>
    </row>
    <row r="98" spans="2:10" ht="15" customHeight="1" thickBot="1">
      <c r="B98" s="187"/>
      <c r="C98" s="184" t="s">
        <v>381</v>
      </c>
      <c r="D98" s="900"/>
      <c r="E98" s="901"/>
      <c r="F98" s="902"/>
      <c r="G98" s="901"/>
      <c r="H98" s="915"/>
      <c r="I98" s="185"/>
      <c r="J98" s="438"/>
    </row>
    <row r="99" spans="2:10" ht="15" customHeight="1">
      <c r="B99" s="16" t="s">
        <v>393</v>
      </c>
      <c r="C99" s="34"/>
      <c r="D99" s="896"/>
      <c r="E99" s="897"/>
      <c r="F99" s="897"/>
      <c r="G99" s="897"/>
      <c r="H99" s="914"/>
      <c r="I99" s="33"/>
      <c r="J99" s="438"/>
    </row>
    <row r="100" spans="2:10" ht="15" customHeight="1">
      <c r="B100" s="183" t="s">
        <v>387</v>
      </c>
      <c r="C100" s="184" t="s">
        <v>380</v>
      </c>
      <c r="D100" s="877"/>
      <c r="E100" s="881"/>
      <c r="F100" s="872"/>
      <c r="G100" s="881"/>
      <c r="H100" s="913"/>
      <c r="I100" s="11"/>
      <c r="J100" s="438"/>
    </row>
    <row r="101" spans="2:10" ht="15" customHeight="1">
      <c r="B101" s="183"/>
      <c r="C101" s="184" t="s">
        <v>381</v>
      </c>
      <c r="D101" s="877"/>
      <c r="E101" s="881"/>
      <c r="F101" s="872"/>
      <c r="G101" s="881"/>
      <c r="H101" s="913"/>
      <c r="I101" s="11"/>
      <c r="J101" s="438"/>
    </row>
    <row r="102" spans="2:10" ht="15" customHeight="1">
      <c r="B102" s="183" t="s">
        <v>388</v>
      </c>
      <c r="C102" s="184" t="s">
        <v>380</v>
      </c>
      <c r="D102" s="877"/>
      <c r="E102" s="881"/>
      <c r="F102" s="872"/>
      <c r="G102" s="881"/>
      <c r="H102" s="913"/>
      <c r="I102" s="11"/>
      <c r="J102" s="438"/>
    </row>
    <row r="103" spans="2:10" ht="15" customHeight="1">
      <c r="B103" s="183"/>
      <c r="C103" s="184" t="s">
        <v>381</v>
      </c>
      <c r="D103" s="877"/>
      <c r="E103" s="881"/>
      <c r="F103" s="872"/>
      <c r="G103" s="881"/>
      <c r="H103" s="913"/>
      <c r="I103" s="11"/>
      <c r="J103" s="438"/>
    </row>
    <row r="104" spans="2:10" ht="15" customHeight="1">
      <c r="B104" s="183" t="s">
        <v>389</v>
      </c>
      <c r="C104" s="184" t="s">
        <v>380</v>
      </c>
      <c r="D104" s="877"/>
      <c r="E104" s="881"/>
      <c r="F104" s="872"/>
      <c r="G104" s="881"/>
      <c r="H104" s="913"/>
      <c r="I104" s="11"/>
      <c r="J104" s="438"/>
    </row>
    <row r="105" spans="2:10" ht="15" customHeight="1" thickBot="1">
      <c r="B105" s="183"/>
      <c r="C105" s="184" t="s">
        <v>381</v>
      </c>
      <c r="D105" s="877"/>
      <c r="E105" s="881"/>
      <c r="F105" s="872"/>
      <c r="G105" s="881"/>
      <c r="H105" s="913"/>
      <c r="I105" s="11"/>
      <c r="J105" s="438"/>
    </row>
    <row r="106" spans="2:10" ht="15" customHeight="1">
      <c r="B106" s="16" t="s">
        <v>404</v>
      </c>
      <c r="C106" s="186"/>
      <c r="D106" s="896"/>
      <c r="E106" s="897"/>
      <c r="F106" s="897"/>
      <c r="G106" s="897"/>
      <c r="H106" s="914"/>
      <c r="I106" s="33"/>
      <c r="J106" s="438"/>
    </row>
    <row r="107" spans="2:10" ht="15" customHeight="1">
      <c r="B107" s="183" t="s">
        <v>379</v>
      </c>
      <c r="C107" s="184" t="s">
        <v>380</v>
      </c>
      <c r="D107" s="893"/>
      <c r="E107" s="894"/>
      <c r="F107" s="895"/>
      <c r="G107" s="894"/>
      <c r="H107" s="913"/>
      <c r="I107" s="11"/>
      <c r="J107" s="438"/>
    </row>
    <row r="108" spans="2:10" ht="15" customHeight="1">
      <c r="B108" s="183"/>
      <c r="C108" s="184" t="s">
        <v>381</v>
      </c>
      <c r="D108" s="893"/>
      <c r="E108" s="894"/>
      <c r="F108" s="895"/>
      <c r="G108" s="894"/>
      <c r="H108" s="913"/>
      <c r="I108" s="11"/>
      <c r="J108" s="438"/>
    </row>
    <row r="109" spans="2:10" ht="15" customHeight="1">
      <c r="B109" s="183" t="s">
        <v>383</v>
      </c>
      <c r="C109" s="184" t="s">
        <v>380</v>
      </c>
      <c r="D109" s="893"/>
      <c r="E109" s="894"/>
      <c r="F109" s="895"/>
      <c r="G109" s="894"/>
      <c r="H109" s="913"/>
      <c r="I109" s="11"/>
      <c r="J109" s="438"/>
    </row>
    <row r="110" spans="2:10" ht="15" customHeight="1" thickBot="1">
      <c r="B110" s="187"/>
      <c r="C110" s="184" t="s">
        <v>381</v>
      </c>
      <c r="D110" s="900"/>
      <c r="E110" s="901"/>
      <c r="F110" s="902"/>
      <c r="G110" s="901"/>
      <c r="H110" s="915"/>
      <c r="I110" s="185"/>
      <c r="J110" s="438"/>
    </row>
    <row r="111" spans="2:10" ht="15" customHeight="1">
      <c r="B111" s="16" t="s">
        <v>405</v>
      </c>
      <c r="C111" s="186"/>
      <c r="D111" s="896"/>
      <c r="E111" s="897"/>
      <c r="F111" s="897"/>
      <c r="G111" s="897"/>
      <c r="H111" s="914"/>
      <c r="I111" s="33"/>
      <c r="J111" s="438"/>
    </row>
    <row r="112" spans="2:10" ht="15" customHeight="1">
      <c r="B112" s="183" t="s">
        <v>379</v>
      </c>
      <c r="C112" s="184" t="s">
        <v>380</v>
      </c>
      <c r="D112" s="893"/>
      <c r="E112" s="894"/>
      <c r="F112" s="895"/>
      <c r="G112" s="894"/>
      <c r="H112" s="913"/>
      <c r="I112" s="11"/>
      <c r="J112" s="438"/>
    </row>
    <row r="113" spans="2:10" ht="15" customHeight="1">
      <c r="B113" s="183"/>
      <c r="C113" s="184" t="s">
        <v>381</v>
      </c>
      <c r="D113" s="893"/>
      <c r="E113" s="894"/>
      <c r="F113" s="895"/>
      <c r="G113" s="894"/>
      <c r="H113" s="913"/>
      <c r="I113" s="11"/>
      <c r="J113" s="438"/>
    </row>
    <row r="114" spans="2:10" ht="15" customHeight="1">
      <c r="B114" s="183" t="s">
        <v>383</v>
      </c>
      <c r="C114" s="184" t="s">
        <v>380</v>
      </c>
      <c r="D114" s="893"/>
      <c r="E114" s="894"/>
      <c r="F114" s="895"/>
      <c r="G114" s="894"/>
      <c r="H114" s="913"/>
      <c r="I114" s="11"/>
      <c r="J114" s="438"/>
    </row>
    <row r="115" spans="2:10" ht="15" customHeight="1" thickBot="1">
      <c r="B115" s="187"/>
      <c r="C115" s="184" t="s">
        <v>381</v>
      </c>
      <c r="D115" s="900"/>
      <c r="E115" s="901"/>
      <c r="F115" s="902"/>
      <c r="G115" s="901"/>
      <c r="H115" s="915"/>
      <c r="I115" s="185"/>
      <c r="J115" s="438"/>
    </row>
    <row r="116" spans="2:10" ht="15" customHeight="1">
      <c r="B116" s="16" t="s">
        <v>394</v>
      </c>
      <c r="C116" s="186"/>
      <c r="D116" s="896"/>
      <c r="E116" s="897"/>
      <c r="F116" s="897"/>
      <c r="G116" s="897"/>
      <c r="H116" s="914"/>
      <c r="I116" s="33"/>
      <c r="J116" s="438"/>
    </row>
    <row r="117" spans="2:10" ht="15" customHeight="1">
      <c r="B117" s="183" t="s">
        <v>379</v>
      </c>
      <c r="C117" s="184" t="s">
        <v>380</v>
      </c>
      <c r="D117" s="893"/>
      <c r="E117" s="894"/>
      <c r="F117" s="895"/>
      <c r="G117" s="894"/>
      <c r="H117" s="913"/>
      <c r="I117" s="11"/>
      <c r="J117" s="438"/>
    </row>
    <row r="118" spans="2:10" ht="15" customHeight="1">
      <c r="B118" s="183"/>
      <c r="C118" s="184" t="s">
        <v>381</v>
      </c>
      <c r="D118" s="893"/>
      <c r="E118" s="894"/>
      <c r="F118" s="895"/>
      <c r="G118" s="894"/>
      <c r="H118" s="913"/>
      <c r="I118" s="11"/>
      <c r="J118" s="438"/>
    </row>
    <row r="119" spans="2:10" ht="15" customHeight="1">
      <c r="B119" s="183" t="s">
        <v>386</v>
      </c>
      <c r="C119" s="184" t="s">
        <v>380</v>
      </c>
      <c r="D119" s="893"/>
      <c r="E119" s="894"/>
      <c r="F119" s="895"/>
      <c r="G119" s="894"/>
      <c r="H119" s="913"/>
      <c r="I119" s="11"/>
      <c r="J119" s="438"/>
    </row>
    <row r="120" spans="2:10" ht="15" customHeight="1">
      <c r="B120" s="183"/>
      <c r="C120" s="184" t="s">
        <v>381</v>
      </c>
      <c r="D120" s="893"/>
      <c r="E120" s="894"/>
      <c r="F120" s="895"/>
      <c r="G120" s="894"/>
      <c r="H120" s="913"/>
      <c r="I120" s="11"/>
      <c r="J120" s="438"/>
    </row>
    <row r="121" spans="2:10" ht="15" customHeight="1">
      <c r="B121" s="183" t="s">
        <v>383</v>
      </c>
      <c r="C121" s="184" t="s">
        <v>380</v>
      </c>
      <c r="D121" s="893"/>
      <c r="E121" s="894"/>
      <c r="F121" s="895"/>
      <c r="G121" s="894"/>
      <c r="H121" s="913"/>
      <c r="I121" s="11"/>
      <c r="J121" s="438"/>
    </row>
    <row r="122" spans="2:10" ht="15" customHeight="1" thickBot="1">
      <c r="B122" s="187"/>
      <c r="C122" s="184" t="s">
        <v>381</v>
      </c>
      <c r="D122" s="900"/>
      <c r="E122" s="901"/>
      <c r="F122" s="902"/>
      <c r="G122" s="901"/>
      <c r="H122" s="915"/>
      <c r="I122" s="185"/>
      <c r="J122" s="438"/>
    </row>
    <row r="123" spans="2:10" ht="15" customHeight="1">
      <c r="B123" s="189" t="s">
        <v>395</v>
      </c>
      <c r="C123" s="186"/>
      <c r="D123" s="896"/>
      <c r="E123" s="897"/>
      <c r="F123" s="897"/>
      <c r="G123" s="897"/>
      <c r="H123" s="914"/>
      <c r="I123" s="33"/>
      <c r="J123" s="438"/>
    </row>
    <row r="124" spans="2:10" ht="15" customHeight="1">
      <c r="B124" s="183" t="s">
        <v>386</v>
      </c>
      <c r="C124" s="184" t="s">
        <v>380</v>
      </c>
      <c r="D124" s="893"/>
      <c r="E124" s="894"/>
      <c r="F124" s="895"/>
      <c r="G124" s="894"/>
      <c r="H124" s="913"/>
      <c r="I124" s="11"/>
      <c r="J124" s="438"/>
    </row>
    <row r="125" spans="2:10" ht="15" customHeight="1" thickBot="1">
      <c r="B125" s="190"/>
      <c r="C125" s="191" t="s">
        <v>381</v>
      </c>
      <c r="D125" s="900"/>
      <c r="E125" s="901"/>
      <c r="F125" s="902"/>
      <c r="G125" s="901"/>
      <c r="H125" s="915"/>
      <c r="I125" s="185"/>
      <c r="J125" s="438"/>
    </row>
    <row r="126" spans="2:10" ht="15" customHeight="1">
      <c r="B126" s="189" t="s">
        <v>396</v>
      </c>
      <c r="C126" s="186"/>
      <c r="D126" s="896"/>
      <c r="E126" s="897"/>
      <c r="F126" s="897"/>
      <c r="G126" s="897"/>
      <c r="H126" s="914"/>
      <c r="I126" s="33"/>
      <c r="J126" s="438"/>
    </row>
    <row r="127" spans="2:10" ht="15" customHeight="1">
      <c r="B127" s="183" t="s">
        <v>386</v>
      </c>
      <c r="C127" s="184" t="s">
        <v>380</v>
      </c>
      <c r="D127" s="893"/>
      <c r="E127" s="894"/>
      <c r="F127" s="895"/>
      <c r="G127" s="894"/>
      <c r="H127" s="913"/>
      <c r="I127" s="11"/>
      <c r="J127" s="438"/>
    </row>
    <row r="128" spans="2:10" ht="15" customHeight="1" thickBot="1">
      <c r="B128" s="190"/>
      <c r="C128" s="191" t="s">
        <v>381</v>
      </c>
      <c r="D128" s="900"/>
      <c r="E128" s="901"/>
      <c r="F128" s="902"/>
      <c r="G128" s="901"/>
      <c r="H128" s="915"/>
      <c r="I128" s="185"/>
      <c r="J128" s="438"/>
    </row>
    <row r="129" spans="2:10" ht="15" customHeight="1">
      <c r="B129" s="189" t="s">
        <v>397</v>
      </c>
      <c r="C129" s="186"/>
      <c r="D129" s="896"/>
      <c r="E129" s="897"/>
      <c r="F129" s="897"/>
      <c r="G129" s="897"/>
      <c r="H129" s="914"/>
      <c r="I129" s="33"/>
      <c r="J129" s="438"/>
    </row>
    <row r="130" spans="2:10" ht="15" customHeight="1">
      <c r="B130" s="183" t="s">
        <v>399</v>
      </c>
      <c r="C130" s="184" t="s">
        <v>380</v>
      </c>
      <c r="D130" s="893"/>
      <c r="E130" s="894"/>
      <c r="F130" s="895"/>
      <c r="G130" s="894"/>
      <c r="H130" s="913"/>
      <c r="I130" s="11"/>
      <c r="J130" s="438"/>
    </row>
    <row r="131" spans="2:10" ht="15" customHeight="1" thickBot="1">
      <c r="B131" s="190"/>
      <c r="C131" s="191" t="s">
        <v>381</v>
      </c>
      <c r="D131" s="900"/>
      <c r="E131" s="901"/>
      <c r="F131" s="902"/>
      <c r="G131" s="901"/>
      <c r="H131" s="915"/>
      <c r="I131" s="185"/>
      <c r="J131" s="438"/>
    </row>
    <row r="132" spans="2:10" ht="15" customHeight="1">
      <c r="B132" s="189" t="s">
        <v>398</v>
      </c>
      <c r="C132" s="186"/>
      <c r="D132" s="896"/>
      <c r="E132" s="897"/>
      <c r="F132" s="897"/>
      <c r="G132" s="897"/>
      <c r="H132" s="914"/>
      <c r="I132" s="33"/>
      <c r="J132" s="438"/>
    </row>
    <row r="133" spans="2:10" ht="15" customHeight="1">
      <c r="B133" s="183" t="s">
        <v>399</v>
      </c>
      <c r="C133" s="184" t="s">
        <v>380</v>
      </c>
      <c r="D133" s="893"/>
      <c r="E133" s="894"/>
      <c r="F133" s="895"/>
      <c r="G133" s="894"/>
      <c r="H133" s="913"/>
      <c r="I133" s="11"/>
      <c r="J133" s="438"/>
    </row>
    <row r="134" spans="2:10" ht="15" customHeight="1" thickBot="1">
      <c r="B134" s="190"/>
      <c r="C134" s="191" t="s">
        <v>381</v>
      </c>
      <c r="D134" s="900"/>
      <c r="E134" s="901"/>
      <c r="F134" s="902"/>
      <c r="G134" s="901"/>
      <c r="H134" s="915"/>
      <c r="I134" s="185"/>
      <c r="J134" s="438"/>
    </row>
    <row r="135" spans="2:10" ht="15" customHeight="1">
      <c r="B135" s="16" t="s">
        <v>400</v>
      </c>
      <c r="C135" s="34"/>
      <c r="D135" s="891"/>
      <c r="E135" s="889"/>
      <c r="F135" s="889"/>
      <c r="G135" s="889"/>
      <c r="H135" s="914"/>
      <c r="I135" s="33"/>
      <c r="J135" s="438"/>
    </row>
    <row r="136" spans="2:10" ht="15" customHeight="1">
      <c r="B136" s="183" t="s">
        <v>379</v>
      </c>
      <c r="C136" s="184" t="s">
        <v>380</v>
      </c>
      <c r="D136" s="877"/>
      <c r="E136" s="881"/>
      <c r="F136" s="872"/>
      <c r="G136" s="881"/>
      <c r="H136" s="913"/>
      <c r="I136" s="11"/>
      <c r="J136" s="438"/>
    </row>
    <row r="137" spans="2:10" ht="15" customHeight="1">
      <c r="B137" s="183"/>
      <c r="C137" s="184" t="s">
        <v>381</v>
      </c>
      <c r="D137" s="877"/>
      <c r="E137" s="881"/>
      <c r="F137" s="872"/>
      <c r="G137" s="881"/>
      <c r="H137" s="913"/>
      <c r="I137" s="11"/>
      <c r="J137" s="438"/>
    </row>
    <row r="138" spans="2:10" ht="15" customHeight="1">
      <c r="B138" s="183" t="s">
        <v>386</v>
      </c>
      <c r="C138" s="184" t="s">
        <v>380</v>
      </c>
      <c r="D138" s="877"/>
      <c r="E138" s="881"/>
      <c r="F138" s="872"/>
      <c r="G138" s="881"/>
      <c r="H138" s="913"/>
      <c r="I138" s="11"/>
      <c r="J138" s="438"/>
    </row>
    <row r="139" spans="2:10" ht="15" customHeight="1">
      <c r="B139" s="183"/>
      <c r="C139" s="184" t="s">
        <v>381</v>
      </c>
      <c r="D139" s="877"/>
      <c r="E139" s="881"/>
      <c r="F139" s="872"/>
      <c r="G139" s="881"/>
      <c r="H139" s="913"/>
      <c r="I139" s="11"/>
      <c r="J139" s="438"/>
    </row>
    <row r="140" spans="2:10" ht="15" customHeight="1">
      <c r="B140" s="183" t="s">
        <v>385</v>
      </c>
      <c r="C140" s="184" t="s">
        <v>380</v>
      </c>
      <c r="D140" s="877"/>
      <c r="E140" s="881"/>
      <c r="F140" s="872"/>
      <c r="G140" s="881"/>
      <c r="H140" s="913"/>
      <c r="I140" s="11"/>
      <c r="J140" s="438"/>
    </row>
    <row r="141" spans="2:10" ht="15" customHeight="1">
      <c r="B141" s="183"/>
      <c r="C141" s="184" t="s">
        <v>381</v>
      </c>
      <c r="D141" s="877"/>
      <c r="E141" s="881"/>
      <c r="F141" s="872"/>
      <c r="G141" s="881"/>
      <c r="H141" s="913"/>
      <c r="I141" s="11"/>
      <c r="J141" s="438"/>
    </row>
    <row r="142" spans="2:10" ht="15" customHeight="1">
      <c r="B142" s="183" t="s">
        <v>383</v>
      </c>
      <c r="C142" s="184" t="s">
        <v>380</v>
      </c>
      <c r="D142" s="893"/>
      <c r="E142" s="894"/>
      <c r="F142" s="895"/>
      <c r="G142" s="894"/>
      <c r="H142" s="913"/>
      <c r="I142" s="11"/>
      <c r="J142" s="438"/>
    </row>
    <row r="143" spans="2:10" ht="15" customHeight="1" thickBot="1">
      <c r="B143" s="187"/>
      <c r="C143" s="191" t="s">
        <v>381</v>
      </c>
      <c r="D143" s="900"/>
      <c r="E143" s="901"/>
      <c r="F143" s="902"/>
      <c r="G143" s="901"/>
      <c r="H143" s="915"/>
      <c r="I143" s="185"/>
      <c r="J143" s="438"/>
    </row>
    <row r="144" spans="2:10" ht="15" customHeight="1">
      <c r="B144" s="16" t="s">
        <v>401</v>
      </c>
      <c r="C144" s="34"/>
      <c r="D144" s="891"/>
      <c r="E144" s="889"/>
      <c r="F144" s="889"/>
      <c r="G144" s="889"/>
      <c r="H144" s="914"/>
      <c r="I144" s="33"/>
      <c r="J144" s="438"/>
    </row>
    <row r="145" spans="2:10" ht="15" customHeight="1">
      <c r="B145" s="183" t="s">
        <v>379</v>
      </c>
      <c r="C145" s="184" t="s">
        <v>380</v>
      </c>
      <c r="D145" s="877"/>
      <c r="E145" s="881"/>
      <c r="F145" s="872"/>
      <c r="G145" s="881"/>
      <c r="H145" s="913"/>
      <c r="I145" s="11"/>
      <c r="J145" s="438"/>
    </row>
    <row r="146" spans="2:10" ht="15" customHeight="1">
      <c r="B146" s="183"/>
      <c r="C146" s="184" t="s">
        <v>381</v>
      </c>
      <c r="D146" s="877"/>
      <c r="E146" s="881"/>
      <c r="F146" s="872"/>
      <c r="G146" s="881"/>
      <c r="H146" s="913"/>
      <c r="I146" s="11"/>
      <c r="J146" s="438"/>
    </row>
    <row r="147" spans="2:10" ht="15" customHeight="1">
      <c r="B147" s="183" t="s">
        <v>386</v>
      </c>
      <c r="C147" s="184" t="s">
        <v>380</v>
      </c>
      <c r="D147" s="877"/>
      <c r="E147" s="881"/>
      <c r="F147" s="872"/>
      <c r="G147" s="881"/>
      <c r="H147" s="913"/>
      <c r="I147" s="11"/>
      <c r="J147" s="438"/>
    </row>
    <row r="148" spans="2:10" ht="15" customHeight="1">
      <c r="B148" s="183"/>
      <c r="C148" s="184" t="s">
        <v>381</v>
      </c>
      <c r="D148" s="877"/>
      <c r="E148" s="881"/>
      <c r="F148" s="872"/>
      <c r="G148" s="881"/>
      <c r="H148" s="913"/>
      <c r="I148" s="11"/>
      <c r="J148" s="438"/>
    </row>
    <row r="149" spans="2:10" ht="15" customHeight="1">
      <c r="B149" s="183" t="s">
        <v>385</v>
      </c>
      <c r="C149" s="184" t="s">
        <v>380</v>
      </c>
      <c r="D149" s="877"/>
      <c r="E149" s="881"/>
      <c r="F149" s="872"/>
      <c r="G149" s="881"/>
      <c r="H149" s="913"/>
      <c r="I149" s="11"/>
      <c r="J149" s="438"/>
    </row>
    <row r="150" spans="2:10" ht="15" customHeight="1">
      <c r="B150" s="183"/>
      <c r="C150" s="184" t="s">
        <v>381</v>
      </c>
      <c r="D150" s="877"/>
      <c r="E150" s="881"/>
      <c r="F150" s="872"/>
      <c r="G150" s="881"/>
      <c r="H150" s="913"/>
      <c r="I150" s="11"/>
      <c r="J150" s="438"/>
    </row>
    <row r="151" spans="2:10" ht="15" customHeight="1">
      <c r="B151" s="183" t="s">
        <v>383</v>
      </c>
      <c r="C151" s="184" t="s">
        <v>380</v>
      </c>
      <c r="D151" s="893"/>
      <c r="E151" s="894"/>
      <c r="F151" s="895"/>
      <c r="G151" s="894"/>
      <c r="H151" s="913"/>
      <c r="I151" s="11"/>
      <c r="J151" s="438"/>
    </row>
    <row r="152" spans="2:10" ht="15" customHeight="1" thickBot="1">
      <c r="B152" s="187"/>
      <c r="C152" s="191" t="s">
        <v>381</v>
      </c>
      <c r="D152" s="900"/>
      <c r="E152" s="901"/>
      <c r="F152" s="902"/>
      <c r="G152" s="901"/>
      <c r="H152" s="915"/>
      <c r="I152" s="185"/>
      <c r="J152" s="438"/>
    </row>
    <row r="153" spans="2:10" ht="15" customHeight="1">
      <c r="B153" s="16" t="s">
        <v>402</v>
      </c>
      <c r="C153" s="34"/>
      <c r="D153" s="891"/>
      <c r="E153" s="889"/>
      <c r="F153" s="889"/>
      <c r="G153" s="889"/>
      <c r="H153" s="914"/>
      <c r="I153" s="33"/>
      <c r="J153" s="438"/>
    </row>
    <row r="154" spans="2:10" ht="15" customHeight="1">
      <c r="B154" s="183" t="s">
        <v>379</v>
      </c>
      <c r="C154" s="184" t="s">
        <v>380</v>
      </c>
      <c r="D154" s="877"/>
      <c r="E154" s="881"/>
      <c r="F154" s="872"/>
      <c r="G154" s="881"/>
      <c r="H154" s="913"/>
      <c r="I154" s="11"/>
      <c r="J154" s="438"/>
    </row>
    <row r="155" spans="2:10" ht="15" customHeight="1">
      <c r="B155" s="183"/>
      <c r="C155" s="184" t="s">
        <v>381</v>
      </c>
      <c r="D155" s="877"/>
      <c r="E155" s="881"/>
      <c r="F155" s="872"/>
      <c r="G155" s="881"/>
      <c r="H155" s="913"/>
      <c r="I155" s="11"/>
      <c r="J155" s="438"/>
    </row>
    <row r="156" spans="2:10" ht="15" customHeight="1">
      <c r="B156" s="183" t="s">
        <v>382</v>
      </c>
      <c r="C156" s="184" t="s">
        <v>380</v>
      </c>
      <c r="D156" s="877"/>
      <c r="E156" s="881"/>
      <c r="F156" s="872"/>
      <c r="G156" s="881"/>
      <c r="H156" s="913"/>
      <c r="I156" s="11"/>
      <c r="J156" s="438"/>
    </row>
    <row r="157" spans="2:10" ht="15" customHeight="1">
      <c r="B157" s="183"/>
      <c r="C157" s="184" t="s">
        <v>381</v>
      </c>
      <c r="D157" s="877"/>
      <c r="E157" s="881"/>
      <c r="F157" s="872"/>
      <c r="G157" s="881"/>
      <c r="H157" s="913"/>
      <c r="I157" s="11"/>
      <c r="J157" s="438"/>
    </row>
    <row r="158" spans="2:10" ht="15" customHeight="1">
      <c r="B158" s="183" t="s">
        <v>386</v>
      </c>
      <c r="C158" s="184" t="s">
        <v>380</v>
      </c>
      <c r="D158" s="877"/>
      <c r="E158" s="881"/>
      <c r="F158" s="872"/>
      <c r="G158" s="881"/>
      <c r="H158" s="913"/>
      <c r="I158" s="11"/>
      <c r="J158" s="438"/>
    </row>
    <row r="159" spans="2:10" ht="15" customHeight="1">
      <c r="B159" s="183"/>
      <c r="C159" s="184" t="s">
        <v>381</v>
      </c>
      <c r="D159" s="877"/>
      <c r="E159" s="881"/>
      <c r="F159" s="872"/>
      <c r="G159" s="881"/>
      <c r="H159" s="913"/>
      <c r="I159" s="11"/>
      <c r="J159" s="438"/>
    </row>
    <row r="160" spans="2:10" ht="15" customHeight="1">
      <c r="B160" s="183" t="s">
        <v>385</v>
      </c>
      <c r="C160" s="184" t="s">
        <v>380</v>
      </c>
      <c r="D160" s="877"/>
      <c r="E160" s="881"/>
      <c r="F160" s="872"/>
      <c r="G160" s="881"/>
      <c r="H160" s="913"/>
      <c r="I160" s="11"/>
      <c r="J160" s="438"/>
    </row>
    <row r="161" spans="2:15" ht="15" customHeight="1">
      <c r="B161" s="183"/>
      <c r="C161" s="184" t="s">
        <v>381</v>
      </c>
      <c r="D161" s="877"/>
      <c r="E161" s="881"/>
      <c r="F161" s="872"/>
      <c r="G161" s="881"/>
      <c r="H161" s="913"/>
      <c r="I161" s="11"/>
      <c r="J161" s="438"/>
    </row>
    <row r="162" spans="2:15" ht="15" customHeight="1">
      <c r="B162" s="183" t="s">
        <v>383</v>
      </c>
      <c r="C162" s="184" t="s">
        <v>380</v>
      </c>
      <c r="D162" s="893"/>
      <c r="E162" s="894"/>
      <c r="F162" s="895"/>
      <c r="G162" s="894"/>
      <c r="H162" s="913"/>
      <c r="I162" s="11"/>
      <c r="J162" s="438"/>
    </row>
    <row r="163" spans="2:15" ht="15" customHeight="1" thickBot="1">
      <c r="B163" s="187"/>
      <c r="C163" s="191" t="s">
        <v>381</v>
      </c>
      <c r="D163" s="900"/>
      <c r="E163" s="901"/>
      <c r="F163" s="902"/>
      <c r="G163" s="901"/>
      <c r="H163" s="915"/>
      <c r="I163" s="185"/>
      <c r="J163" s="438"/>
    </row>
    <row r="164" spans="2:15" ht="15" customHeight="1">
      <c r="B164" s="16" t="s">
        <v>403</v>
      </c>
      <c r="C164" s="34"/>
      <c r="D164" s="891"/>
      <c r="E164" s="889"/>
      <c r="F164" s="889"/>
      <c r="G164" s="889"/>
      <c r="H164" s="914"/>
      <c r="I164" s="33"/>
      <c r="J164" s="438"/>
    </row>
    <row r="165" spans="2:15" ht="15" customHeight="1">
      <c r="B165" s="183" t="s">
        <v>379</v>
      </c>
      <c r="C165" s="184" t="s">
        <v>380</v>
      </c>
      <c r="D165" s="877"/>
      <c r="E165" s="881"/>
      <c r="F165" s="872"/>
      <c r="G165" s="881"/>
      <c r="H165" s="913"/>
      <c r="I165" s="11"/>
      <c r="J165" s="438"/>
    </row>
    <row r="166" spans="2:15" ht="15" customHeight="1">
      <c r="B166" s="183"/>
      <c r="C166" s="184" t="s">
        <v>381</v>
      </c>
      <c r="D166" s="877"/>
      <c r="E166" s="881"/>
      <c r="F166" s="872"/>
      <c r="G166" s="881"/>
      <c r="H166" s="913"/>
      <c r="I166" s="11"/>
      <c r="J166" s="438"/>
    </row>
    <row r="167" spans="2:15" ht="15" customHeight="1">
      <c r="B167" s="183" t="s">
        <v>382</v>
      </c>
      <c r="C167" s="184" t="s">
        <v>380</v>
      </c>
      <c r="D167" s="877"/>
      <c r="E167" s="881"/>
      <c r="F167" s="872"/>
      <c r="G167" s="881"/>
      <c r="H167" s="913"/>
      <c r="I167" s="11"/>
      <c r="J167" s="438"/>
    </row>
    <row r="168" spans="2:15" ht="15" customHeight="1">
      <c r="B168" s="183"/>
      <c r="C168" s="184" t="s">
        <v>381</v>
      </c>
      <c r="D168" s="877"/>
      <c r="E168" s="881"/>
      <c r="F168" s="872"/>
      <c r="G168" s="881"/>
      <c r="H168" s="913"/>
      <c r="I168" s="11"/>
      <c r="J168" s="438"/>
    </row>
    <row r="169" spans="2:15" ht="15" customHeight="1">
      <c r="B169" s="183" t="s">
        <v>386</v>
      </c>
      <c r="C169" s="184" t="s">
        <v>380</v>
      </c>
      <c r="D169" s="877"/>
      <c r="E169" s="881"/>
      <c r="F169" s="872"/>
      <c r="G169" s="881"/>
      <c r="H169" s="913"/>
      <c r="I169" s="11"/>
      <c r="J169" s="438"/>
    </row>
    <row r="170" spans="2:15" ht="15" customHeight="1">
      <c r="B170" s="183"/>
      <c r="C170" s="184" t="s">
        <v>381</v>
      </c>
      <c r="D170" s="877"/>
      <c r="E170" s="881"/>
      <c r="F170" s="872"/>
      <c r="G170" s="881"/>
      <c r="H170" s="913"/>
      <c r="I170" s="11"/>
      <c r="J170" s="438"/>
    </row>
    <row r="171" spans="2:15" ht="15" customHeight="1">
      <c r="B171" s="183" t="s">
        <v>385</v>
      </c>
      <c r="C171" s="184" t="s">
        <v>380</v>
      </c>
      <c r="D171" s="877"/>
      <c r="E171" s="881"/>
      <c r="F171" s="872"/>
      <c r="G171" s="881"/>
      <c r="H171" s="913"/>
      <c r="I171" s="11"/>
      <c r="J171" s="438"/>
    </row>
    <row r="172" spans="2:15" ht="15" customHeight="1">
      <c r="B172" s="183"/>
      <c r="C172" s="184" t="s">
        <v>381</v>
      </c>
      <c r="D172" s="877"/>
      <c r="E172" s="881"/>
      <c r="F172" s="872"/>
      <c r="G172" s="881"/>
      <c r="H172" s="913"/>
      <c r="I172" s="11"/>
      <c r="J172" s="438"/>
    </row>
    <row r="173" spans="2:15" ht="15" customHeight="1">
      <c r="B173" s="183" t="s">
        <v>383</v>
      </c>
      <c r="C173" s="184" t="s">
        <v>380</v>
      </c>
      <c r="D173" s="893"/>
      <c r="E173" s="894"/>
      <c r="F173" s="895"/>
      <c r="G173" s="894"/>
      <c r="H173" s="913"/>
      <c r="I173" s="11"/>
      <c r="J173" s="438"/>
    </row>
    <row r="174" spans="2:15" ht="15" customHeight="1" thickBot="1">
      <c r="B174" s="187"/>
      <c r="C174" s="191" t="s">
        <v>381</v>
      </c>
      <c r="D174" s="900"/>
      <c r="E174" s="901"/>
      <c r="F174" s="902"/>
      <c r="G174" s="901"/>
      <c r="H174" s="915"/>
      <c r="I174" s="185"/>
      <c r="J174" s="438"/>
    </row>
    <row r="175" spans="2:15" ht="15" customHeight="1" thickBot="1"/>
    <row r="176" spans="2:15" ht="15" customHeight="1" thickBot="1">
      <c r="B176" s="192" t="s">
        <v>429</v>
      </c>
      <c r="C176" s="193"/>
      <c r="D176" s="193"/>
      <c r="E176" s="194"/>
      <c r="F176" s="438"/>
      <c r="G176" s="1"/>
      <c r="H176" s="1"/>
      <c r="I176" s="1"/>
      <c r="K176" s="3"/>
      <c r="O176" s="1"/>
    </row>
    <row r="177" spans="2:15" ht="15" customHeight="1">
      <c r="B177" s="16" t="s">
        <v>425</v>
      </c>
      <c r="C177" s="34"/>
      <c r="D177" s="188"/>
      <c r="E177" s="33"/>
      <c r="F177" s="438"/>
      <c r="G177" s="1"/>
      <c r="H177" s="1"/>
      <c r="I177" s="1"/>
      <c r="K177" s="3"/>
      <c r="O177" s="1"/>
    </row>
    <row r="178" spans="2:15" ht="15" customHeight="1">
      <c r="B178" s="183" t="s">
        <v>387</v>
      </c>
      <c r="C178" s="184" t="s">
        <v>380</v>
      </c>
      <c r="D178" s="877"/>
      <c r="E178" s="11"/>
      <c r="F178" s="438"/>
      <c r="G178" s="1"/>
      <c r="H178" s="1"/>
      <c r="I178" s="1"/>
      <c r="K178" s="3"/>
      <c r="O178" s="1"/>
    </row>
    <row r="179" spans="2:15" ht="15" customHeight="1" thickBot="1">
      <c r="B179" s="187"/>
      <c r="C179" s="191" t="s">
        <v>381</v>
      </c>
      <c r="D179" s="885"/>
      <c r="E179" s="185"/>
      <c r="F179" s="438"/>
      <c r="G179" s="1"/>
      <c r="H179" s="1"/>
      <c r="I179" s="1"/>
      <c r="K179" s="3"/>
      <c r="O179" s="1"/>
    </row>
    <row r="180" spans="2:15" ht="15" customHeight="1">
      <c r="B180" s="16" t="s">
        <v>426</v>
      </c>
      <c r="C180" s="34"/>
      <c r="D180" s="61"/>
      <c r="E180" s="11"/>
      <c r="F180" s="438"/>
      <c r="G180" s="1"/>
      <c r="H180" s="1"/>
      <c r="I180" s="1"/>
      <c r="K180" s="3"/>
      <c r="O180" s="1"/>
    </row>
    <row r="181" spans="2:15" ht="15" customHeight="1">
      <c r="B181" s="183" t="s">
        <v>427</v>
      </c>
      <c r="C181" s="184" t="s">
        <v>380</v>
      </c>
      <c r="D181" s="877"/>
      <c r="E181" s="11"/>
      <c r="F181" s="438"/>
      <c r="G181" s="1"/>
      <c r="H181" s="1"/>
      <c r="I181" s="1"/>
      <c r="K181" s="3"/>
      <c r="O181" s="1"/>
    </row>
    <row r="182" spans="2:15" ht="15" customHeight="1" thickBot="1">
      <c r="B182" s="187"/>
      <c r="C182" s="191" t="s">
        <v>381</v>
      </c>
      <c r="D182" s="885"/>
      <c r="E182" s="185"/>
      <c r="F182" s="438"/>
      <c r="G182" s="1"/>
      <c r="H182" s="1"/>
      <c r="I182" s="1"/>
      <c r="K182" s="3"/>
      <c r="O182" s="1"/>
    </row>
    <row r="183" spans="2:15" ht="15" customHeight="1" thickBot="1"/>
    <row r="184" spans="2:15" ht="15" customHeight="1" thickBot="1">
      <c r="B184" s="1348" t="s">
        <v>544</v>
      </c>
      <c r="C184" s="1349"/>
      <c r="D184" s="1349"/>
      <c r="E184" s="1350"/>
      <c r="F184" s="239"/>
      <c r="G184" s="239"/>
    </row>
    <row r="185" spans="2:15" ht="15" customHeight="1">
      <c r="B185" s="16" t="s">
        <v>545</v>
      </c>
      <c r="C185" s="34"/>
      <c r="D185" s="188"/>
      <c r="E185" s="33"/>
      <c r="F185" s="2"/>
      <c r="H185" s="1"/>
      <c r="I185" s="1"/>
      <c r="M185" s="3"/>
      <c r="O185" s="1"/>
    </row>
    <row r="186" spans="2:15" ht="15" customHeight="1">
      <c r="B186" s="183"/>
      <c r="C186" s="9" t="s">
        <v>63</v>
      </c>
      <c r="D186" s="877">
        <v>0</v>
      </c>
      <c r="E186" s="11" t="str">
        <f>IF(D186&gt;0,"rearward",IF(D186&lt;0,"forward",""))</f>
        <v/>
      </c>
      <c r="F186" s="2"/>
      <c r="H186" s="1"/>
      <c r="I186" s="1"/>
      <c r="M186" s="3"/>
      <c r="O186" s="1"/>
    </row>
    <row r="187" spans="2:15" ht="15" customHeight="1">
      <c r="B187" s="183"/>
      <c r="C187" s="9" t="s">
        <v>64</v>
      </c>
      <c r="D187" s="877">
        <v>0</v>
      </c>
      <c r="E187" s="11" t="str">
        <f>IF(D187&gt;0,"upward",IF(D187&lt;0,"downward",""))</f>
        <v/>
      </c>
      <c r="F187" s="2"/>
      <c r="H187" s="1"/>
      <c r="I187" s="1"/>
      <c r="M187" s="3"/>
      <c r="O187" s="1"/>
    </row>
    <row r="188" spans="2:15" ht="15" customHeight="1" thickBot="1">
      <c r="B188" s="183"/>
      <c r="C188" s="9" t="s">
        <v>87</v>
      </c>
      <c r="D188" s="877">
        <v>0</v>
      </c>
      <c r="E188" s="11" t="str">
        <f>IF(D188&gt;0,"left",IF(D188&lt;0,"right",""))</f>
        <v/>
      </c>
      <c r="F188" s="2"/>
      <c r="H188" s="1"/>
      <c r="I188" s="1"/>
      <c r="M188" s="3"/>
      <c r="O188" s="1"/>
    </row>
    <row r="189" spans="2:15" ht="15" customHeight="1">
      <c r="B189" s="16" t="s">
        <v>546</v>
      </c>
      <c r="C189" s="17"/>
      <c r="D189" s="18"/>
      <c r="E189" s="34"/>
      <c r="F189" s="2"/>
      <c r="H189" s="1"/>
      <c r="I189" s="1"/>
      <c r="M189" s="3"/>
      <c r="O189" s="1"/>
    </row>
    <row r="190" spans="2:15" ht="15" customHeight="1" thickBot="1">
      <c r="B190" s="10"/>
      <c r="C190" s="9" t="s">
        <v>547</v>
      </c>
      <c r="D190" s="877">
        <v>0</v>
      </c>
      <c r="E190" s="46"/>
      <c r="F190" s="2"/>
      <c r="H190" s="1"/>
      <c r="I190" s="1"/>
      <c r="M190" s="3"/>
      <c r="O190" s="1"/>
    </row>
    <row r="191" spans="2:15" ht="15" customHeight="1">
      <c r="B191" s="16" t="s">
        <v>548</v>
      </c>
      <c r="C191" s="17"/>
      <c r="D191" s="18"/>
      <c r="E191" s="34"/>
      <c r="F191" s="2"/>
      <c r="H191" s="1"/>
      <c r="I191" s="1"/>
      <c r="M191" s="3"/>
      <c r="O191" s="1"/>
    </row>
    <row r="192" spans="2:15" ht="15" customHeight="1">
      <c r="B192" s="183"/>
      <c r="C192" s="9" t="s">
        <v>91</v>
      </c>
      <c r="D192" s="877">
        <v>0</v>
      </c>
      <c r="E192" s="11" t="str">
        <f>IF(D192="N/A","",IF(D192&gt;0,"upward",IF(D192&lt;0,"downward","")))</f>
        <v/>
      </c>
      <c r="F192" s="2"/>
      <c r="H192" s="1"/>
      <c r="I192" s="1"/>
      <c r="M192" s="3"/>
      <c r="O192" s="1"/>
    </row>
    <row r="193" spans="2:15" ht="15" customHeight="1">
      <c r="B193" s="183"/>
      <c r="C193" s="9" t="s">
        <v>93</v>
      </c>
      <c r="D193" s="877">
        <v>0</v>
      </c>
      <c r="E193" s="11" t="str">
        <f>IF(D193="N/A","",IF(D193&gt;0,"upward",IF(D193&lt;0,"downward","")))</f>
        <v/>
      </c>
      <c r="F193" s="2"/>
      <c r="H193" s="1"/>
      <c r="I193" s="1"/>
      <c r="M193" s="3"/>
      <c r="O193" s="1"/>
    </row>
    <row r="194" spans="2:15" ht="15" customHeight="1">
      <c r="B194" s="183"/>
      <c r="C194" s="46" t="s">
        <v>95</v>
      </c>
      <c r="D194" s="877">
        <v>0</v>
      </c>
      <c r="E194" s="11" t="str">
        <f>IF(D194="N/A","",IF(D194&gt;0,"upward",IF(D194&lt;0,"downward","")))</f>
        <v/>
      </c>
      <c r="F194" s="2"/>
      <c r="H194" s="1"/>
      <c r="I194" s="1"/>
      <c r="M194" s="3"/>
      <c r="O194" s="1"/>
    </row>
    <row r="195" spans="2:15" ht="15" customHeight="1">
      <c r="B195" s="183"/>
      <c r="C195" s="9" t="s">
        <v>92</v>
      </c>
      <c r="D195" s="877">
        <v>0</v>
      </c>
      <c r="E195" s="11" t="str">
        <f>IF(D195="N/A","",IF(D195&gt;0,"rearward",IF(D195&lt;0,"forward","")))</f>
        <v/>
      </c>
      <c r="F195" s="2"/>
      <c r="H195" s="1"/>
      <c r="I195" s="1"/>
      <c r="M195" s="3"/>
      <c r="O195" s="1"/>
    </row>
    <row r="196" spans="2:15" ht="15" customHeight="1">
      <c r="B196" s="183"/>
      <c r="C196" s="9" t="s">
        <v>94</v>
      </c>
      <c r="D196" s="877">
        <v>0</v>
      </c>
      <c r="E196" s="11" t="str">
        <f>IF(D196="N/A","",IF(D196&gt;0,"rearward",IF(D196&lt;0,"forward","")))</f>
        <v/>
      </c>
      <c r="F196" s="2"/>
      <c r="H196" s="1"/>
      <c r="I196" s="1"/>
      <c r="M196" s="3"/>
      <c r="O196" s="1"/>
    </row>
    <row r="197" spans="2:15" ht="15" customHeight="1" thickBot="1">
      <c r="B197" s="187"/>
      <c r="C197" s="42" t="s">
        <v>41</v>
      </c>
      <c r="D197" s="885">
        <v>0</v>
      </c>
      <c r="E197" s="185" t="str">
        <f>IF(D197="N/A","",IF(D197&gt;0,"rearward",IF(D197&lt;0,"forward","")))</f>
        <v/>
      </c>
      <c r="F197" s="2"/>
      <c r="H197" s="1"/>
      <c r="I197" s="1"/>
      <c r="M197" s="3"/>
      <c r="O197" s="1"/>
    </row>
    <row r="198" spans="2:15" ht="15" customHeight="1" thickBot="1"/>
    <row r="199" spans="2:15" ht="15" customHeight="1" thickBot="1">
      <c r="B199" s="1348" t="s">
        <v>433</v>
      </c>
      <c r="C199" s="1349"/>
      <c r="D199" s="1349"/>
      <c r="E199" s="1350"/>
      <c r="F199" s="239"/>
      <c r="G199" s="239"/>
    </row>
    <row r="200" spans="2:15" ht="15" customHeight="1">
      <c r="B200" s="16" t="s">
        <v>434</v>
      </c>
      <c r="C200" s="34"/>
      <c r="D200" s="188"/>
      <c r="E200" s="33"/>
      <c r="F200" s="2"/>
      <c r="H200" s="1"/>
      <c r="I200" s="1"/>
      <c r="M200" s="3"/>
      <c r="O200" s="1"/>
    </row>
    <row r="201" spans="2:15" ht="15" customHeight="1">
      <c r="B201" s="183"/>
      <c r="C201" s="9" t="s">
        <v>696</v>
      </c>
      <c r="D201" s="905"/>
      <c r="E201" s="11"/>
      <c r="F201" s="2"/>
      <c r="H201" s="1"/>
      <c r="I201" s="1"/>
      <c r="M201" s="3"/>
      <c r="O201" s="1"/>
    </row>
    <row r="202" spans="2:15" ht="15" customHeight="1" thickBot="1">
      <c r="B202" s="183"/>
      <c r="C202" s="9" t="s">
        <v>440</v>
      </c>
      <c r="D202" s="877">
        <v>0</v>
      </c>
      <c r="E202" s="11"/>
      <c r="F202" s="2"/>
      <c r="H202" s="1"/>
      <c r="I202" s="1"/>
      <c r="M202" s="3"/>
      <c r="O202" s="1"/>
    </row>
    <row r="203" spans="2:15" ht="15" customHeight="1">
      <c r="B203" s="16" t="s">
        <v>435</v>
      </c>
      <c r="C203" s="17"/>
      <c r="D203" s="18"/>
      <c r="E203" s="34"/>
      <c r="F203" s="2"/>
      <c r="H203" s="1"/>
      <c r="I203" s="1"/>
      <c r="M203" s="3"/>
      <c r="O203" s="1"/>
    </row>
    <row r="204" spans="2:15" ht="15" customHeight="1">
      <c r="B204" s="10"/>
      <c r="C204" s="9" t="s">
        <v>436</v>
      </c>
      <c r="D204" s="877">
        <v>0</v>
      </c>
      <c r="E204" s="46"/>
      <c r="F204" s="2"/>
      <c r="H204" s="1"/>
      <c r="I204" s="1"/>
      <c r="M204" s="3"/>
      <c r="O204" s="1"/>
    </row>
    <row r="205" spans="2:15" ht="15" customHeight="1">
      <c r="B205" s="10"/>
      <c r="C205" s="9" t="s">
        <v>439</v>
      </c>
      <c r="D205" s="10"/>
      <c r="E205" s="46"/>
      <c r="F205" s="2"/>
      <c r="H205" s="1"/>
      <c r="I205" s="1"/>
      <c r="M205" s="3"/>
      <c r="O205" s="1"/>
    </row>
    <row r="206" spans="2:15" ht="15" customHeight="1">
      <c r="B206" s="10"/>
      <c r="C206" s="184" t="s">
        <v>437</v>
      </c>
      <c r="D206" s="877">
        <v>0</v>
      </c>
      <c r="E206" s="46"/>
      <c r="F206" s="2"/>
      <c r="H206" s="1"/>
      <c r="I206" s="1"/>
      <c r="M206" s="3"/>
      <c r="O206" s="1"/>
    </row>
    <row r="207" spans="2:15" ht="15" customHeight="1" thickBot="1">
      <c r="B207" s="31"/>
      <c r="C207" s="191" t="s">
        <v>438</v>
      </c>
      <c r="D207" s="885">
        <v>0</v>
      </c>
      <c r="E207" s="49"/>
      <c r="F207" s="2"/>
      <c r="H207" s="1"/>
      <c r="I207" s="1"/>
      <c r="M207" s="3"/>
      <c r="O207" s="1"/>
    </row>
  </sheetData>
  <mergeCells count="57">
    <mergeCell ref="B199:E199"/>
    <mergeCell ref="B69:I69"/>
    <mergeCell ref="D57:E57"/>
    <mergeCell ref="H57:I57"/>
    <mergeCell ref="B63:C63"/>
    <mergeCell ref="D63:I63"/>
    <mergeCell ref="B61:C61"/>
    <mergeCell ref="D61:I61"/>
    <mergeCell ref="B184:E184"/>
    <mergeCell ref="B59:C59"/>
    <mergeCell ref="D59:E59"/>
    <mergeCell ref="F59:G59"/>
    <mergeCell ref="F57:G57"/>
    <mergeCell ref="F58:G58"/>
    <mergeCell ref="D58:E58"/>
    <mergeCell ref="D62:I62"/>
    <mergeCell ref="B34:C34"/>
    <mergeCell ref="H58:I58"/>
    <mergeCell ref="B20:C20"/>
    <mergeCell ref="D20:E20"/>
    <mergeCell ref="H20:I20"/>
    <mergeCell ref="F20:G20"/>
    <mergeCell ref="F21:G21"/>
    <mergeCell ref="B41:C41"/>
    <mergeCell ref="B54:C54"/>
    <mergeCell ref="F56:G56"/>
    <mergeCell ref="D43:E43"/>
    <mergeCell ref="H43:I43"/>
    <mergeCell ref="B43:C43"/>
    <mergeCell ref="B38:C38"/>
    <mergeCell ref="B2:C3"/>
    <mergeCell ref="D2:E3"/>
    <mergeCell ref="H2:I3"/>
    <mergeCell ref="B4:C4"/>
    <mergeCell ref="D15:E15"/>
    <mergeCell ref="H15:I15"/>
    <mergeCell ref="B14:C14"/>
    <mergeCell ref="D14:E14"/>
    <mergeCell ref="H14:I14"/>
    <mergeCell ref="F2:G3"/>
    <mergeCell ref="F14:G14"/>
    <mergeCell ref="F15:G15"/>
    <mergeCell ref="H59:I59"/>
    <mergeCell ref="H21:I21"/>
    <mergeCell ref="D21:E21"/>
    <mergeCell ref="D29:E29"/>
    <mergeCell ref="D56:E56"/>
    <mergeCell ref="H56:I56"/>
    <mergeCell ref="D55:E55"/>
    <mergeCell ref="H55:I55"/>
    <mergeCell ref="F55:G55"/>
    <mergeCell ref="H28:I28"/>
    <mergeCell ref="D28:E28"/>
    <mergeCell ref="F28:G28"/>
    <mergeCell ref="H29:I29"/>
    <mergeCell ref="F29:G29"/>
    <mergeCell ref="F43:G43"/>
  </mergeCells>
  <conditionalFormatting sqref="H55:H58 E34 E38 H28 D20 H20 I34 I38 D14:E14 D28 D55:D58">
    <cfRule type="cellIs" dxfId="1627" priority="31" stopIfTrue="1" operator="equal">
      <formula>4</formula>
    </cfRule>
    <cfRule type="cellIs" dxfId="1626" priority="32" stopIfTrue="1" operator="greaterThanOrEqual">
      <formula>2.67</formula>
    </cfRule>
    <cfRule type="cellIs" dxfId="1625" priority="33" stopIfTrue="1" operator="greaterThanOrEqual">
      <formula>1.33</formula>
    </cfRule>
    <cfRule type="cellIs" dxfId="1624" priority="34" stopIfTrue="1" operator="greaterThanOrEqual">
      <formula>0.001</formula>
    </cfRule>
    <cfRule type="cellIs" dxfId="1623" priority="35" stopIfTrue="1" operator="equal">
      <formula>0</formula>
    </cfRule>
  </conditionalFormatting>
  <conditionalFormatting sqref="G34 G38 F43 F20 F14:G14 F28 F55:F58">
    <cfRule type="cellIs" dxfId="1622" priority="16" stopIfTrue="1" operator="equal">
      <formula>4</formula>
    </cfRule>
    <cfRule type="cellIs" dxfId="1621" priority="17" stopIfTrue="1" operator="greaterThanOrEqual">
      <formula>2.67</formula>
    </cfRule>
    <cfRule type="cellIs" dxfId="1620" priority="18" stopIfTrue="1" operator="greaterThanOrEqual">
      <formula>1.33</formula>
    </cfRule>
    <cfRule type="cellIs" dxfId="1619" priority="19" stopIfTrue="1" operator="greaterThanOrEqual">
      <formula>0.001</formula>
    </cfRule>
    <cfRule type="cellIs" dxfId="1618" priority="20" stopIfTrue="1" operator="equal">
      <formula>0</formula>
    </cfRule>
  </conditionalFormatting>
  <conditionalFormatting sqref="H14:I14">
    <cfRule type="cellIs" dxfId="1617" priority="11" stopIfTrue="1" operator="equal">
      <formula>4</formula>
    </cfRule>
    <cfRule type="cellIs" dxfId="1616" priority="12" stopIfTrue="1" operator="greaterThanOrEqual">
      <formula>2.67</formula>
    </cfRule>
    <cfRule type="cellIs" dxfId="1615" priority="13" stopIfTrue="1" operator="greaterThanOrEqual">
      <formula>1.33</formula>
    </cfRule>
    <cfRule type="cellIs" dxfId="1614" priority="14" stopIfTrue="1" operator="greaterThanOrEqual">
      <formula>0.001</formula>
    </cfRule>
    <cfRule type="cellIs" dxfId="1613" priority="15" stopIfTrue="1" operator="equal">
      <formula>0</formula>
    </cfRule>
  </conditionalFormatting>
  <conditionalFormatting sqref="H43">
    <cfRule type="cellIs" dxfId="1612" priority="6" stopIfTrue="1" operator="equal">
      <formula>4</formula>
    </cfRule>
    <cfRule type="cellIs" dxfId="1611" priority="7" stopIfTrue="1" operator="greaterThanOrEqual">
      <formula>2.67</formula>
    </cfRule>
    <cfRule type="cellIs" dxfId="1610" priority="8" stopIfTrue="1" operator="greaterThanOrEqual">
      <formula>1.33</formula>
    </cfRule>
    <cfRule type="cellIs" dxfId="1609" priority="9" stopIfTrue="1" operator="greaterThanOrEqual">
      <formula>0.001</formula>
    </cfRule>
    <cfRule type="cellIs" dxfId="1608" priority="10" stopIfTrue="1" operator="equal">
      <formula>0</formula>
    </cfRule>
  </conditionalFormatting>
  <conditionalFormatting sqref="D43">
    <cfRule type="cellIs" dxfId="1607" priority="1" stopIfTrue="1" operator="equal">
      <formula>4</formula>
    </cfRule>
    <cfRule type="cellIs" dxfId="1606" priority="2" stopIfTrue="1" operator="greaterThanOrEqual">
      <formula>2.67</formula>
    </cfRule>
    <cfRule type="cellIs" dxfId="1605" priority="3" stopIfTrue="1" operator="greaterThanOrEqual">
      <formula>1.33</formula>
    </cfRule>
    <cfRule type="cellIs" dxfId="1604" priority="4" stopIfTrue="1" operator="greaterThanOrEqual">
      <formula>0.001</formula>
    </cfRule>
    <cfRule type="cellIs" dxfId="1603" priority="5" stopIfTrue="1" operator="equal">
      <formula>0</formula>
    </cfRule>
  </conditionalFormatting>
  <dataValidations count="6">
    <dataValidation type="list" allowBlank="1" showInputMessage="1" showErrorMessage="1" sqref="D61 F61" xr:uid="{00000000-0002-0000-0400-000000000000}">
      <formula1>"0,-1,-2,-3,-4,-5"</formula1>
    </dataValidation>
    <dataValidation type="list" allowBlank="1" showInputMessage="1" showErrorMessage="1" sqref="B8" xr:uid="{00000000-0002-0000-0400-000001000000}">
      <formula1>"700,1000"</formula1>
    </dataValidation>
    <dataValidation type="list" allowBlank="1" showInputMessage="1" showErrorMessage="1" sqref="D10:D12 D37 F10:F12 H10:H12 D26:D27 H26 D33 H33 H37" xr:uid="{00000000-0002-0000-0400-000002000000}">
      <formula1>"0,-1"</formula1>
    </dataValidation>
    <dataValidation type="list" allowBlank="1" showInputMessage="1" showErrorMessage="1" sqref="I6 D6" xr:uid="{00000000-0002-0000-0400-000003000000}">
      <formula1>"Yes,No"</formula1>
    </dataValidation>
    <dataValidation type="list" allowBlank="1" showInputMessage="1" showErrorMessage="1" sqref="H13" xr:uid="{22A8E13E-E36F-45C7-BF71-895A8C9FA913}">
      <formula1>"0,-2,-4"</formula1>
    </dataValidation>
    <dataValidation type="list" allowBlank="1" showInputMessage="1" showErrorMessage="1" sqref="D40 F40 H40" xr:uid="{68B817F2-9C29-4887-B0D5-CD81BE2A2E87}">
      <formula1>"0,-4"</formula1>
    </dataValidation>
  </dataValidations>
  <pageMargins left="0.8" right="0.44" top="0.53" bottom="1" header="0.5" footer="0.5"/>
  <pageSetup paperSize="9" scale="4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indexed="51"/>
    <pageSetUpPr fitToPage="1"/>
  </sheetPr>
  <dimension ref="B1:M158"/>
  <sheetViews>
    <sheetView showGridLines="0" showOutlineSymbols="0" topLeftCell="A41" zoomScaleNormal="100" workbookViewId="0"/>
  </sheetViews>
  <sheetFormatPr defaultColWidth="8.7109375" defaultRowHeight="12.75"/>
  <cols>
    <col min="1" max="2" width="8.7109375" style="1"/>
    <col min="3" max="3" width="40.42578125" style="1" customWidth="1"/>
    <col min="4" max="4" width="10.5703125" style="1" customWidth="1"/>
    <col min="5" max="5" width="10.5703125" style="2" customWidth="1"/>
    <col min="6" max="10" width="8.7109375" style="1" customWidth="1"/>
    <col min="11" max="11" width="9.28515625" style="3" customWidth="1"/>
    <col min="12" max="16384" width="8.7109375" style="1"/>
  </cols>
  <sheetData>
    <row r="1" spans="2:11" ht="13.5" thickBot="1"/>
    <row r="2" spans="2:11" s="4" customFormat="1" ht="12.75" customHeight="1">
      <c r="B2" s="1450" t="s">
        <v>100</v>
      </c>
      <c r="C2" s="1451"/>
      <c r="D2" s="1454" t="s">
        <v>49</v>
      </c>
      <c r="E2" s="1486"/>
      <c r="K2" s="5"/>
    </row>
    <row r="3" spans="2:11" s="4" customFormat="1" ht="15" customHeight="1">
      <c r="B3" s="1452"/>
      <c r="C3" s="1453"/>
      <c r="D3" s="1456"/>
      <c r="E3" s="1487"/>
      <c r="K3" s="5"/>
    </row>
    <row r="4" spans="2:11" ht="15" customHeight="1" thickBot="1">
      <c r="B4" s="1484" t="str">
        <f>'General Overview'!G6</f>
        <v/>
      </c>
      <c r="C4" s="1485"/>
      <c r="D4" s="6" t="s">
        <v>99</v>
      </c>
      <c r="E4" s="7" t="s">
        <v>40</v>
      </c>
    </row>
    <row r="5" spans="2:11" ht="15" customHeight="1">
      <c r="B5" s="8" t="s">
        <v>65</v>
      </c>
      <c r="C5" s="9"/>
      <c r="D5" s="10"/>
      <c r="E5" s="11"/>
    </row>
    <row r="6" spans="2:11" ht="15" customHeight="1">
      <c r="B6" s="10"/>
      <c r="C6" s="9" t="s">
        <v>67</v>
      </c>
      <c r="D6" s="878"/>
      <c r="E6" s="12"/>
      <c r="J6" s="13"/>
    </row>
    <row r="7" spans="2:11" ht="15" customHeight="1">
      <c r="B7" s="10"/>
      <c r="C7" s="9" t="s">
        <v>368</v>
      </c>
      <c r="D7" s="878"/>
      <c r="E7" s="12">
        <f>ROUND(Sliding_Scale(D7,500,700,4,0),Round)</f>
        <v>0</v>
      </c>
    </row>
    <row r="8" spans="2:11" ht="15" customHeight="1">
      <c r="B8" s="10"/>
      <c r="C8" s="9" t="s">
        <v>68</v>
      </c>
      <c r="D8" s="877"/>
      <c r="E8" s="12">
        <f>ROUND(Sliding_Scale(D8,72,80,4,0),Round)</f>
        <v>0</v>
      </c>
      <c r="G8" s="14"/>
    </row>
    <row r="9" spans="2:11" ht="15" customHeight="1" thickBot="1">
      <c r="B9" s="10"/>
      <c r="C9" s="9" t="s">
        <v>106</v>
      </c>
      <c r="D9" s="875"/>
      <c r="E9" s="12">
        <f>D9</f>
        <v>0</v>
      </c>
    </row>
    <row r="10" spans="2:11" ht="15" customHeight="1" thickBot="1">
      <c r="B10" s="1395" t="s">
        <v>45</v>
      </c>
      <c r="C10" s="1396"/>
      <c r="D10" s="1397">
        <f>MAX(MIN(E7:E8)+E9,0)</f>
        <v>0</v>
      </c>
      <c r="E10" s="1488"/>
    </row>
    <row r="11" spans="2:11" ht="15" customHeight="1" thickBot="1">
      <c r="D11" s="1436"/>
      <c r="E11" s="1436"/>
    </row>
    <row r="12" spans="2:11" ht="15" customHeight="1">
      <c r="B12" s="16" t="s">
        <v>59</v>
      </c>
      <c r="C12" s="17"/>
      <c r="D12" s="18"/>
      <c r="E12" s="19"/>
    </row>
    <row r="13" spans="2:11" ht="15" customHeight="1">
      <c r="B13" s="8"/>
      <c r="C13" s="9"/>
      <c r="D13" s="10"/>
      <c r="E13" s="12"/>
    </row>
    <row r="14" spans="2:11" ht="15" customHeight="1">
      <c r="B14" s="10"/>
      <c r="C14" s="9" t="s">
        <v>378</v>
      </c>
      <c r="D14" s="10"/>
      <c r="E14" s="12"/>
    </row>
    <row r="15" spans="2:11" ht="15" customHeight="1">
      <c r="B15" s="10"/>
      <c r="C15" s="24" t="s">
        <v>79</v>
      </c>
      <c r="D15" s="877"/>
      <c r="E15" s="12">
        <f>ROUND(Sliding_Scale(D15,28,50,4,0),Round)</f>
        <v>0</v>
      </c>
    </row>
    <row r="16" spans="2:11" ht="15" customHeight="1">
      <c r="B16" s="10"/>
      <c r="C16" s="24" t="s">
        <v>104</v>
      </c>
      <c r="D16" s="877"/>
      <c r="E16" s="12">
        <f>ROUND(Sliding_Scale(D16,28,50,4,0),Round)</f>
        <v>0</v>
      </c>
    </row>
    <row r="17" spans="2:5" ht="15" customHeight="1" thickBot="1">
      <c r="B17" s="10"/>
      <c r="C17" s="24" t="s">
        <v>105</v>
      </c>
      <c r="D17" s="877"/>
      <c r="E17" s="12">
        <f>ROUND(Sliding_Scale(D17,28,50,4,0),Round)</f>
        <v>0</v>
      </c>
    </row>
    <row r="18" spans="2:5" ht="15" customHeight="1" thickBot="1">
      <c r="B18" s="1393" t="s">
        <v>376</v>
      </c>
      <c r="C18" s="1483"/>
      <c r="D18" s="20"/>
      <c r="E18" s="21">
        <f>MIN(E15:E17)</f>
        <v>0</v>
      </c>
    </row>
    <row r="19" spans="2:5" ht="15" customHeight="1">
      <c r="B19" s="10"/>
      <c r="C19" s="9" t="s">
        <v>372</v>
      </c>
      <c r="D19" s="10"/>
      <c r="E19" s="12">
        <f>IF(D20&gt;=3,-4,0)</f>
        <v>0</v>
      </c>
    </row>
    <row r="20" spans="2:5" ht="15" customHeight="1">
      <c r="B20" s="22"/>
      <c r="C20" s="24" t="s">
        <v>371</v>
      </c>
      <c r="D20" s="877"/>
      <c r="E20" s="12"/>
    </row>
    <row r="21" spans="2:5" ht="15" customHeight="1">
      <c r="B21" s="10"/>
      <c r="C21" s="9" t="s">
        <v>373</v>
      </c>
      <c r="D21" s="10"/>
      <c r="E21" s="12">
        <f>IF(OR(D22&gt;=1,D23&gt;=1,D24&gt;=1),-4,0)</f>
        <v>0</v>
      </c>
    </row>
    <row r="22" spans="2:5" ht="15" customHeight="1">
      <c r="B22" s="10"/>
      <c r="C22" s="24" t="s">
        <v>374</v>
      </c>
      <c r="D22" s="877"/>
      <c r="E22" s="12"/>
    </row>
    <row r="23" spans="2:5" ht="15" customHeight="1">
      <c r="B23" s="10"/>
      <c r="C23" s="24" t="s">
        <v>375</v>
      </c>
      <c r="D23" s="877"/>
      <c r="E23" s="12"/>
    </row>
    <row r="24" spans="2:5" ht="15" customHeight="1">
      <c r="B24" s="10"/>
      <c r="C24" s="24" t="s">
        <v>360</v>
      </c>
      <c r="D24" s="877"/>
      <c r="E24" s="12"/>
    </row>
    <row r="25" spans="2:5" ht="15" customHeight="1" thickBot="1">
      <c r="B25" s="10"/>
      <c r="C25" s="9" t="s">
        <v>106</v>
      </c>
      <c r="D25" s="875"/>
      <c r="E25" s="12">
        <f>D25</f>
        <v>0</v>
      </c>
    </row>
    <row r="26" spans="2:5" ht="15" customHeight="1" thickBot="1">
      <c r="B26" s="1395" t="s">
        <v>51</v>
      </c>
      <c r="C26" s="1403"/>
      <c r="D26" s="1384">
        <f>MAX(MIN(E15:E17)+SUM(E19,E21,E25),0)</f>
        <v>0</v>
      </c>
      <c r="E26" s="1381"/>
    </row>
    <row r="27" spans="2:5" ht="15" customHeight="1" thickBot="1">
      <c r="D27" s="1436"/>
      <c r="E27" s="1436"/>
    </row>
    <row r="28" spans="2:5" ht="15" customHeight="1">
      <c r="B28" s="16" t="s">
        <v>80</v>
      </c>
      <c r="C28" s="17"/>
      <c r="D28" s="18"/>
      <c r="E28" s="19"/>
    </row>
    <row r="29" spans="2:5" ht="15" customHeight="1">
      <c r="B29" s="10"/>
      <c r="C29" s="9" t="s">
        <v>378</v>
      </c>
      <c r="D29" s="10"/>
      <c r="E29" s="12"/>
    </row>
    <row r="30" spans="2:5" ht="15" customHeight="1">
      <c r="B30" s="10"/>
      <c r="C30" s="24" t="s">
        <v>79</v>
      </c>
      <c r="D30" s="877"/>
      <c r="E30" s="12">
        <f>ROUND(Sliding_Scale(D30,47,65,4,0),Round)</f>
        <v>0</v>
      </c>
    </row>
    <row r="31" spans="2:5" ht="15" customHeight="1" thickBot="1">
      <c r="B31" s="10"/>
      <c r="C31" s="24" t="s">
        <v>105</v>
      </c>
      <c r="D31" s="877"/>
      <c r="E31" s="12">
        <f>ROUND(Sliding_Scale(D31,47,65,4,0),Round)</f>
        <v>0</v>
      </c>
    </row>
    <row r="32" spans="2:5" ht="15" customHeight="1" thickBot="1">
      <c r="B32" s="1393" t="s">
        <v>377</v>
      </c>
      <c r="C32" s="1483"/>
      <c r="D32" s="20"/>
      <c r="E32" s="21">
        <f>MIN(E30:E31)</f>
        <v>0</v>
      </c>
    </row>
    <row r="33" spans="2:10" ht="15" customHeight="1">
      <c r="B33" s="10"/>
      <c r="C33" s="9" t="s">
        <v>373</v>
      </c>
      <c r="D33" s="10"/>
      <c r="E33" s="12">
        <f>IF(OR(D34&gt;=1,D35&gt;=1),-4,0)</f>
        <v>0</v>
      </c>
    </row>
    <row r="34" spans="2:10" ht="15" customHeight="1">
      <c r="B34" s="10"/>
      <c r="C34" s="24" t="s">
        <v>374</v>
      </c>
      <c r="D34" s="877"/>
      <c r="E34" s="12"/>
    </row>
    <row r="35" spans="2:10" ht="15" customHeight="1">
      <c r="B35" s="10"/>
      <c r="C35" s="24" t="s">
        <v>360</v>
      </c>
      <c r="D35" s="877"/>
      <c r="E35" s="12"/>
    </row>
    <row r="36" spans="2:10" ht="15" customHeight="1" thickBot="1">
      <c r="B36" s="10"/>
      <c r="C36" s="9" t="s">
        <v>106</v>
      </c>
      <c r="D36" s="875"/>
      <c r="E36" s="12">
        <f>D36</f>
        <v>0</v>
      </c>
    </row>
    <row r="37" spans="2:10" ht="15" customHeight="1" thickBot="1">
      <c r="B37" s="1395" t="s">
        <v>52</v>
      </c>
      <c r="C37" s="1403"/>
      <c r="D37" s="1384">
        <f>MAX(MIN(E30:E31)+SUM(E33,E36),0)</f>
        <v>0</v>
      </c>
      <c r="E37" s="1381"/>
    </row>
    <row r="38" spans="2:10" ht="15" customHeight="1" thickBot="1">
      <c r="C38" s="4"/>
      <c r="D38" s="1436"/>
      <c r="E38" s="1436"/>
      <c r="J38" s="24"/>
    </row>
    <row r="39" spans="2:10" ht="15" customHeight="1">
      <c r="B39" s="16" t="s">
        <v>42</v>
      </c>
      <c r="C39" s="17"/>
      <c r="D39" s="18"/>
      <c r="E39" s="19"/>
    </row>
    <row r="40" spans="2:10" ht="15" customHeight="1">
      <c r="B40" s="10"/>
      <c r="C40" s="9" t="s">
        <v>43</v>
      </c>
      <c r="D40" s="877"/>
      <c r="E40" s="12">
        <f>ROUND(Sliding_Scale(D40,1.7,2.8,4,0),Round)</f>
        <v>0</v>
      </c>
    </row>
    <row r="41" spans="2:10" ht="15" customHeight="1" thickBot="1">
      <c r="B41" s="10"/>
      <c r="C41" s="9" t="s">
        <v>106</v>
      </c>
      <c r="D41" s="875"/>
      <c r="E41" s="12">
        <f>D41</f>
        <v>0</v>
      </c>
    </row>
    <row r="42" spans="2:10" ht="15" customHeight="1" thickBot="1">
      <c r="B42" s="1395" t="s">
        <v>53</v>
      </c>
      <c r="C42" s="1396"/>
      <c r="D42" s="1397">
        <f>MAX(E40+E41,0)</f>
        <v>0</v>
      </c>
      <c r="E42" s="1488"/>
    </row>
    <row r="43" spans="2:10" ht="15" customHeight="1" thickBot="1">
      <c r="B43" s="25"/>
      <c r="C43" s="26"/>
      <c r="D43" s="1436"/>
      <c r="E43" s="1436"/>
    </row>
    <row r="44" spans="2:10" ht="15" customHeight="1" thickBot="1">
      <c r="B44" s="1395" t="s">
        <v>37</v>
      </c>
      <c r="C44" s="1403"/>
      <c r="D44" s="28"/>
      <c r="E44" s="29"/>
    </row>
    <row r="45" spans="2:10" ht="15" customHeight="1">
      <c r="B45" s="10"/>
      <c r="C45" s="30" t="s">
        <v>45</v>
      </c>
      <c r="D45" s="1404">
        <f>D10</f>
        <v>0</v>
      </c>
      <c r="E45" s="1489"/>
    </row>
    <row r="46" spans="2:10" ht="15" customHeight="1">
      <c r="B46" s="10"/>
      <c r="C46" s="30" t="s">
        <v>51</v>
      </c>
      <c r="D46" s="1407">
        <f>D26</f>
        <v>0</v>
      </c>
      <c r="E46" s="1492"/>
    </row>
    <row r="47" spans="2:10" ht="15" customHeight="1">
      <c r="B47" s="10"/>
      <c r="C47" s="30" t="s">
        <v>52</v>
      </c>
      <c r="D47" s="1410">
        <f>D37</f>
        <v>0</v>
      </c>
      <c r="E47" s="1490"/>
    </row>
    <row r="48" spans="2:10" ht="15" customHeight="1" thickBot="1">
      <c r="B48" s="31"/>
      <c r="C48" s="32" t="s">
        <v>53</v>
      </c>
      <c r="D48" s="1413">
        <f>D42</f>
        <v>0</v>
      </c>
      <c r="E48" s="1491"/>
    </row>
    <row r="49" spans="2:10" ht="15" customHeight="1" thickBot="1">
      <c r="B49" s="1395" t="s">
        <v>781</v>
      </c>
      <c r="C49" s="1396"/>
      <c r="D49" s="1416">
        <f>SUM(D45:E48)</f>
        <v>0</v>
      </c>
      <c r="E49" s="1419"/>
      <c r="F49" s="9"/>
      <c r="G49" s="9"/>
      <c r="H49" s="9"/>
      <c r="I49" s="9"/>
      <c r="J49" s="9"/>
    </row>
    <row r="50" spans="2:10" ht="15" customHeight="1" thickBot="1">
      <c r="B50" s="25"/>
      <c r="C50" s="26"/>
      <c r="D50" s="25"/>
      <c r="E50" s="27"/>
      <c r="F50" s="9"/>
      <c r="G50" s="9"/>
      <c r="H50" s="9"/>
      <c r="I50" s="9"/>
      <c r="J50" s="9"/>
    </row>
    <row r="51" spans="2:10" ht="15" customHeight="1" thickBot="1">
      <c r="B51" s="1395" t="s">
        <v>54</v>
      </c>
      <c r="C51" s="1396"/>
      <c r="D51" s="1400"/>
      <c r="E51" s="1402"/>
      <c r="F51" s="9"/>
      <c r="G51" s="9"/>
      <c r="H51" s="9"/>
      <c r="I51" s="9"/>
      <c r="J51" s="9"/>
    </row>
    <row r="52" spans="2:10" ht="15" customHeight="1" thickBot="1">
      <c r="D52" s="1493" t="b">
        <f>IF(OR(D45=0,D46=0,D47=0,D48=0,'COP Dynamic'!E45=0,'COP Dynamic'!G45=0),TRUE,FALSE)</f>
        <v>1</v>
      </c>
      <c r="E52" s="1493"/>
      <c r="F52" s="9"/>
      <c r="G52" s="9"/>
      <c r="H52" s="629"/>
      <c r="I52" s="9"/>
      <c r="J52" s="9"/>
    </row>
    <row r="53" spans="2:10" ht="21.75" thickBot="1">
      <c r="B53" s="1420" t="s">
        <v>0</v>
      </c>
      <c r="C53" s="1421"/>
      <c r="D53" s="1422">
        <f>ROUND(IF(OR(E7=0,E8=0,E15=0,E16=0,E17=0,E30=0,E31=0,E40=0),0,(D49+D51)/16*6),Round)</f>
        <v>0</v>
      </c>
      <c r="E53" s="1424"/>
      <c r="F53" s="828"/>
      <c r="G53" s="9"/>
      <c r="H53" s="9"/>
      <c r="I53" s="9"/>
      <c r="J53" s="9"/>
    </row>
    <row r="58" spans="2:10" ht="13.5" thickBot="1"/>
    <row r="59" spans="2:10" ht="16.5" thickBot="1">
      <c r="B59" s="1348" t="s">
        <v>390</v>
      </c>
      <c r="C59" s="1349"/>
      <c r="D59" s="1349"/>
      <c r="E59" s="1350"/>
    </row>
    <row r="60" spans="2:10">
      <c r="B60" s="16" t="s">
        <v>363</v>
      </c>
      <c r="C60" s="34"/>
      <c r="D60" s="182"/>
      <c r="E60" s="33"/>
    </row>
    <row r="61" spans="2:10">
      <c r="B61" s="183" t="s">
        <v>387</v>
      </c>
      <c r="C61" s="184" t="s">
        <v>380</v>
      </c>
      <c r="D61" s="1213"/>
      <c r="E61" s="11"/>
    </row>
    <row r="62" spans="2:10" ht="13.5" thickBot="1">
      <c r="B62" s="183"/>
      <c r="C62" s="184" t="s">
        <v>381</v>
      </c>
      <c r="D62" s="1213"/>
      <c r="E62" s="533"/>
      <c r="F62" s="537"/>
    </row>
    <row r="63" spans="2:10" ht="13.5" thickBot="1">
      <c r="B63" s="183" t="s">
        <v>388</v>
      </c>
      <c r="C63" s="184" t="s">
        <v>380</v>
      </c>
      <c r="D63" s="1213"/>
      <c r="E63" s="533"/>
      <c r="F63" s="538"/>
    </row>
    <row r="64" spans="2:10" ht="13.5" thickBot="1">
      <c r="B64" s="183"/>
      <c r="C64" s="184" t="s">
        <v>381</v>
      </c>
      <c r="D64" s="1213"/>
      <c r="E64" s="533"/>
      <c r="F64" s="538"/>
    </row>
    <row r="65" spans="2:6" ht="13.5" thickBot="1">
      <c r="B65" s="183" t="s">
        <v>389</v>
      </c>
      <c r="C65" s="184" t="s">
        <v>380</v>
      </c>
      <c r="D65" s="1213"/>
      <c r="E65" s="533"/>
      <c r="F65" s="538"/>
    </row>
    <row r="66" spans="2:6" ht="13.5" thickBot="1">
      <c r="B66" s="183"/>
      <c r="C66" s="184" t="s">
        <v>381</v>
      </c>
      <c r="D66" s="1214"/>
      <c r="E66" s="533"/>
      <c r="F66" s="538"/>
    </row>
    <row r="67" spans="2:6" ht="13.5" thickBot="1">
      <c r="B67" s="16" t="s">
        <v>354</v>
      </c>
      <c r="C67" s="186"/>
      <c r="D67" s="916"/>
      <c r="E67" s="533"/>
      <c r="F67" s="538"/>
    </row>
    <row r="68" spans="2:6" ht="13.5" thickBot="1">
      <c r="B68" s="183" t="s">
        <v>379</v>
      </c>
      <c r="C68" s="184" t="s">
        <v>380</v>
      </c>
      <c r="D68" s="1213"/>
      <c r="E68" s="533"/>
      <c r="F68" s="538"/>
    </row>
    <row r="69" spans="2:6" ht="13.5" thickBot="1">
      <c r="B69" s="183"/>
      <c r="C69" s="184" t="s">
        <v>381</v>
      </c>
      <c r="D69" s="1213"/>
      <c r="E69" s="533"/>
      <c r="F69" s="538"/>
    </row>
    <row r="70" spans="2:6" ht="13.5" thickBot="1">
      <c r="B70" s="183" t="s">
        <v>382</v>
      </c>
      <c r="C70" s="184" t="s">
        <v>380</v>
      </c>
      <c r="D70" s="1213"/>
      <c r="E70" s="533"/>
      <c r="F70" s="538"/>
    </row>
    <row r="71" spans="2:6" ht="13.5" thickBot="1">
      <c r="B71" s="183"/>
      <c r="C71" s="184" t="s">
        <v>381</v>
      </c>
      <c r="D71" s="1213"/>
      <c r="E71" s="533"/>
      <c r="F71" s="538"/>
    </row>
    <row r="72" spans="2:6" ht="13.5" thickBot="1">
      <c r="B72" s="183" t="s">
        <v>386</v>
      </c>
      <c r="C72" s="184" t="s">
        <v>380</v>
      </c>
      <c r="D72" s="1213"/>
      <c r="E72" s="533"/>
      <c r="F72" s="538"/>
    </row>
    <row r="73" spans="2:6" ht="13.5" thickBot="1">
      <c r="B73" s="183"/>
      <c r="C73" s="184" t="s">
        <v>381</v>
      </c>
      <c r="D73" s="1213"/>
      <c r="E73" s="533"/>
      <c r="F73" s="538"/>
    </row>
    <row r="74" spans="2:6" ht="13.5" thickBot="1">
      <c r="B74" s="183" t="s">
        <v>385</v>
      </c>
      <c r="C74" s="184" t="s">
        <v>380</v>
      </c>
      <c r="D74" s="1213"/>
      <c r="E74" s="533"/>
      <c r="F74" s="538"/>
    </row>
    <row r="75" spans="2:6" ht="13.5" thickBot="1">
      <c r="B75" s="183"/>
      <c r="C75" s="184" t="s">
        <v>381</v>
      </c>
      <c r="D75" s="1213"/>
      <c r="E75" s="533"/>
      <c r="F75" s="538"/>
    </row>
    <row r="76" spans="2:6" ht="13.5" thickBot="1">
      <c r="B76" s="183" t="s">
        <v>383</v>
      </c>
      <c r="C76" s="184" t="s">
        <v>380</v>
      </c>
      <c r="D76" s="1213"/>
      <c r="E76" s="533"/>
      <c r="F76" s="538"/>
    </row>
    <row r="77" spans="2:6" ht="13.5" thickBot="1">
      <c r="B77" s="183"/>
      <c r="C77" s="184" t="s">
        <v>381</v>
      </c>
      <c r="D77" s="1213"/>
      <c r="E77" s="533"/>
      <c r="F77" s="538"/>
    </row>
    <row r="78" spans="2:6" ht="13.5" thickBot="1">
      <c r="B78" s="183" t="s">
        <v>384</v>
      </c>
      <c r="C78" s="184" t="s">
        <v>380</v>
      </c>
      <c r="D78" s="1213"/>
      <c r="E78" s="533"/>
      <c r="F78" s="538"/>
    </row>
    <row r="79" spans="2:6" ht="13.5" thickBot="1">
      <c r="B79" s="187"/>
      <c r="C79" s="184" t="s">
        <v>381</v>
      </c>
      <c r="D79" s="1214"/>
      <c r="E79" s="533"/>
      <c r="F79" s="538"/>
    </row>
    <row r="80" spans="2:6" ht="13.5" thickBot="1">
      <c r="B80" s="16" t="s">
        <v>406</v>
      </c>
      <c r="C80" s="186"/>
      <c r="D80" s="916"/>
      <c r="E80" s="533"/>
      <c r="F80" s="538"/>
    </row>
    <row r="81" spans="2:6" ht="13.5" thickBot="1">
      <c r="B81" s="183" t="s">
        <v>379</v>
      </c>
      <c r="C81" s="184" t="s">
        <v>380</v>
      </c>
      <c r="D81" s="1213"/>
      <c r="E81" s="533"/>
      <c r="F81" s="538"/>
    </row>
    <row r="82" spans="2:6" ht="13.5" thickBot="1">
      <c r="B82" s="183"/>
      <c r="C82" s="184" t="s">
        <v>381</v>
      </c>
      <c r="D82" s="1213"/>
      <c r="E82" s="533"/>
      <c r="F82" s="538"/>
    </row>
    <row r="83" spans="2:6" ht="13.5" thickBot="1">
      <c r="B83" s="183" t="s">
        <v>382</v>
      </c>
      <c r="C83" s="184" t="s">
        <v>380</v>
      </c>
      <c r="D83" s="1213"/>
      <c r="E83" s="533"/>
      <c r="F83" s="538"/>
    </row>
    <row r="84" spans="2:6" ht="13.5" thickBot="1">
      <c r="B84" s="183"/>
      <c r="C84" s="184" t="s">
        <v>381</v>
      </c>
      <c r="D84" s="1213"/>
      <c r="E84" s="533"/>
      <c r="F84" s="538"/>
    </row>
    <row r="85" spans="2:6" ht="13.5" thickBot="1">
      <c r="B85" s="183" t="s">
        <v>386</v>
      </c>
      <c r="C85" s="184" t="s">
        <v>380</v>
      </c>
      <c r="D85" s="1213"/>
      <c r="E85" s="533"/>
      <c r="F85" s="538"/>
    </row>
    <row r="86" spans="2:6" ht="13.5" thickBot="1">
      <c r="B86" s="183"/>
      <c r="C86" s="184" t="s">
        <v>381</v>
      </c>
      <c r="D86" s="1213"/>
      <c r="E86" s="533"/>
      <c r="F86" s="538"/>
    </row>
    <row r="87" spans="2:6" ht="13.5" thickBot="1">
      <c r="B87" s="183" t="s">
        <v>361</v>
      </c>
      <c r="C87" s="184" t="s">
        <v>380</v>
      </c>
      <c r="D87" s="1213"/>
      <c r="E87" s="533"/>
      <c r="F87" s="538"/>
    </row>
    <row r="88" spans="2:6" ht="13.5" thickBot="1">
      <c r="B88" s="183"/>
      <c r="C88" s="184" t="s">
        <v>381</v>
      </c>
      <c r="D88" s="1213"/>
      <c r="E88" s="533"/>
      <c r="F88" s="538"/>
    </row>
    <row r="89" spans="2:6" ht="13.5" thickBot="1">
      <c r="B89" s="183" t="s">
        <v>407</v>
      </c>
      <c r="C89" s="184" t="s">
        <v>380</v>
      </c>
      <c r="D89" s="1213"/>
      <c r="E89" s="533"/>
      <c r="F89" s="538"/>
    </row>
    <row r="90" spans="2:6" ht="13.5" thickBot="1">
      <c r="B90" s="183"/>
      <c r="C90" s="184" t="s">
        <v>381</v>
      </c>
      <c r="D90" s="1213"/>
      <c r="E90" s="533"/>
      <c r="F90" s="538"/>
    </row>
    <row r="91" spans="2:6" ht="13.5" thickBot="1">
      <c r="B91" s="16" t="s">
        <v>408</v>
      </c>
      <c r="C91" s="34"/>
      <c r="D91" s="891"/>
      <c r="E91" s="533"/>
      <c r="F91" s="538"/>
    </row>
    <row r="92" spans="2:6" ht="13.5" thickBot="1">
      <c r="B92" s="183" t="s">
        <v>410</v>
      </c>
      <c r="C92" s="184" t="s">
        <v>380</v>
      </c>
      <c r="D92" s="877"/>
      <c r="E92" s="533"/>
      <c r="F92" s="538"/>
    </row>
    <row r="93" spans="2:6" ht="13.5" thickBot="1">
      <c r="B93" s="183"/>
      <c r="C93" s="184" t="s">
        <v>381</v>
      </c>
      <c r="D93" s="877"/>
      <c r="E93" s="533"/>
      <c r="F93" s="538"/>
    </row>
    <row r="94" spans="2:6" ht="13.5" thickBot="1">
      <c r="B94" s="183" t="s">
        <v>411</v>
      </c>
      <c r="C94" s="184" t="s">
        <v>380</v>
      </c>
      <c r="D94" s="877"/>
      <c r="E94" s="533"/>
      <c r="F94" s="538"/>
    </row>
    <row r="95" spans="2:6" ht="13.5" thickBot="1">
      <c r="B95" s="183"/>
      <c r="C95" s="184" t="s">
        <v>381</v>
      </c>
      <c r="D95" s="877"/>
      <c r="E95" s="533"/>
      <c r="F95" s="538"/>
    </row>
    <row r="96" spans="2:6" ht="13.5" thickBot="1">
      <c r="B96" s="183" t="s">
        <v>412</v>
      </c>
      <c r="C96" s="184" t="s">
        <v>380</v>
      </c>
      <c r="D96" s="877"/>
      <c r="E96" s="533"/>
      <c r="F96" s="538"/>
    </row>
    <row r="97" spans="2:6" ht="13.5" thickBot="1">
      <c r="B97" s="183"/>
      <c r="C97" s="184" t="s">
        <v>381</v>
      </c>
      <c r="D97" s="877"/>
      <c r="E97" s="533"/>
      <c r="F97" s="538"/>
    </row>
    <row r="98" spans="2:6" ht="13.5" thickBot="1">
      <c r="B98" s="183" t="s">
        <v>413</v>
      </c>
      <c r="C98" s="184" t="s">
        <v>380</v>
      </c>
      <c r="D98" s="877"/>
      <c r="E98" s="533"/>
      <c r="F98" s="538"/>
    </row>
    <row r="99" spans="2:6" ht="13.5" thickBot="1">
      <c r="B99" s="183"/>
      <c r="C99" s="184" t="s">
        <v>381</v>
      </c>
      <c r="D99" s="877"/>
      <c r="E99" s="533"/>
      <c r="F99" s="538"/>
    </row>
    <row r="100" spans="2:6" ht="13.5" thickBot="1">
      <c r="B100" s="183" t="s">
        <v>414</v>
      </c>
      <c r="C100" s="184" t="s">
        <v>380</v>
      </c>
      <c r="D100" s="877"/>
      <c r="E100" s="533"/>
      <c r="F100" s="538"/>
    </row>
    <row r="101" spans="2:6" ht="13.5" thickBot="1">
      <c r="B101" s="183"/>
      <c r="C101" s="184" t="s">
        <v>381</v>
      </c>
      <c r="D101" s="877"/>
      <c r="E101" s="533"/>
      <c r="F101" s="538"/>
    </row>
    <row r="102" spans="2:6" ht="13.5" thickBot="1">
      <c r="B102" s="183" t="s">
        <v>415</v>
      </c>
      <c r="C102" s="184" t="s">
        <v>380</v>
      </c>
      <c r="D102" s="877"/>
      <c r="E102" s="533"/>
      <c r="F102" s="538"/>
    </row>
    <row r="103" spans="2:6" ht="13.5" thickBot="1">
      <c r="B103" s="183"/>
      <c r="C103" s="184" t="s">
        <v>381</v>
      </c>
      <c r="D103" s="877"/>
      <c r="E103" s="533"/>
      <c r="F103" s="538"/>
    </row>
    <row r="104" spans="2:6" ht="13.5" thickBot="1">
      <c r="B104" s="16" t="s">
        <v>409</v>
      </c>
      <c r="C104" s="34"/>
      <c r="D104" s="891"/>
      <c r="E104" s="533"/>
      <c r="F104" s="538"/>
    </row>
    <row r="105" spans="2:6" ht="13.5" thickBot="1">
      <c r="B105" s="183" t="s">
        <v>410</v>
      </c>
      <c r="C105" s="184" t="s">
        <v>380</v>
      </c>
      <c r="D105" s="877"/>
      <c r="E105" s="533"/>
      <c r="F105" s="538"/>
    </row>
    <row r="106" spans="2:6" ht="13.5" thickBot="1">
      <c r="B106" s="183"/>
      <c r="C106" s="184" t="s">
        <v>381</v>
      </c>
      <c r="D106" s="877"/>
      <c r="E106" s="533"/>
      <c r="F106" s="538"/>
    </row>
    <row r="107" spans="2:6" ht="13.5" thickBot="1">
      <c r="B107" s="183" t="s">
        <v>411</v>
      </c>
      <c r="C107" s="184" t="s">
        <v>380</v>
      </c>
      <c r="D107" s="877"/>
      <c r="E107" s="533"/>
      <c r="F107" s="538"/>
    </row>
    <row r="108" spans="2:6" ht="13.5" thickBot="1">
      <c r="B108" s="183"/>
      <c r="C108" s="184" t="s">
        <v>381</v>
      </c>
      <c r="D108" s="877"/>
      <c r="E108" s="533"/>
      <c r="F108" s="538"/>
    </row>
    <row r="109" spans="2:6" ht="13.5" thickBot="1">
      <c r="B109" s="183" t="s">
        <v>412</v>
      </c>
      <c r="C109" s="184" t="s">
        <v>380</v>
      </c>
      <c r="D109" s="877"/>
      <c r="E109" s="533"/>
      <c r="F109" s="538"/>
    </row>
    <row r="110" spans="2:6" ht="13.5" thickBot="1">
      <c r="B110" s="183"/>
      <c r="C110" s="184" t="s">
        <v>381</v>
      </c>
      <c r="D110" s="877"/>
      <c r="E110" s="533"/>
      <c r="F110" s="538"/>
    </row>
    <row r="111" spans="2:6" ht="13.5" thickBot="1">
      <c r="B111" s="183" t="s">
        <v>413</v>
      </c>
      <c r="C111" s="184" t="s">
        <v>380</v>
      </c>
      <c r="D111" s="877"/>
      <c r="E111" s="533"/>
      <c r="F111" s="538"/>
    </row>
    <row r="112" spans="2:6" ht="13.5" thickBot="1">
      <c r="B112" s="183"/>
      <c r="C112" s="184" t="s">
        <v>381</v>
      </c>
      <c r="D112" s="877"/>
      <c r="E112" s="533"/>
      <c r="F112" s="538"/>
    </row>
    <row r="113" spans="2:6" ht="13.5" thickBot="1">
      <c r="B113" s="16" t="s">
        <v>416</v>
      </c>
      <c r="C113" s="186"/>
      <c r="D113" s="896"/>
      <c r="E113" s="533"/>
      <c r="F113" s="538"/>
    </row>
    <row r="114" spans="2:6" ht="13.5" thickBot="1">
      <c r="B114" s="183" t="s">
        <v>387</v>
      </c>
      <c r="C114" s="184" t="s">
        <v>380</v>
      </c>
      <c r="D114" s="877"/>
      <c r="E114" s="533"/>
      <c r="F114" s="538"/>
    </row>
    <row r="115" spans="2:6" ht="13.5" thickBot="1">
      <c r="B115" s="183"/>
      <c r="C115" s="184" t="s">
        <v>381</v>
      </c>
      <c r="D115" s="877"/>
      <c r="E115" s="533"/>
      <c r="F115" s="538"/>
    </row>
    <row r="116" spans="2:6" ht="13.5" thickBot="1">
      <c r="B116" s="183" t="s">
        <v>388</v>
      </c>
      <c r="C116" s="184" t="s">
        <v>380</v>
      </c>
      <c r="D116" s="877"/>
      <c r="E116" s="533"/>
      <c r="F116" s="538"/>
    </row>
    <row r="117" spans="2:6" ht="13.5" thickBot="1">
      <c r="B117" s="183"/>
      <c r="C117" s="184" t="s">
        <v>381</v>
      </c>
      <c r="D117" s="877"/>
      <c r="E117" s="533"/>
      <c r="F117" s="538"/>
    </row>
    <row r="118" spans="2:6" ht="13.5" thickBot="1">
      <c r="B118" s="183" t="s">
        <v>389</v>
      </c>
      <c r="C118" s="184" t="s">
        <v>380</v>
      </c>
      <c r="D118" s="877"/>
      <c r="E118" s="533"/>
      <c r="F118" s="538"/>
    </row>
    <row r="119" spans="2:6" ht="13.5" thickBot="1">
      <c r="B119" s="183"/>
      <c r="C119" s="184" t="s">
        <v>381</v>
      </c>
      <c r="D119" s="877"/>
      <c r="E119" s="533"/>
      <c r="F119" s="538"/>
    </row>
    <row r="120" spans="2:6" ht="13.5" thickBot="1">
      <c r="B120" s="189" t="s">
        <v>393</v>
      </c>
      <c r="C120" s="186"/>
      <c r="D120" s="896"/>
      <c r="E120" s="533"/>
      <c r="F120" s="538"/>
    </row>
    <row r="121" spans="2:6" ht="13.5" thickBot="1">
      <c r="B121" s="183" t="s">
        <v>387</v>
      </c>
      <c r="C121" s="184" t="s">
        <v>380</v>
      </c>
      <c r="D121" s="877"/>
      <c r="E121" s="533"/>
      <c r="F121" s="538"/>
    </row>
    <row r="122" spans="2:6" ht="13.5" thickBot="1">
      <c r="B122" s="183"/>
      <c r="C122" s="184" t="s">
        <v>381</v>
      </c>
      <c r="D122" s="877"/>
      <c r="E122" s="533"/>
      <c r="F122" s="538"/>
    </row>
    <row r="123" spans="2:6" ht="13.5" thickBot="1">
      <c r="B123" s="183" t="s">
        <v>388</v>
      </c>
      <c r="C123" s="184" t="s">
        <v>380</v>
      </c>
      <c r="D123" s="877"/>
      <c r="E123" s="533"/>
      <c r="F123" s="538"/>
    </row>
    <row r="124" spans="2:6" ht="13.5" thickBot="1">
      <c r="B124" s="183"/>
      <c r="C124" s="184" t="s">
        <v>381</v>
      </c>
      <c r="D124" s="877"/>
      <c r="E124" s="533"/>
      <c r="F124" s="538"/>
    </row>
    <row r="125" spans="2:6" ht="13.5" thickBot="1">
      <c r="B125" s="183" t="s">
        <v>389</v>
      </c>
      <c r="C125" s="184" t="s">
        <v>380</v>
      </c>
      <c r="D125" s="877"/>
      <c r="E125" s="533"/>
      <c r="F125" s="538"/>
    </row>
    <row r="126" spans="2:6" ht="13.5" thickBot="1">
      <c r="B126" s="183"/>
      <c r="C126" s="184" t="s">
        <v>381</v>
      </c>
      <c r="D126" s="877"/>
      <c r="E126" s="533"/>
      <c r="F126" s="538"/>
    </row>
    <row r="127" spans="2:6" ht="13.5" thickBot="1">
      <c r="B127" s="183" t="s">
        <v>382</v>
      </c>
      <c r="C127" s="184" t="s">
        <v>380</v>
      </c>
      <c r="D127" s="893"/>
      <c r="E127" s="533"/>
      <c r="F127" s="538"/>
    </row>
    <row r="128" spans="2:6" ht="13.5" thickBot="1">
      <c r="B128" s="190"/>
      <c r="C128" s="191" t="s">
        <v>381</v>
      </c>
      <c r="D128" s="900"/>
      <c r="E128" s="533"/>
      <c r="F128" s="538"/>
    </row>
    <row r="129" spans="2:13" ht="13.5" thickBot="1">
      <c r="B129" s="16" t="s">
        <v>395</v>
      </c>
      <c r="C129" s="34"/>
      <c r="D129" s="891"/>
      <c r="E129" s="533"/>
      <c r="F129" s="538"/>
    </row>
    <row r="130" spans="2:13" ht="13.5" thickBot="1">
      <c r="B130" s="183" t="s">
        <v>379</v>
      </c>
      <c r="C130" s="184" t="s">
        <v>380</v>
      </c>
      <c r="D130" s="877"/>
      <c r="E130" s="533"/>
      <c r="F130" s="538"/>
    </row>
    <row r="131" spans="2:13" ht="13.5" thickBot="1">
      <c r="B131" s="183"/>
      <c r="C131" s="184" t="s">
        <v>381</v>
      </c>
      <c r="D131" s="877"/>
      <c r="E131" s="533"/>
      <c r="F131" s="538"/>
    </row>
    <row r="132" spans="2:13" ht="13.5" thickBot="1">
      <c r="B132" s="183" t="s">
        <v>382</v>
      </c>
      <c r="C132" s="184" t="s">
        <v>380</v>
      </c>
      <c r="D132" s="877"/>
      <c r="E132" s="533"/>
      <c r="F132" s="538"/>
    </row>
    <row r="133" spans="2:13" ht="13.5" thickBot="1">
      <c r="B133" s="183"/>
      <c r="C133" s="184" t="s">
        <v>381</v>
      </c>
      <c r="D133" s="877"/>
      <c r="E133" s="533"/>
      <c r="F133" s="538"/>
    </row>
    <row r="134" spans="2:13" ht="13.5" thickBot="1">
      <c r="B134" s="187" t="s">
        <v>386</v>
      </c>
      <c r="C134" s="191" t="s">
        <v>380</v>
      </c>
      <c r="D134" s="885"/>
      <c r="E134" s="533"/>
      <c r="F134" s="538"/>
    </row>
    <row r="135" spans="2:13" ht="13.5" thickBot="1">
      <c r="B135" s="16" t="s">
        <v>396</v>
      </c>
      <c r="C135" s="34"/>
      <c r="D135" s="891"/>
      <c r="E135" s="533"/>
      <c r="F135" s="538"/>
    </row>
    <row r="136" spans="2:13" ht="13.5" thickBot="1">
      <c r="B136" s="183" t="s">
        <v>379</v>
      </c>
      <c r="C136" s="184" t="s">
        <v>380</v>
      </c>
      <c r="D136" s="877"/>
      <c r="E136" s="533"/>
      <c r="F136" s="538"/>
    </row>
    <row r="137" spans="2:13" ht="13.5" thickBot="1">
      <c r="B137" s="183"/>
      <c r="C137" s="184" t="s">
        <v>381</v>
      </c>
      <c r="D137" s="877"/>
      <c r="E137" s="533"/>
      <c r="F137" s="538"/>
    </row>
    <row r="138" spans="2:13" ht="13.5" thickBot="1">
      <c r="B138" s="183" t="s">
        <v>382</v>
      </c>
      <c r="C138" s="184" t="s">
        <v>380</v>
      </c>
      <c r="D138" s="877"/>
      <c r="E138" s="533"/>
      <c r="F138" s="538"/>
    </row>
    <row r="139" spans="2:13" ht="13.5" thickBot="1">
      <c r="B139" s="183"/>
      <c r="C139" s="184" t="s">
        <v>381</v>
      </c>
      <c r="D139" s="877"/>
      <c r="E139" s="533"/>
      <c r="F139" s="538"/>
    </row>
    <row r="140" spans="2:13" ht="13.5" thickBot="1">
      <c r="B140" s="187" t="s">
        <v>386</v>
      </c>
      <c r="C140" s="191" t="s">
        <v>380</v>
      </c>
      <c r="D140" s="885"/>
      <c r="E140" s="536"/>
      <c r="F140" s="539"/>
    </row>
    <row r="141" spans="2:13" ht="13.5" thickBot="1">
      <c r="D141" s="80"/>
      <c r="F141" s="2"/>
      <c r="G141" s="2"/>
      <c r="K141" s="1"/>
      <c r="M141" s="3"/>
    </row>
    <row r="142" spans="2:13" ht="16.5" thickBot="1">
      <c r="B142" s="192" t="s">
        <v>429</v>
      </c>
      <c r="C142" s="193"/>
      <c r="D142" s="917"/>
      <c r="E142" s="194"/>
    </row>
    <row r="143" spans="2:13">
      <c r="B143" s="16" t="s">
        <v>425</v>
      </c>
      <c r="C143" s="34"/>
      <c r="D143" s="896"/>
      <c r="E143" s="33"/>
    </row>
    <row r="144" spans="2:13">
      <c r="B144" s="183" t="s">
        <v>388</v>
      </c>
      <c r="C144" s="184" t="s">
        <v>380</v>
      </c>
      <c r="D144" s="877"/>
      <c r="E144" s="11"/>
    </row>
    <row r="145" spans="2:5" ht="13.5" thickBot="1">
      <c r="B145" s="187"/>
      <c r="C145" s="191" t="s">
        <v>381</v>
      </c>
      <c r="D145" s="885"/>
      <c r="E145" s="185"/>
    </row>
    <row r="146" spans="2:5">
      <c r="B146" s="16" t="s">
        <v>430</v>
      </c>
      <c r="C146" s="34"/>
      <c r="D146" s="896"/>
      <c r="E146" s="33"/>
    </row>
    <row r="147" spans="2:5">
      <c r="B147" s="183" t="s">
        <v>387</v>
      </c>
      <c r="C147" s="184" t="s">
        <v>380</v>
      </c>
      <c r="D147" s="877"/>
      <c r="E147" s="11"/>
    </row>
    <row r="148" spans="2:5" ht="13.5" thickBot="1">
      <c r="B148" s="187"/>
      <c r="C148" s="191" t="s">
        <v>381</v>
      </c>
      <c r="D148" s="885"/>
      <c r="E148" s="185"/>
    </row>
    <row r="149" spans="2:5" ht="13.5" thickBot="1"/>
    <row r="150" spans="2:5" ht="16.5" thickBot="1">
      <c r="B150" s="1348" t="s">
        <v>433</v>
      </c>
      <c r="C150" s="1349"/>
      <c r="D150" s="1349"/>
      <c r="E150" s="1350"/>
    </row>
    <row r="151" spans="2:5">
      <c r="B151" s="16" t="s">
        <v>434</v>
      </c>
      <c r="C151" s="34"/>
      <c r="D151" s="188"/>
      <c r="E151" s="33"/>
    </row>
    <row r="152" spans="2:5">
      <c r="B152" s="183"/>
      <c r="C152" s="9" t="s">
        <v>696</v>
      </c>
      <c r="D152" s="905"/>
      <c r="E152" s="11"/>
    </row>
    <row r="153" spans="2:5" ht="13.5" thickBot="1">
      <c r="B153" s="183"/>
      <c r="C153" s="9" t="s">
        <v>440</v>
      </c>
      <c r="D153" s="877"/>
      <c r="E153" s="11"/>
    </row>
    <row r="154" spans="2:5">
      <c r="B154" s="16" t="s">
        <v>435</v>
      </c>
      <c r="C154" s="17"/>
      <c r="D154" s="882"/>
      <c r="E154" s="34"/>
    </row>
    <row r="155" spans="2:5">
      <c r="B155" s="10"/>
      <c r="C155" s="9" t="s">
        <v>436</v>
      </c>
      <c r="D155" s="877"/>
      <c r="E155" s="46"/>
    </row>
    <row r="156" spans="2:5">
      <c r="B156" s="10"/>
      <c r="C156" s="9" t="s">
        <v>439</v>
      </c>
      <c r="D156" s="906"/>
      <c r="E156" s="46"/>
    </row>
    <row r="157" spans="2:5">
      <c r="B157" s="10"/>
      <c r="C157" s="184" t="s">
        <v>437</v>
      </c>
      <c r="D157" s="877"/>
      <c r="E157" s="46"/>
    </row>
    <row r="158" spans="2:5" ht="13.5" thickBot="1">
      <c r="B158" s="31"/>
      <c r="C158" s="191" t="s">
        <v>438</v>
      </c>
      <c r="D158" s="885"/>
      <c r="E158" s="49"/>
    </row>
  </sheetData>
  <mergeCells count="31">
    <mergeCell ref="B150:E150"/>
    <mergeCell ref="B59:E59"/>
    <mergeCell ref="D47:E47"/>
    <mergeCell ref="B42:C42"/>
    <mergeCell ref="D42:E42"/>
    <mergeCell ref="B53:C53"/>
    <mergeCell ref="D53:E53"/>
    <mergeCell ref="B49:C49"/>
    <mergeCell ref="D49:E49"/>
    <mergeCell ref="D48:E48"/>
    <mergeCell ref="B51:C51"/>
    <mergeCell ref="D51:E51"/>
    <mergeCell ref="D46:E46"/>
    <mergeCell ref="D52:E52"/>
    <mergeCell ref="D26:E26"/>
    <mergeCell ref="B44:C44"/>
    <mergeCell ref="D45:E45"/>
    <mergeCell ref="D27:E27"/>
    <mergeCell ref="D38:E38"/>
    <mergeCell ref="D43:E43"/>
    <mergeCell ref="B26:C26"/>
    <mergeCell ref="B32:C32"/>
    <mergeCell ref="B37:C37"/>
    <mergeCell ref="D37:E37"/>
    <mergeCell ref="B18:C18"/>
    <mergeCell ref="D11:E11"/>
    <mergeCell ref="B2:C3"/>
    <mergeCell ref="B4:C4"/>
    <mergeCell ref="D2:E3"/>
    <mergeCell ref="B10:C10"/>
    <mergeCell ref="D10:E10"/>
  </mergeCells>
  <phoneticPr fontId="0" type="noConversion"/>
  <conditionalFormatting sqref="D42 D45:D48 D37 D26 D10 E18 E32">
    <cfRule type="cellIs" dxfId="1602" priority="126" stopIfTrue="1" operator="equal">
      <formula>4</formula>
    </cfRule>
    <cfRule type="cellIs" dxfId="1601" priority="127" stopIfTrue="1" operator="greaterThanOrEqual">
      <formula>2.67</formula>
    </cfRule>
    <cfRule type="cellIs" dxfId="1600" priority="128" stopIfTrue="1" operator="greaterThanOrEqual">
      <formula>1.33</formula>
    </cfRule>
    <cfRule type="cellIs" dxfId="1599" priority="129" stopIfTrue="1" operator="greaterThanOrEqual">
      <formula>0.001</formula>
    </cfRule>
    <cfRule type="cellIs" dxfId="1598" priority="130" stopIfTrue="1" operator="equal">
      <formula>0</formula>
    </cfRule>
  </conditionalFormatting>
  <conditionalFormatting sqref="D45:E45">
    <cfRule type="cellIs" dxfId="1597" priority="191" operator="greaterThanOrEqual">
      <formula>#REF!</formula>
    </cfRule>
  </conditionalFormatting>
  <conditionalFormatting sqref="D47:E47">
    <cfRule type="cellIs" dxfId="1596" priority="192" operator="greaterThanOrEqual">
      <formula>#REF!</formula>
    </cfRule>
  </conditionalFormatting>
  <conditionalFormatting sqref="D48:E48">
    <cfRule type="cellIs" dxfId="1595" priority="193" operator="greaterThanOrEqual">
      <formula>#REF!</formula>
    </cfRule>
  </conditionalFormatting>
  <conditionalFormatting sqref="D46:E46">
    <cfRule type="cellIs" dxfId="1594" priority="194" operator="greaterThanOrEqual">
      <formula>#REF!</formula>
    </cfRule>
  </conditionalFormatting>
  <dataValidations count="2">
    <dataValidation type="list" allowBlank="1" showInputMessage="1" showErrorMessage="1" sqref="D51:E51" xr:uid="{00000000-0002-0000-0500-000000000000}">
      <formula1>"0,-1,-2,-3,-4,-5"</formula1>
    </dataValidation>
    <dataValidation type="list" allowBlank="1" showInputMessage="1" showErrorMessage="1" sqref="D36 D25 D9 D41" xr:uid="{00000000-0002-0000-0500-000001000000}">
      <formula1>"0,-1"</formula1>
    </dataValidation>
  </dataValidations>
  <pageMargins left="0.8" right="0.44" top="0.53" bottom="1" header="0.5" footer="0.5"/>
  <pageSetup paperSize="9" scale="5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indexed="51"/>
    <pageSetUpPr fitToPage="1"/>
  </sheetPr>
  <dimension ref="B1:M177"/>
  <sheetViews>
    <sheetView showGridLines="0" showOutlineSymbols="0" topLeftCell="A86" zoomScaleNormal="100" workbookViewId="0"/>
  </sheetViews>
  <sheetFormatPr defaultColWidth="8.7109375" defaultRowHeight="12.75"/>
  <cols>
    <col min="1" max="2" width="8.7109375" style="1"/>
    <col min="3" max="3" width="40.42578125" style="1" customWidth="1"/>
    <col min="4" max="4" width="10.5703125" style="1" customWidth="1"/>
    <col min="5" max="5" width="10.5703125" style="2" customWidth="1"/>
    <col min="6" max="10" width="8.7109375" style="1" customWidth="1"/>
    <col min="11" max="11" width="9.28515625" style="3" customWidth="1"/>
    <col min="12" max="16384" width="8.7109375" style="1"/>
  </cols>
  <sheetData>
    <row r="1" spans="2:11" ht="13.5" thickBot="1"/>
    <row r="2" spans="2:11" s="4" customFormat="1" ht="12.75" customHeight="1">
      <c r="B2" s="1450" t="s">
        <v>101</v>
      </c>
      <c r="C2" s="1451"/>
      <c r="D2" s="1454" t="s">
        <v>49</v>
      </c>
      <c r="E2" s="1486"/>
      <c r="K2" s="5"/>
    </row>
    <row r="3" spans="2:11" s="4" customFormat="1" ht="15" customHeight="1">
      <c r="B3" s="1452"/>
      <c r="C3" s="1453"/>
      <c r="D3" s="1456"/>
      <c r="E3" s="1487"/>
      <c r="K3" s="5"/>
    </row>
    <row r="4" spans="2:11" ht="15" customHeight="1" thickBot="1">
      <c r="B4" s="1498" t="str">
        <f>'General Overview'!G7</f>
        <v/>
      </c>
      <c r="C4" s="1485"/>
      <c r="D4" s="6" t="s">
        <v>99</v>
      </c>
      <c r="E4" s="7" t="s">
        <v>40</v>
      </c>
    </row>
    <row r="5" spans="2:11" ht="15" customHeight="1">
      <c r="B5" s="8" t="s">
        <v>65</v>
      </c>
      <c r="C5" s="9"/>
      <c r="D5" s="10"/>
      <c r="E5" s="11"/>
    </row>
    <row r="6" spans="2:11" ht="15" customHeight="1">
      <c r="B6" s="10"/>
      <c r="C6" s="9" t="s">
        <v>3</v>
      </c>
      <c r="D6" s="907"/>
      <c r="E6" s="12">
        <f>IF(D6="",0,IF(D6="Yes",0,4))</f>
        <v>0</v>
      </c>
    </row>
    <row r="7" spans="2:11" ht="15" customHeight="1">
      <c r="B7" s="10"/>
      <c r="C7" s="9" t="s">
        <v>67</v>
      </c>
      <c r="D7" s="878"/>
      <c r="E7" s="12">
        <f>IF(D7="",0,IF(D7&lt;80,4,0))</f>
        <v>0</v>
      </c>
      <c r="J7" s="13"/>
    </row>
    <row r="8" spans="2:11" ht="15" customHeight="1">
      <c r="B8" s="10"/>
      <c r="C8" s="9" t="s">
        <v>368</v>
      </c>
      <c r="D8" s="878"/>
      <c r="E8" s="12">
        <f>IF(D8="",0,IF(D8&lt;700,4,0))</f>
        <v>0</v>
      </c>
    </row>
    <row r="9" spans="2:11" ht="15" customHeight="1">
      <c r="B9" s="10"/>
      <c r="C9" s="9" t="s">
        <v>68</v>
      </c>
      <c r="D9" s="877"/>
      <c r="E9" s="12"/>
      <c r="I9" s="3"/>
      <c r="K9" s="1"/>
    </row>
    <row r="10" spans="2:11" ht="15" customHeight="1" thickBot="1">
      <c r="B10" s="10"/>
      <c r="C10" s="9" t="s">
        <v>106</v>
      </c>
      <c r="D10" s="875"/>
      <c r="E10" s="12">
        <f>D10</f>
        <v>0</v>
      </c>
      <c r="I10" s="3"/>
      <c r="K10" s="1"/>
    </row>
    <row r="11" spans="2:11" ht="15" customHeight="1" thickBot="1">
      <c r="B11" s="1395" t="s">
        <v>45</v>
      </c>
      <c r="C11" s="1396"/>
      <c r="D11" s="1397">
        <f>MAX(MIN(E6:E8)+E10,0)</f>
        <v>0</v>
      </c>
      <c r="E11" s="1488"/>
      <c r="I11" s="3"/>
      <c r="K11" s="1"/>
    </row>
    <row r="12" spans="2:11" ht="15" customHeight="1" thickBot="1">
      <c r="D12" s="1436"/>
      <c r="E12" s="1436"/>
      <c r="I12" s="3"/>
      <c r="K12" s="1"/>
    </row>
    <row r="13" spans="2:11" ht="15" customHeight="1">
      <c r="B13" s="16" t="s">
        <v>59</v>
      </c>
      <c r="C13" s="17"/>
      <c r="D13" s="18"/>
      <c r="E13" s="19"/>
      <c r="I13" s="3"/>
      <c r="K13" s="1"/>
    </row>
    <row r="14" spans="2:11" ht="15" customHeight="1">
      <c r="B14" s="10"/>
      <c r="C14" s="9" t="s">
        <v>378</v>
      </c>
      <c r="D14" s="10"/>
      <c r="E14" s="12"/>
    </row>
    <row r="15" spans="2:11" ht="15" customHeight="1">
      <c r="B15" s="10"/>
      <c r="C15" s="24" t="s">
        <v>79</v>
      </c>
      <c r="D15" s="877"/>
      <c r="E15" s="12">
        <f>ROUND(Sliding_Scale(D15,28,50,4,0),Round)</f>
        <v>0</v>
      </c>
    </row>
    <row r="16" spans="2:11" ht="15" customHeight="1">
      <c r="B16" s="10"/>
      <c r="C16" s="24" t="s">
        <v>104</v>
      </c>
      <c r="D16" s="877"/>
      <c r="E16" s="12">
        <f>ROUND(Sliding_Scale(D16,28,50,4,0),Round)</f>
        <v>0</v>
      </c>
    </row>
    <row r="17" spans="2:10" ht="15" customHeight="1" thickBot="1">
      <c r="B17" s="10"/>
      <c r="C17" s="24" t="s">
        <v>105</v>
      </c>
      <c r="D17" s="877"/>
      <c r="E17" s="12">
        <f>ROUND(Sliding_Scale(D17,28,50,4,0),Round)</f>
        <v>0</v>
      </c>
    </row>
    <row r="18" spans="2:10" ht="15" customHeight="1" thickBot="1">
      <c r="B18" s="1393" t="s">
        <v>376</v>
      </c>
      <c r="C18" s="1483"/>
      <c r="D18" s="20"/>
      <c r="E18" s="21">
        <f>MIN(E15:E17)</f>
        <v>0</v>
      </c>
    </row>
    <row r="19" spans="2:10" ht="15" customHeight="1">
      <c r="B19" s="10"/>
      <c r="C19" s="9" t="s">
        <v>372</v>
      </c>
      <c r="D19" s="10"/>
      <c r="E19" s="12">
        <f>IF(D20&gt;=3,-4,0)</f>
        <v>0</v>
      </c>
    </row>
    <row r="20" spans="2:10" ht="15" customHeight="1">
      <c r="B20" s="22"/>
      <c r="C20" s="24" t="s">
        <v>371</v>
      </c>
      <c r="D20" s="877"/>
      <c r="E20" s="12"/>
    </row>
    <row r="21" spans="2:10" ht="15" customHeight="1">
      <c r="B21" s="10"/>
      <c r="C21" s="9" t="s">
        <v>373</v>
      </c>
      <c r="D21" s="10"/>
      <c r="E21" s="12">
        <f>IF(OR(D22&gt;=1,D23&gt;=1,D24&gt;=1),-4,0)</f>
        <v>0</v>
      </c>
    </row>
    <row r="22" spans="2:10" ht="15" customHeight="1">
      <c r="B22" s="10"/>
      <c r="C22" s="24" t="s">
        <v>374</v>
      </c>
      <c r="D22" s="877"/>
      <c r="E22" s="12"/>
    </row>
    <row r="23" spans="2:10" ht="15" customHeight="1">
      <c r="B23" s="10"/>
      <c r="C23" s="24" t="s">
        <v>375</v>
      </c>
      <c r="D23" s="877"/>
      <c r="E23" s="12"/>
    </row>
    <row r="24" spans="2:10" ht="15" customHeight="1">
      <c r="B24" s="10"/>
      <c r="C24" s="24" t="s">
        <v>360</v>
      </c>
      <c r="D24" s="877"/>
      <c r="E24" s="12"/>
    </row>
    <row r="25" spans="2:10" ht="15" customHeight="1" thickBot="1">
      <c r="B25" s="10"/>
      <c r="C25" s="9" t="s">
        <v>106</v>
      </c>
      <c r="D25" s="875"/>
      <c r="E25" s="12">
        <f>D25</f>
        <v>0</v>
      </c>
    </row>
    <row r="26" spans="2:10" ht="15" customHeight="1" thickBot="1">
      <c r="B26" s="1395" t="s">
        <v>51</v>
      </c>
      <c r="C26" s="1403"/>
      <c r="D26" s="1384">
        <f>MAX(MIN(E15:E17)+SUM(E19,E21,E25),0)</f>
        <v>0</v>
      </c>
      <c r="E26" s="1381"/>
    </row>
    <row r="27" spans="2:10" ht="15" customHeight="1" thickBot="1">
      <c r="D27" s="1436"/>
      <c r="E27" s="1436"/>
    </row>
    <row r="28" spans="2:10" ht="15" customHeight="1">
      <c r="B28" s="16" t="s">
        <v>80</v>
      </c>
      <c r="C28" s="17"/>
      <c r="D28" s="18"/>
      <c r="E28" s="19"/>
    </row>
    <row r="29" spans="2:10" ht="15" customHeight="1">
      <c r="B29" s="10"/>
      <c r="C29" s="9" t="s">
        <v>378</v>
      </c>
      <c r="D29" s="10"/>
      <c r="E29" s="12"/>
    </row>
    <row r="30" spans="2:10" ht="15" customHeight="1">
      <c r="B30" s="10"/>
      <c r="C30" s="24" t="s">
        <v>79</v>
      </c>
      <c r="D30" s="877"/>
      <c r="E30" s="12">
        <f>ROUND(Sliding_Scale(D30,47,65,4,0),Round)</f>
        <v>0</v>
      </c>
    </row>
    <row r="31" spans="2:10" ht="15" customHeight="1" thickBot="1">
      <c r="B31" s="10"/>
      <c r="C31" s="24" t="s">
        <v>105</v>
      </c>
      <c r="D31" s="877"/>
      <c r="E31" s="12">
        <f>ROUND(Sliding_Scale(D31,47,65,4,0),Round)</f>
        <v>0</v>
      </c>
    </row>
    <row r="32" spans="2:10" s="3" customFormat="1" ht="15" customHeight="1" thickBot="1">
      <c r="B32" s="1393" t="s">
        <v>377</v>
      </c>
      <c r="C32" s="1483"/>
      <c r="D32" s="20"/>
      <c r="E32" s="21">
        <f>MIN(E30:E31)</f>
        <v>0</v>
      </c>
      <c r="F32" s="1"/>
      <c r="G32" s="1"/>
      <c r="H32" s="1"/>
      <c r="I32" s="1"/>
      <c r="J32" s="1"/>
    </row>
    <row r="33" spans="2:10" s="3" customFormat="1" ht="15" customHeight="1">
      <c r="B33" s="10"/>
      <c r="C33" s="9" t="s">
        <v>373</v>
      </c>
      <c r="D33" s="10"/>
      <c r="E33" s="12">
        <f>IF(OR(D34&gt;=1,D35&gt;=1),-4,0)</f>
        <v>0</v>
      </c>
      <c r="F33" s="1"/>
      <c r="G33" s="1"/>
      <c r="H33" s="1"/>
      <c r="I33" s="1"/>
      <c r="J33" s="1"/>
    </row>
    <row r="34" spans="2:10" s="3" customFormat="1" ht="15" customHeight="1">
      <c r="B34" s="10"/>
      <c r="C34" s="24" t="s">
        <v>374</v>
      </c>
      <c r="D34" s="877"/>
      <c r="E34" s="12"/>
      <c r="F34" s="1"/>
      <c r="G34" s="1"/>
      <c r="H34" s="1"/>
      <c r="I34" s="1"/>
      <c r="J34" s="1"/>
    </row>
    <row r="35" spans="2:10" s="3" customFormat="1" ht="15" customHeight="1">
      <c r="B35" s="10"/>
      <c r="C35" s="24" t="s">
        <v>360</v>
      </c>
      <c r="D35" s="877"/>
      <c r="E35" s="12"/>
      <c r="F35" s="1"/>
      <c r="G35" s="1"/>
      <c r="H35" s="1"/>
      <c r="I35" s="1"/>
      <c r="J35" s="1"/>
    </row>
    <row r="36" spans="2:10" s="3" customFormat="1" ht="15" customHeight="1" thickBot="1">
      <c r="B36" s="10"/>
      <c r="C36" s="9" t="s">
        <v>106</v>
      </c>
      <c r="D36" s="875"/>
      <c r="E36" s="12">
        <f>D36</f>
        <v>0</v>
      </c>
      <c r="F36" s="1"/>
      <c r="G36" s="1"/>
      <c r="H36" s="1"/>
      <c r="I36" s="1"/>
      <c r="J36" s="1"/>
    </row>
    <row r="37" spans="2:10" s="3" customFormat="1" ht="15" customHeight="1" thickBot="1">
      <c r="B37" s="1395" t="s">
        <v>52</v>
      </c>
      <c r="C37" s="1403"/>
      <c r="D37" s="1384">
        <f>MAX(MIN(E30:E31)+SUM(E33,E36),0)</f>
        <v>0</v>
      </c>
      <c r="E37" s="1381"/>
      <c r="F37" s="1"/>
      <c r="G37" s="1"/>
      <c r="H37" s="1"/>
      <c r="I37" s="1"/>
      <c r="J37" s="1"/>
    </row>
    <row r="38" spans="2:10" s="3" customFormat="1" ht="15" customHeight="1" thickBot="1">
      <c r="B38" s="1"/>
      <c r="C38" s="4"/>
      <c r="D38" s="1436"/>
      <c r="E38" s="1436"/>
      <c r="F38" s="1"/>
      <c r="G38" s="1"/>
      <c r="H38" s="1"/>
      <c r="I38" s="1"/>
      <c r="J38" s="24"/>
    </row>
    <row r="39" spans="2:10" s="3" customFormat="1" ht="15" customHeight="1">
      <c r="B39" s="16" t="s">
        <v>42</v>
      </c>
      <c r="C39" s="17"/>
      <c r="D39" s="18"/>
      <c r="E39" s="19"/>
      <c r="F39" s="1"/>
      <c r="G39" s="1"/>
      <c r="H39" s="1"/>
      <c r="I39" s="1"/>
      <c r="J39" s="1"/>
    </row>
    <row r="40" spans="2:10" s="3" customFormat="1" ht="15" customHeight="1">
      <c r="B40" s="10"/>
      <c r="C40" s="9" t="s">
        <v>43</v>
      </c>
      <c r="D40" s="877"/>
      <c r="E40" s="12">
        <f>ROUND(Sliding_Scale(D40,1.7,2.8,4,0),Round)</f>
        <v>0</v>
      </c>
      <c r="F40" s="1"/>
      <c r="G40" s="1"/>
      <c r="H40" s="1"/>
      <c r="I40" s="1"/>
      <c r="J40" s="1"/>
    </row>
    <row r="41" spans="2:10" s="3" customFormat="1" ht="15" customHeight="1" thickBot="1">
      <c r="B41" s="10"/>
      <c r="C41" s="9" t="s">
        <v>106</v>
      </c>
      <c r="D41" s="875"/>
      <c r="E41" s="12">
        <f>D41</f>
        <v>0</v>
      </c>
      <c r="F41" s="1"/>
      <c r="G41" s="1"/>
      <c r="H41" s="1"/>
      <c r="I41" s="1"/>
      <c r="J41" s="1"/>
    </row>
    <row r="42" spans="2:10" s="3" customFormat="1" ht="15" customHeight="1" thickBot="1">
      <c r="B42" s="1395" t="s">
        <v>53</v>
      </c>
      <c r="C42" s="1396"/>
      <c r="D42" s="1397">
        <f>MAX(E40+E41,0)</f>
        <v>0</v>
      </c>
      <c r="E42" s="1488"/>
      <c r="F42" s="1"/>
      <c r="G42" s="1"/>
      <c r="H42" s="1"/>
      <c r="I42" s="1"/>
      <c r="J42" s="1"/>
    </row>
    <row r="43" spans="2:10" s="3" customFormat="1" ht="15" customHeight="1" thickBot="1">
      <c r="B43" s="25"/>
      <c r="C43" s="26"/>
      <c r="D43" s="1436"/>
      <c r="E43" s="1436"/>
      <c r="F43" s="1"/>
      <c r="G43" s="1"/>
      <c r="H43" s="1"/>
      <c r="I43" s="1"/>
      <c r="J43" s="1"/>
    </row>
    <row r="44" spans="2:10" s="3" customFormat="1" ht="15" customHeight="1" thickBot="1">
      <c r="B44" s="1395" t="s">
        <v>37</v>
      </c>
      <c r="C44" s="1403"/>
      <c r="D44" s="28"/>
      <c r="E44" s="29"/>
      <c r="F44" s="1"/>
      <c r="G44" s="1"/>
      <c r="H44" s="1"/>
      <c r="I44" s="1"/>
      <c r="J44" s="1"/>
    </row>
    <row r="45" spans="2:10" s="3" customFormat="1" ht="15" customHeight="1">
      <c r="B45" s="10"/>
      <c r="C45" s="30" t="s">
        <v>45</v>
      </c>
      <c r="D45" s="1404">
        <f>D11</f>
        <v>0</v>
      </c>
      <c r="E45" s="1489"/>
      <c r="F45" s="1"/>
      <c r="G45" s="1"/>
      <c r="H45" s="1"/>
      <c r="I45" s="1"/>
      <c r="J45" s="1"/>
    </row>
    <row r="46" spans="2:10" s="3" customFormat="1" ht="15" customHeight="1">
      <c r="B46" s="10"/>
      <c r="C46" s="30" t="s">
        <v>51</v>
      </c>
      <c r="D46" s="1407">
        <f>D26</f>
        <v>0</v>
      </c>
      <c r="E46" s="1492"/>
      <c r="F46" s="1"/>
      <c r="G46" s="1"/>
      <c r="H46" s="1"/>
      <c r="I46" s="1"/>
      <c r="J46" s="1"/>
    </row>
    <row r="47" spans="2:10" s="3" customFormat="1" ht="15" customHeight="1">
      <c r="B47" s="10"/>
      <c r="C47" s="30" t="s">
        <v>52</v>
      </c>
      <c r="D47" s="1410">
        <f>D37</f>
        <v>0</v>
      </c>
      <c r="E47" s="1490"/>
      <c r="F47" s="1"/>
      <c r="G47" s="1"/>
      <c r="H47" s="1"/>
      <c r="I47" s="1"/>
      <c r="J47" s="1"/>
    </row>
    <row r="48" spans="2:10" ht="15" customHeight="1" thickBot="1">
      <c r="B48" s="31"/>
      <c r="C48" s="32" t="s">
        <v>53</v>
      </c>
      <c r="D48" s="1413">
        <f>D42</f>
        <v>0</v>
      </c>
      <c r="E48" s="1491"/>
    </row>
    <row r="49" spans="2:13" ht="15" customHeight="1" thickBot="1">
      <c r="B49" s="1395" t="s">
        <v>781</v>
      </c>
      <c r="C49" s="1396"/>
      <c r="D49" s="1416">
        <f>SUM(D45:E48)</f>
        <v>0</v>
      </c>
      <c r="E49" s="1419"/>
    </row>
    <row r="50" spans="2:13" ht="15" customHeight="1" thickBot="1">
      <c r="B50" s="25"/>
      <c r="C50" s="26"/>
      <c r="D50" s="146"/>
      <c r="E50" s="147"/>
    </row>
    <row r="51" spans="2:13" ht="15" customHeight="1">
      <c r="B51" s="16" t="s">
        <v>522</v>
      </c>
      <c r="C51" s="34"/>
      <c r="D51" s="1499" t="s">
        <v>2680</v>
      </c>
      <c r="E51" s="1500"/>
      <c r="F51" s="1496" t="s">
        <v>2681</v>
      </c>
      <c r="G51" s="1497"/>
      <c r="H51" s="1496" t="s">
        <v>2682</v>
      </c>
      <c r="I51" s="1497"/>
      <c r="K51" s="9"/>
      <c r="L51" s="9"/>
      <c r="M51" s="9"/>
    </row>
    <row r="52" spans="2:13" ht="15" customHeight="1">
      <c r="B52" s="10"/>
      <c r="C52" s="46" t="s">
        <v>527</v>
      </c>
      <c r="D52" s="10"/>
      <c r="E52" s="38"/>
      <c r="F52" s="9"/>
      <c r="G52" s="12"/>
      <c r="H52" s="9"/>
      <c r="I52" s="12"/>
      <c r="K52" s="629"/>
      <c r="L52" s="9"/>
      <c r="M52" s="9"/>
    </row>
    <row r="53" spans="2:13" ht="15" customHeight="1">
      <c r="B53" s="10"/>
      <c r="C53" s="52" t="s">
        <v>532</v>
      </c>
      <c r="D53" s="1045"/>
      <c r="E53" s="38"/>
      <c r="F53" s="880"/>
      <c r="G53" s="12"/>
      <c r="H53" s="880"/>
      <c r="I53" s="12"/>
      <c r="K53" s="629"/>
      <c r="L53" s="9"/>
      <c r="M53" s="9"/>
    </row>
    <row r="54" spans="2:13" ht="15" customHeight="1">
      <c r="B54" s="10"/>
      <c r="C54" s="52" t="s">
        <v>531</v>
      </c>
      <c r="D54" s="1045"/>
      <c r="E54" s="38"/>
      <c r="F54" s="880"/>
      <c r="G54" s="12"/>
      <c r="H54" s="880"/>
      <c r="I54" s="12"/>
      <c r="K54" s="629"/>
      <c r="L54" s="9"/>
      <c r="M54" s="9"/>
    </row>
    <row r="55" spans="2:13" ht="15" customHeight="1">
      <c r="B55" s="10"/>
      <c r="C55" s="52" t="s">
        <v>530</v>
      </c>
      <c r="D55" s="1045"/>
      <c r="E55" s="38"/>
      <c r="F55" s="1043"/>
      <c r="G55" s="12"/>
      <c r="H55" s="1043"/>
      <c r="I55" s="12"/>
      <c r="K55" s="629"/>
      <c r="L55" s="9"/>
      <c r="M55" s="9"/>
    </row>
    <row r="56" spans="2:13" ht="15" customHeight="1">
      <c r="B56" s="10"/>
      <c r="C56" s="52" t="s">
        <v>529</v>
      </c>
      <c r="D56" s="1045"/>
      <c r="E56" s="38"/>
      <c r="F56" s="1043"/>
      <c r="G56" s="12"/>
      <c r="H56" s="1043"/>
      <c r="I56" s="12"/>
      <c r="K56" s="629"/>
      <c r="L56" s="9"/>
      <c r="M56" s="9"/>
    </row>
    <row r="57" spans="2:13" ht="15" customHeight="1">
      <c r="B57" s="10"/>
      <c r="C57" s="52" t="s">
        <v>528</v>
      </c>
      <c r="D57" s="1044"/>
      <c r="E57" s="38"/>
      <c r="F57" s="880"/>
      <c r="G57" s="12"/>
      <c r="H57" s="880"/>
      <c r="I57" s="12"/>
    </row>
    <row r="58" spans="2:13" ht="15" customHeight="1">
      <c r="B58" s="10"/>
      <c r="C58" s="52"/>
      <c r="D58" s="1044"/>
      <c r="E58" s="38"/>
      <c r="F58" s="1043"/>
      <c r="G58" s="12"/>
      <c r="H58" s="1043"/>
      <c r="I58" s="12"/>
    </row>
    <row r="59" spans="2:13" ht="15" customHeight="1">
      <c r="B59" s="10"/>
      <c r="C59" s="52" t="s">
        <v>523</v>
      </c>
      <c r="D59" s="23">
        <f>D53+126-D55</f>
        <v>126</v>
      </c>
      <c r="E59" s="38"/>
      <c r="F59" s="37">
        <f>F53+126-F57</f>
        <v>126</v>
      </c>
      <c r="G59" s="12"/>
      <c r="H59" s="37">
        <f>H53+126-H57</f>
        <v>126</v>
      </c>
      <c r="I59" s="12"/>
    </row>
    <row r="60" spans="2:13" ht="15" customHeight="1">
      <c r="B60" s="10"/>
      <c r="C60" s="52" t="s">
        <v>524</v>
      </c>
      <c r="D60" s="23">
        <f>D54+594</f>
        <v>594</v>
      </c>
      <c r="E60" s="38"/>
      <c r="F60" s="37">
        <f>F54+594</f>
        <v>594</v>
      </c>
      <c r="G60" s="12"/>
      <c r="H60" s="37">
        <f>H54+594</f>
        <v>594</v>
      </c>
      <c r="I60" s="12"/>
    </row>
    <row r="61" spans="2:13" ht="15" customHeight="1">
      <c r="B61" s="10"/>
      <c r="C61" s="52" t="s">
        <v>525</v>
      </c>
      <c r="D61" s="23">
        <f>D53+147+D56</f>
        <v>147</v>
      </c>
      <c r="E61" s="38"/>
      <c r="F61" s="37">
        <f>F53+147</f>
        <v>147</v>
      </c>
      <c r="G61" s="12"/>
      <c r="H61" s="37">
        <f>H53+147</f>
        <v>147</v>
      </c>
      <c r="I61" s="12"/>
    </row>
    <row r="62" spans="2:13" ht="15" customHeight="1">
      <c r="B62" s="22"/>
      <c r="C62" s="52" t="s">
        <v>526</v>
      </c>
      <c r="D62" s="23">
        <f>D54+693</f>
        <v>693</v>
      </c>
      <c r="E62" s="38"/>
      <c r="F62" s="37">
        <f>F54+693</f>
        <v>693</v>
      </c>
      <c r="G62" s="12"/>
      <c r="H62" s="37">
        <f>H54+693</f>
        <v>693</v>
      </c>
      <c r="I62" s="12"/>
    </row>
    <row r="63" spans="2:13" ht="15" customHeight="1">
      <c r="B63" s="10"/>
      <c r="C63" s="46" t="s">
        <v>2683</v>
      </c>
      <c r="D63" s="10"/>
      <c r="E63" s="38"/>
      <c r="F63" s="9"/>
      <c r="G63" s="12"/>
      <c r="H63" s="1040"/>
      <c r="I63" s="12"/>
    </row>
    <row r="64" spans="2:13" ht="15" customHeight="1">
      <c r="B64" s="10"/>
      <c r="C64" s="46" t="s">
        <v>534</v>
      </c>
      <c r="D64" s="10"/>
      <c r="E64" s="38">
        <f>IF(D65="OEM data",0,IF(OR(D65="Fail",D66="Fail",D67="Fail"),-2*IF('General Overview'!C17=0,2,1),0))</f>
        <v>0</v>
      </c>
      <c r="F64" s="9"/>
      <c r="G64" s="12">
        <f>IF(F65="OEM data",0,IF(OR(F65="Fail",F66="Fail",F67="Fail"),-2,0))</f>
        <v>0</v>
      </c>
      <c r="H64" s="9"/>
      <c r="I64" s="12">
        <f>IF(H65="OEM data",0,IF(H63="Yes",0,IF(OR(H63="No",H65="Fail",H66="Fail",H67="Fail"),-2,0)))</f>
        <v>0</v>
      </c>
    </row>
    <row r="65" spans="2:11" ht="15" customHeight="1">
      <c r="B65" s="10"/>
      <c r="C65" s="52" t="s">
        <v>535</v>
      </c>
      <c r="D65" s="939"/>
      <c r="E65" s="38"/>
      <c r="F65" s="1040"/>
      <c r="G65" s="12"/>
      <c r="H65" s="1040"/>
      <c r="I65" s="12"/>
    </row>
    <row r="66" spans="2:11" ht="15" customHeight="1">
      <c r="B66" s="10"/>
      <c r="C66" s="52" t="s">
        <v>536</v>
      </c>
      <c r="D66" s="939"/>
      <c r="E66" s="38"/>
      <c r="F66" s="1040"/>
      <c r="G66" s="12"/>
      <c r="H66" s="1040"/>
      <c r="I66" s="12"/>
    </row>
    <row r="67" spans="2:11" ht="15" customHeight="1" thickBot="1">
      <c r="B67" s="10"/>
      <c r="C67" s="52" t="s">
        <v>537</v>
      </c>
      <c r="D67" s="1041"/>
      <c r="E67" s="58"/>
      <c r="F67" s="1042"/>
      <c r="G67" s="43"/>
      <c r="H67" s="1042"/>
      <c r="I67" s="43"/>
    </row>
    <row r="68" spans="2:11" ht="15" customHeight="1" thickBot="1">
      <c r="B68" s="1494" t="s">
        <v>533</v>
      </c>
      <c r="C68" s="1495"/>
      <c r="D68" s="1416">
        <f>E64+G64+I64</f>
        <v>0</v>
      </c>
      <c r="E68" s="1417"/>
      <c r="F68" s="1417"/>
      <c r="G68" s="1417"/>
      <c r="H68" s="1417"/>
      <c r="I68" s="1419"/>
    </row>
    <row r="69" spans="2:11" ht="15" customHeight="1" thickBot="1">
      <c r="B69" s="25"/>
      <c r="C69" s="26"/>
      <c r="D69" s="9"/>
      <c r="E69" s="15"/>
    </row>
    <row r="70" spans="2:11" ht="15" customHeight="1" thickBot="1">
      <c r="B70" s="1395" t="s">
        <v>54</v>
      </c>
      <c r="C70" s="1403"/>
      <c r="D70" s="1400"/>
      <c r="E70" s="1401"/>
      <c r="F70" s="1401"/>
      <c r="G70" s="1402"/>
      <c r="H70" s="438"/>
    </row>
    <row r="71" spans="2:11" ht="15" customHeight="1" thickBot="1">
      <c r="D71" s="1435" t="b">
        <f>IF(OR(D45=0,D46=0,D47=0,D48=0),TRUE,FALSE)</f>
        <v>1</v>
      </c>
      <c r="E71" s="1435"/>
      <c r="F71" s="1435"/>
      <c r="G71" s="1435"/>
      <c r="I71" s="9"/>
      <c r="J71" s="629"/>
      <c r="K71" s="9"/>
    </row>
    <row r="72" spans="2:11" ht="21.75" thickBot="1">
      <c r="B72" s="1420" t="s">
        <v>539</v>
      </c>
      <c r="C72" s="1421"/>
      <c r="D72" s="1422">
        <f>MAX(ROUND(IF(OR(D6="Yes",E7=0,E8=0,D15&gt;=55,D16&gt;=55,D17&gt;=55,E30=0,E31=0,E40=0),0,(D49+D68+D70)/16*6),Round),0)</f>
        <v>0</v>
      </c>
      <c r="E72" s="1423"/>
      <c r="F72" s="1423"/>
      <c r="G72" s="1424"/>
      <c r="H72" s="439"/>
    </row>
    <row r="77" spans="2:11" ht="13.5" thickBot="1"/>
    <row r="78" spans="2:11" ht="16.5" thickBot="1">
      <c r="B78" s="1348" t="s">
        <v>390</v>
      </c>
      <c r="C78" s="1349"/>
      <c r="D78" s="1349"/>
      <c r="E78" s="1350"/>
    </row>
    <row r="79" spans="2:11">
      <c r="B79" s="16" t="s">
        <v>363</v>
      </c>
      <c r="C79" s="34"/>
      <c r="D79" s="182"/>
      <c r="E79" s="33"/>
    </row>
    <row r="80" spans="2:11" ht="13.5" thickBot="1">
      <c r="B80" s="183" t="s">
        <v>387</v>
      </c>
      <c r="C80" s="184" t="s">
        <v>380</v>
      </c>
      <c r="D80" s="877"/>
      <c r="E80" s="533"/>
      <c r="F80" s="537"/>
    </row>
    <row r="81" spans="2:6" ht="13.5" thickBot="1">
      <c r="B81" s="183"/>
      <c r="C81" s="184" t="s">
        <v>381</v>
      </c>
      <c r="D81" s="877"/>
      <c r="E81" s="533"/>
      <c r="F81" s="538"/>
    </row>
    <row r="82" spans="2:6" ht="13.5" thickBot="1">
      <c r="B82" s="183" t="s">
        <v>388</v>
      </c>
      <c r="C82" s="184" t="s">
        <v>380</v>
      </c>
      <c r="D82" s="877"/>
      <c r="E82" s="533"/>
      <c r="F82" s="538"/>
    </row>
    <row r="83" spans="2:6" ht="13.5" thickBot="1">
      <c r="B83" s="183"/>
      <c r="C83" s="184" t="s">
        <v>381</v>
      </c>
      <c r="D83" s="877"/>
      <c r="E83" s="533"/>
      <c r="F83" s="538"/>
    </row>
    <row r="84" spans="2:6" ht="13.5" thickBot="1">
      <c r="B84" s="183" t="s">
        <v>389</v>
      </c>
      <c r="C84" s="184" t="s">
        <v>380</v>
      </c>
      <c r="D84" s="877"/>
      <c r="E84" s="533"/>
      <c r="F84" s="538"/>
    </row>
    <row r="85" spans="2:6" ht="13.5" thickBot="1">
      <c r="B85" s="183"/>
      <c r="C85" s="184" t="s">
        <v>381</v>
      </c>
      <c r="D85" s="877"/>
      <c r="E85" s="533"/>
      <c r="F85" s="538"/>
    </row>
    <row r="86" spans="2:6" ht="13.5" thickBot="1">
      <c r="B86" s="16" t="s">
        <v>354</v>
      </c>
      <c r="C86" s="186"/>
      <c r="D86" s="891"/>
      <c r="E86" s="533"/>
      <c r="F86" s="538"/>
    </row>
    <row r="87" spans="2:6" ht="13.5" thickBot="1">
      <c r="B87" s="183" t="s">
        <v>379</v>
      </c>
      <c r="C87" s="184" t="s">
        <v>380</v>
      </c>
      <c r="D87" s="877"/>
      <c r="E87" s="533"/>
      <c r="F87" s="538"/>
    </row>
    <row r="88" spans="2:6" ht="13.5" thickBot="1">
      <c r="B88" s="183"/>
      <c r="C88" s="184" t="s">
        <v>381</v>
      </c>
      <c r="D88" s="877"/>
      <c r="E88" s="533"/>
      <c r="F88" s="538"/>
    </row>
    <row r="89" spans="2:6" ht="13.5" thickBot="1">
      <c r="B89" s="183" t="s">
        <v>382</v>
      </c>
      <c r="C89" s="184" t="s">
        <v>380</v>
      </c>
      <c r="D89" s="877"/>
      <c r="E89" s="533"/>
      <c r="F89" s="538"/>
    </row>
    <row r="90" spans="2:6" ht="13.5" thickBot="1">
      <c r="B90" s="183"/>
      <c r="C90" s="184" t="s">
        <v>381</v>
      </c>
      <c r="D90" s="877"/>
      <c r="E90" s="533"/>
      <c r="F90" s="538"/>
    </row>
    <row r="91" spans="2:6" ht="13.5" thickBot="1">
      <c r="B91" s="183" t="s">
        <v>386</v>
      </c>
      <c r="C91" s="184" t="s">
        <v>380</v>
      </c>
      <c r="D91" s="877"/>
      <c r="E91" s="533"/>
      <c r="F91" s="538"/>
    </row>
    <row r="92" spans="2:6" ht="13.5" thickBot="1">
      <c r="B92" s="183"/>
      <c r="C92" s="184" t="s">
        <v>381</v>
      </c>
      <c r="D92" s="877"/>
      <c r="E92" s="533"/>
      <c r="F92" s="538"/>
    </row>
    <row r="93" spans="2:6" ht="13.5" thickBot="1">
      <c r="B93" s="183" t="s">
        <v>385</v>
      </c>
      <c r="C93" s="184" t="s">
        <v>380</v>
      </c>
      <c r="D93" s="877"/>
      <c r="E93" s="533"/>
      <c r="F93" s="538"/>
    </row>
    <row r="94" spans="2:6" ht="13.5" thickBot="1">
      <c r="B94" s="183"/>
      <c r="C94" s="184" t="s">
        <v>381</v>
      </c>
      <c r="D94" s="877"/>
      <c r="E94" s="533"/>
      <c r="F94" s="538"/>
    </row>
    <row r="95" spans="2:6" ht="13.5" thickBot="1">
      <c r="B95" s="183" t="s">
        <v>383</v>
      </c>
      <c r="C95" s="184" t="s">
        <v>380</v>
      </c>
      <c r="D95" s="877"/>
      <c r="E95" s="533"/>
      <c r="F95" s="538"/>
    </row>
    <row r="96" spans="2:6" ht="13.5" thickBot="1">
      <c r="B96" s="183"/>
      <c r="C96" s="184" t="s">
        <v>381</v>
      </c>
      <c r="D96" s="877"/>
      <c r="E96" s="533"/>
      <c r="F96" s="538"/>
    </row>
    <row r="97" spans="2:6" ht="13.5" thickBot="1">
      <c r="B97" s="183" t="s">
        <v>384</v>
      </c>
      <c r="C97" s="184" t="s">
        <v>380</v>
      </c>
      <c r="D97" s="877"/>
      <c r="E97" s="533"/>
      <c r="F97" s="538"/>
    </row>
    <row r="98" spans="2:6" ht="13.5" thickBot="1">
      <c r="B98" s="187"/>
      <c r="C98" s="184" t="s">
        <v>381</v>
      </c>
      <c r="D98" s="872"/>
      <c r="E98" s="533"/>
      <c r="F98" s="538"/>
    </row>
    <row r="99" spans="2:6" ht="13.5" thickBot="1">
      <c r="B99" s="16" t="s">
        <v>406</v>
      </c>
      <c r="C99" s="186"/>
      <c r="D99" s="891"/>
      <c r="E99" s="533"/>
      <c r="F99" s="538"/>
    </row>
    <row r="100" spans="2:6" ht="13.5" thickBot="1">
      <c r="B100" s="183" t="s">
        <v>379</v>
      </c>
      <c r="C100" s="184" t="s">
        <v>380</v>
      </c>
      <c r="D100" s="877"/>
      <c r="E100" s="533"/>
      <c r="F100" s="538"/>
    </row>
    <row r="101" spans="2:6" ht="13.5" thickBot="1">
      <c r="B101" s="183"/>
      <c r="C101" s="184" t="s">
        <v>381</v>
      </c>
      <c r="D101" s="877"/>
      <c r="E101" s="533"/>
      <c r="F101" s="538"/>
    </row>
    <row r="102" spans="2:6" ht="13.5" thickBot="1">
      <c r="B102" s="183" t="s">
        <v>382</v>
      </c>
      <c r="C102" s="184" t="s">
        <v>380</v>
      </c>
      <c r="D102" s="877"/>
      <c r="E102" s="533"/>
      <c r="F102" s="538"/>
    </row>
    <row r="103" spans="2:6" ht="13.5" thickBot="1">
      <c r="B103" s="183"/>
      <c r="C103" s="184" t="s">
        <v>381</v>
      </c>
      <c r="D103" s="877"/>
      <c r="E103" s="533"/>
      <c r="F103" s="538"/>
    </row>
    <row r="104" spans="2:6" ht="13.5" thickBot="1">
      <c r="B104" s="183" t="s">
        <v>386</v>
      </c>
      <c r="C104" s="184" t="s">
        <v>380</v>
      </c>
      <c r="D104" s="877"/>
      <c r="E104" s="533"/>
      <c r="F104" s="538"/>
    </row>
    <row r="105" spans="2:6" ht="13.5" thickBot="1">
      <c r="B105" s="183"/>
      <c r="C105" s="184" t="s">
        <v>381</v>
      </c>
      <c r="D105" s="877"/>
      <c r="E105" s="533"/>
      <c r="F105" s="538"/>
    </row>
    <row r="106" spans="2:6" ht="13.5" thickBot="1">
      <c r="B106" s="183" t="s">
        <v>361</v>
      </c>
      <c r="C106" s="184" t="s">
        <v>380</v>
      </c>
      <c r="D106" s="877"/>
      <c r="E106" s="533"/>
      <c r="F106" s="538"/>
    </row>
    <row r="107" spans="2:6" ht="13.5" thickBot="1">
      <c r="B107" s="183"/>
      <c r="C107" s="184" t="s">
        <v>381</v>
      </c>
      <c r="D107" s="877"/>
      <c r="E107" s="533"/>
      <c r="F107" s="538"/>
    </row>
    <row r="108" spans="2:6" ht="13.5" thickBot="1">
      <c r="B108" s="183" t="s">
        <v>407</v>
      </c>
      <c r="C108" s="184" t="s">
        <v>380</v>
      </c>
      <c r="D108" s="877"/>
      <c r="E108" s="533"/>
      <c r="F108" s="538"/>
    </row>
    <row r="109" spans="2:6" ht="13.5" thickBot="1">
      <c r="B109" s="183"/>
      <c r="C109" s="184" t="s">
        <v>381</v>
      </c>
      <c r="D109" s="877"/>
      <c r="E109" s="533"/>
      <c r="F109" s="538"/>
    </row>
    <row r="110" spans="2:6" ht="13.5" thickBot="1">
      <c r="B110" s="16" t="s">
        <v>408</v>
      </c>
      <c r="C110" s="34"/>
      <c r="D110" s="891"/>
      <c r="E110" s="533"/>
      <c r="F110" s="538"/>
    </row>
    <row r="111" spans="2:6" ht="13.5" thickBot="1">
      <c r="B111" s="183" t="s">
        <v>410</v>
      </c>
      <c r="C111" s="184" t="s">
        <v>380</v>
      </c>
      <c r="D111" s="877"/>
      <c r="E111" s="533"/>
      <c r="F111" s="538"/>
    </row>
    <row r="112" spans="2:6" ht="13.5" thickBot="1">
      <c r="B112" s="183"/>
      <c r="C112" s="184" t="s">
        <v>381</v>
      </c>
      <c r="D112" s="877"/>
      <c r="E112" s="533"/>
      <c r="F112" s="538"/>
    </row>
    <row r="113" spans="2:6" ht="13.5" thickBot="1">
      <c r="B113" s="183" t="s">
        <v>411</v>
      </c>
      <c r="C113" s="184" t="s">
        <v>380</v>
      </c>
      <c r="D113" s="877"/>
      <c r="E113" s="533"/>
      <c r="F113" s="538"/>
    </row>
    <row r="114" spans="2:6" ht="13.5" thickBot="1">
      <c r="B114" s="183"/>
      <c r="C114" s="184" t="s">
        <v>381</v>
      </c>
      <c r="D114" s="877"/>
      <c r="E114" s="533"/>
      <c r="F114" s="538"/>
    </row>
    <row r="115" spans="2:6" ht="13.5" thickBot="1">
      <c r="B115" s="183" t="s">
        <v>412</v>
      </c>
      <c r="C115" s="184" t="s">
        <v>380</v>
      </c>
      <c r="D115" s="877"/>
      <c r="E115" s="533"/>
      <c r="F115" s="538"/>
    </row>
    <row r="116" spans="2:6" ht="13.5" thickBot="1">
      <c r="B116" s="183"/>
      <c r="C116" s="184" t="s">
        <v>381</v>
      </c>
      <c r="D116" s="877"/>
      <c r="E116" s="533"/>
      <c r="F116" s="538"/>
    </row>
    <row r="117" spans="2:6" ht="13.5" thickBot="1">
      <c r="B117" s="183" t="s">
        <v>413</v>
      </c>
      <c r="C117" s="184" t="s">
        <v>380</v>
      </c>
      <c r="D117" s="877"/>
      <c r="E117" s="533"/>
      <c r="F117" s="538"/>
    </row>
    <row r="118" spans="2:6" ht="13.5" thickBot="1">
      <c r="B118" s="183"/>
      <c r="C118" s="184" t="s">
        <v>381</v>
      </c>
      <c r="D118" s="877"/>
      <c r="E118" s="533"/>
      <c r="F118" s="538"/>
    </row>
    <row r="119" spans="2:6" ht="13.5" thickBot="1">
      <c r="B119" s="183" t="s">
        <v>414</v>
      </c>
      <c r="C119" s="184" t="s">
        <v>380</v>
      </c>
      <c r="D119" s="877"/>
      <c r="E119" s="533"/>
      <c r="F119" s="538"/>
    </row>
    <row r="120" spans="2:6" ht="13.5" thickBot="1">
      <c r="B120" s="183"/>
      <c r="C120" s="184" t="s">
        <v>381</v>
      </c>
      <c r="D120" s="877"/>
      <c r="E120" s="533"/>
      <c r="F120" s="538"/>
    </row>
    <row r="121" spans="2:6" ht="13.5" thickBot="1">
      <c r="B121" s="183" t="s">
        <v>415</v>
      </c>
      <c r="C121" s="184" t="s">
        <v>380</v>
      </c>
      <c r="D121" s="877"/>
      <c r="E121" s="533"/>
      <c r="F121" s="538"/>
    </row>
    <row r="122" spans="2:6" ht="13.5" thickBot="1">
      <c r="B122" s="183"/>
      <c r="C122" s="184" t="s">
        <v>381</v>
      </c>
      <c r="D122" s="877"/>
      <c r="E122" s="533"/>
      <c r="F122" s="538"/>
    </row>
    <row r="123" spans="2:6" ht="13.5" thickBot="1">
      <c r="B123" s="16" t="s">
        <v>409</v>
      </c>
      <c r="C123" s="34"/>
      <c r="D123" s="891"/>
      <c r="E123" s="533"/>
      <c r="F123" s="538"/>
    </row>
    <row r="124" spans="2:6" ht="13.5" thickBot="1">
      <c r="B124" s="183" t="s">
        <v>410</v>
      </c>
      <c r="C124" s="184" t="s">
        <v>380</v>
      </c>
      <c r="D124" s="877"/>
      <c r="E124" s="533"/>
      <c r="F124" s="538"/>
    </row>
    <row r="125" spans="2:6" ht="13.5" thickBot="1">
      <c r="B125" s="183"/>
      <c r="C125" s="184" t="s">
        <v>381</v>
      </c>
      <c r="D125" s="877"/>
      <c r="E125" s="533"/>
      <c r="F125" s="538"/>
    </row>
    <row r="126" spans="2:6" ht="13.5" thickBot="1">
      <c r="B126" s="183" t="s">
        <v>411</v>
      </c>
      <c r="C126" s="184" t="s">
        <v>380</v>
      </c>
      <c r="D126" s="877"/>
      <c r="E126" s="533"/>
      <c r="F126" s="538"/>
    </row>
    <row r="127" spans="2:6" ht="13.5" thickBot="1">
      <c r="B127" s="183"/>
      <c r="C127" s="184" t="s">
        <v>381</v>
      </c>
      <c r="D127" s="877"/>
      <c r="E127" s="533"/>
      <c r="F127" s="538"/>
    </row>
    <row r="128" spans="2:6" ht="13.5" thickBot="1">
      <c r="B128" s="183" t="s">
        <v>412</v>
      </c>
      <c r="C128" s="184" t="s">
        <v>380</v>
      </c>
      <c r="D128" s="877"/>
      <c r="E128" s="533"/>
      <c r="F128" s="538"/>
    </row>
    <row r="129" spans="2:6" ht="13.5" thickBot="1">
      <c r="B129" s="183"/>
      <c r="C129" s="184" t="s">
        <v>381</v>
      </c>
      <c r="D129" s="877"/>
      <c r="E129" s="533"/>
      <c r="F129" s="538"/>
    </row>
    <row r="130" spans="2:6" ht="13.5" thickBot="1">
      <c r="B130" s="183" t="s">
        <v>413</v>
      </c>
      <c r="C130" s="184" t="s">
        <v>380</v>
      </c>
      <c r="D130" s="877"/>
      <c r="E130" s="533"/>
      <c r="F130" s="538"/>
    </row>
    <row r="131" spans="2:6" ht="13.5" thickBot="1">
      <c r="B131" s="183"/>
      <c r="C131" s="184" t="s">
        <v>381</v>
      </c>
      <c r="D131" s="877"/>
      <c r="E131" s="533"/>
      <c r="F131" s="538"/>
    </row>
    <row r="132" spans="2:6" ht="13.5" thickBot="1">
      <c r="B132" s="16" t="s">
        <v>416</v>
      </c>
      <c r="C132" s="186"/>
      <c r="D132" s="896"/>
      <c r="E132" s="533"/>
      <c r="F132" s="538"/>
    </row>
    <row r="133" spans="2:6" ht="13.5" thickBot="1">
      <c r="B133" s="183" t="s">
        <v>387</v>
      </c>
      <c r="C133" s="184" t="s">
        <v>380</v>
      </c>
      <c r="D133" s="877"/>
      <c r="E133" s="533"/>
      <c r="F133" s="538"/>
    </row>
    <row r="134" spans="2:6" ht="13.5" thickBot="1">
      <c r="B134" s="183"/>
      <c r="C134" s="184" t="s">
        <v>381</v>
      </c>
      <c r="D134" s="877"/>
      <c r="E134" s="533"/>
      <c r="F134" s="538"/>
    </row>
    <row r="135" spans="2:6" ht="13.5" thickBot="1">
      <c r="B135" s="183" t="s">
        <v>388</v>
      </c>
      <c r="C135" s="184" t="s">
        <v>380</v>
      </c>
      <c r="D135" s="877"/>
      <c r="E135" s="533"/>
      <c r="F135" s="538"/>
    </row>
    <row r="136" spans="2:6" ht="13.5" thickBot="1">
      <c r="B136" s="183"/>
      <c r="C136" s="184" t="s">
        <v>381</v>
      </c>
      <c r="D136" s="877"/>
      <c r="E136" s="533"/>
      <c r="F136" s="538"/>
    </row>
    <row r="137" spans="2:6" ht="13.5" thickBot="1">
      <c r="B137" s="183" t="s">
        <v>389</v>
      </c>
      <c r="C137" s="184" t="s">
        <v>380</v>
      </c>
      <c r="D137" s="877"/>
      <c r="E137" s="533"/>
      <c r="F137" s="538"/>
    </row>
    <row r="138" spans="2:6" ht="13.5" thickBot="1">
      <c r="B138" s="183"/>
      <c r="C138" s="184" t="s">
        <v>381</v>
      </c>
      <c r="D138" s="877"/>
      <c r="E138" s="533"/>
      <c r="F138" s="538"/>
    </row>
    <row r="139" spans="2:6" ht="13.5" thickBot="1">
      <c r="B139" s="189" t="s">
        <v>393</v>
      </c>
      <c r="C139" s="186"/>
      <c r="D139" s="896"/>
      <c r="E139" s="533"/>
      <c r="F139" s="538"/>
    </row>
    <row r="140" spans="2:6" ht="13.5" thickBot="1">
      <c r="B140" s="183" t="s">
        <v>387</v>
      </c>
      <c r="C140" s="184" t="s">
        <v>380</v>
      </c>
      <c r="D140" s="877"/>
      <c r="E140" s="533"/>
      <c r="F140" s="538"/>
    </row>
    <row r="141" spans="2:6" ht="13.5" thickBot="1">
      <c r="B141" s="183"/>
      <c r="C141" s="184" t="s">
        <v>381</v>
      </c>
      <c r="D141" s="877"/>
      <c r="E141" s="533"/>
      <c r="F141" s="538"/>
    </row>
    <row r="142" spans="2:6" ht="13.5" thickBot="1">
      <c r="B142" s="183" t="s">
        <v>388</v>
      </c>
      <c r="C142" s="184" t="s">
        <v>380</v>
      </c>
      <c r="D142" s="877"/>
      <c r="E142" s="533"/>
      <c r="F142" s="538"/>
    </row>
    <row r="143" spans="2:6" ht="13.5" thickBot="1">
      <c r="B143" s="183"/>
      <c r="C143" s="184" t="s">
        <v>381</v>
      </c>
      <c r="D143" s="877"/>
      <c r="E143" s="533"/>
      <c r="F143" s="538"/>
    </row>
    <row r="144" spans="2:6" ht="13.5" thickBot="1">
      <c r="B144" s="183" t="s">
        <v>389</v>
      </c>
      <c r="C144" s="184" t="s">
        <v>380</v>
      </c>
      <c r="D144" s="877"/>
      <c r="E144" s="533"/>
      <c r="F144" s="538"/>
    </row>
    <row r="145" spans="2:6" ht="13.5" thickBot="1">
      <c r="B145" s="183"/>
      <c r="C145" s="184" t="s">
        <v>381</v>
      </c>
      <c r="D145" s="877"/>
      <c r="E145" s="533"/>
      <c r="F145" s="538"/>
    </row>
    <row r="146" spans="2:6" ht="13.5" thickBot="1">
      <c r="B146" s="183" t="s">
        <v>382</v>
      </c>
      <c r="C146" s="184" t="s">
        <v>380</v>
      </c>
      <c r="D146" s="893"/>
      <c r="E146" s="533"/>
      <c r="F146" s="538"/>
    </row>
    <row r="147" spans="2:6" ht="13.5" thickBot="1">
      <c r="B147" s="190"/>
      <c r="C147" s="191" t="s">
        <v>381</v>
      </c>
      <c r="D147" s="900"/>
      <c r="E147" s="533"/>
      <c r="F147" s="538"/>
    </row>
    <row r="148" spans="2:6" ht="13.5" thickBot="1">
      <c r="B148" s="16" t="s">
        <v>395</v>
      </c>
      <c r="C148" s="34"/>
      <c r="D148" s="891"/>
      <c r="E148" s="533"/>
      <c r="F148" s="538"/>
    </row>
    <row r="149" spans="2:6" ht="13.5" thickBot="1">
      <c r="B149" s="183" t="s">
        <v>379</v>
      </c>
      <c r="C149" s="184" t="s">
        <v>380</v>
      </c>
      <c r="D149" s="877"/>
      <c r="E149" s="533"/>
      <c r="F149" s="538"/>
    </row>
    <row r="150" spans="2:6" ht="13.5" thickBot="1">
      <c r="B150" s="183"/>
      <c r="C150" s="184" t="s">
        <v>381</v>
      </c>
      <c r="D150" s="877"/>
      <c r="E150" s="533"/>
      <c r="F150" s="538"/>
    </row>
    <row r="151" spans="2:6" ht="13.5" thickBot="1">
      <c r="B151" s="183" t="s">
        <v>382</v>
      </c>
      <c r="C151" s="184" t="s">
        <v>380</v>
      </c>
      <c r="D151" s="877"/>
      <c r="E151" s="533"/>
      <c r="F151" s="538"/>
    </row>
    <row r="152" spans="2:6" ht="13.5" thickBot="1">
      <c r="B152" s="183"/>
      <c r="C152" s="184" t="s">
        <v>381</v>
      </c>
      <c r="D152" s="877"/>
      <c r="E152" s="533"/>
      <c r="F152" s="538"/>
    </row>
    <row r="153" spans="2:6" ht="13.5" thickBot="1">
      <c r="B153" s="187" t="s">
        <v>386</v>
      </c>
      <c r="C153" s="191" t="s">
        <v>380</v>
      </c>
      <c r="D153" s="885"/>
      <c r="E153" s="533"/>
      <c r="F153" s="538"/>
    </row>
    <row r="154" spans="2:6" ht="13.5" thickBot="1">
      <c r="B154" s="16" t="s">
        <v>396</v>
      </c>
      <c r="C154" s="34"/>
      <c r="D154" s="891"/>
      <c r="E154" s="533"/>
      <c r="F154" s="538"/>
    </row>
    <row r="155" spans="2:6" ht="13.5" thickBot="1">
      <c r="B155" s="183" t="s">
        <v>379</v>
      </c>
      <c r="C155" s="184" t="s">
        <v>380</v>
      </c>
      <c r="D155" s="877"/>
      <c r="E155" s="533"/>
      <c r="F155" s="538"/>
    </row>
    <row r="156" spans="2:6" ht="13.5" thickBot="1">
      <c r="B156" s="183"/>
      <c r="C156" s="184" t="s">
        <v>381</v>
      </c>
      <c r="D156" s="877"/>
      <c r="E156" s="533"/>
      <c r="F156" s="538"/>
    </row>
    <row r="157" spans="2:6" ht="13.5" thickBot="1">
      <c r="B157" s="183" t="s">
        <v>382</v>
      </c>
      <c r="C157" s="184" t="s">
        <v>380</v>
      </c>
      <c r="D157" s="877"/>
      <c r="E157" s="533"/>
      <c r="F157" s="538"/>
    </row>
    <row r="158" spans="2:6" ht="13.5" thickBot="1">
      <c r="B158" s="183"/>
      <c r="C158" s="184" t="s">
        <v>381</v>
      </c>
      <c r="D158" s="877"/>
      <c r="E158" s="533"/>
      <c r="F158" s="538"/>
    </row>
    <row r="159" spans="2:6" ht="13.5" thickBot="1">
      <c r="B159" s="187" t="s">
        <v>386</v>
      </c>
      <c r="C159" s="191" t="s">
        <v>380</v>
      </c>
      <c r="D159" s="885"/>
      <c r="E159" s="536"/>
      <c r="F159" s="539"/>
    </row>
    <row r="160" spans="2:6" ht="13.5" thickBot="1"/>
    <row r="161" spans="2:5" ht="16.5" thickBot="1">
      <c r="B161" s="192" t="s">
        <v>429</v>
      </c>
      <c r="C161" s="193"/>
      <c r="D161" s="193"/>
      <c r="E161" s="194"/>
    </row>
    <row r="162" spans="2:5">
      <c r="B162" s="16" t="s">
        <v>425</v>
      </c>
      <c r="C162" s="34"/>
      <c r="D162" s="188"/>
      <c r="E162" s="33"/>
    </row>
    <row r="163" spans="2:5">
      <c r="B163" s="183" t="s">
        <v>388</v>
      </c>
      <c r="C163" s="184" t="s">
        <v>380</v>
      </c>
      <c r="D163" s="877"/>
      <c r="E163" s="11"/>
    </row>
    <row r="164" spans="2:5" ht="13.5" thickBot="1">
      <c r="B164" s="187"/>
      <c r="C164" s="191" t="s">
        <v>381</v>
      </c>
      <c r="D164" s="885"/>
      <c r="E164" s="185"/>
    </row>
    <row r="165" spans="2:5">
      <c r="B165" s="16" t="s">
        <v>430</v>
      </c>
      <c r="C165" s="34"/>
      <c r="D165" s="896"/>
      <c r="E165" s="33"/>
    </row>
    <row r="166" spans="2:5">
      <c r="B166" s="183" t="s">
        <v>387</v>
      </c>
      <c r="C166" s="184" t="s">
        <v>380</v>
      </c>
      <c r="D166" s="877"/>
      <c r="E166" s="11"/>
    </row>
    <row r="167" spans="2:5" ht="13.5" thickBot="1">
      <c r="B167" s="187"/>
      <c r="C167" s="191" t="s">
        <v>381</v>
      </c>
      <c r="D167" s="885"/>
      <c r="E167" s="185"/>
    </row>
    <row r="168" spans="2:5" ht="13.5" thickBot="1"/>
    <row r="169" spans="2:5" ht="16.5" thickBot="1">
      <c r="B169" s="1348" t="s">
        <v>433</v>
      </c>
      <c r="C169" s="1349"/>
      <c r="D169" s="1349"/>
      <c r="E169" s="1350"/>
    </row>
    <row r="170" spans="2:5">
      <c r="B170" s="16" t="s">
        <v>434</v>
      </c>
      <c r="C170" s="34"/>
      <c r="D170" s="188"/>
      <c r="E170" s="33"/>
    </row>
    <row r="171" spans="2:5">
      <c r="B171" s="183"/>
      <c r="C171" s="9" t="s">
        <v>696</v>
      </c>
      <c r="D171" s="905"/>
      <c r="E171" s="11"/>
    </row>
    <row r="172" spans="2:5" ht="13.5" thickBot="1">
      <c r="B172" s="183"/>
      <c r="C172" s="9" t="s">
        <v>440</v>
      </c>
      <c r="D172" s="877"/>
      <c r="E172" s="11"/>
    </row>
    <row r="173" spans="2:5">
      <c r="B173" s="16" t="s">
        <v>435</v>
      </c>
      <c r="C173" s="17"/>
      <c r="D173" s="882"/>
      <c r="E173" s="34"/>
    </row>
    <row r="174" spans="2:5">
      <c r="B174" s="10"/>
      <c r="C174" s="9" t="s">
        <v>436</v>
      </c>
      <c r="D174" s="877"/>
      <c r="E174" s="46"/>
    </row>
    <row r="175" spans="2:5">
      <c r="B175" s="10"/>
      <c r="C175" s="9" t="s">
        <v>439</v>
      </c>
      <c r="D175" s="906"/>
      <c r="E175" s="46"/>
    </row>
    <row r="176" spans="2:5">
      <c r="B176" s="10"/>
      <c r="C176" s="184" t="s">
        <v>437</v>
      </c>
      <c r="D176" s="877"/>
      <c r="E176" s="46"/>
    </row>
    <row r="177" spans="2:5" ht="13.5" thickBot="1">
      <c r="B177" s="31"/>
      <c r="C177" s="191" t="s">
        <v>438</v>
      </c>
      <c r="D177" s="885"/>
      <c r="E177" s="49"/>
    </row>
  </sheetData>
  <mergeCells count="36">
    <mergeCell ref="D48:E48"/>
    <mergeCell ref="D51:E51"/>
    <mergeCell ref="D43:E43"/>
    <mergeCell ref="B44:C44"/>
    <mergeCell ref="D45:E45"/>
    <mergeCell ref="D46:E46"/>
    <mergeCell ref="D47:E47"/>
    <mergeCell ref="D49:E49"/>
    <mergeCell ref="D42:E42"/>
    <mergeCell ref="B2:C3"/>
    <mergeCell ref="B4:C4"/>
    <mergeCell ref="D11:E11"/>
    <mergeCell ref="D2:E3"/>
    <mergeCell ref="B11:C11"/>
    <mergeCell ref="B37:C37"/>
    <mergeCell ref="D37:E37"/>
    <mergeCell ref="B42:C42"/>
    <mergeCell ref="B18:C18"/>
    <mergeCell ref="D12:E12"/>
    <mergeCell ref="B26:C26"/>
    <mergeCell ref="D26:E26"/>
    <mergeCell ref="B32:C32"/>
    <mergeCell ref="D27:E27"/>
    <mergeCell ref="D38:E38"/>
    <mergeCell ref="B169:E169"/>
    <mergeCell ref="B78:E78"/>
    <mergeCell ref="D71:G71"/>
    <mergeCell ref="B72:C72"/>
    <mergeCell ref="B70:C70"/>
    <mergeCell ref="D72:G72"/>
    <mergeCell ref="B68:C68"/>
    <mergeCell ref="D70:G70"/>
    <mergeCell ref="B49:C49"/>
    <mergeCell ref="D68:I68"/>
    <mergeCell ref="H51:I51"/>
    <mergeCell ref="F51:G51"/>
  </mergeCells>
  <conditionalFormatting sqref="D42 D45:D48 D37 D26 E18 E32">
    <cfRule type="cellIs" dxfId="1593" priority="35" stopIfTrue="1" operator="equal">
      <formula>4</formula>
    </cfRule>
    <cfRule type="cellIs" dxfId="1592" priority="36" stopIfTrue="1" operator="greaterThanOrEqual">
      <formula>2.67</formula>
    </cfRule>
    <cfRule type="cellIs" dxfId="1591" priority="37" stopIfTrue="1" operator="greaterThanOrEqual">
      <formula>1.33</formula>
    </cfRule>
    <cfRule type="cellIs" dxfId="1590" priority="38" stopIfTrue="1" operator="greaterThanOrEqual">
      <formula>0.001</formula>
    </cfRule>
    <cfRule type="cellIs" dxfId="1589" priority="39" stopIfTrue="1" operator="equal">
      <formula>0</formula>
    </cfRule>
  </conditionalFormatting>
  <conditionalFormatting sqref="D45:E45">
    <cfRule type="cellIs" dxfId="1588" priority="34" operator="greaterThanOrEqual">
      <formula>#REF!</formula>
    </cfRule>
  </conditionalFormatting>
  <conditionalFormatting sqref="D47:E47">
    <cfRule type="cellIs" dxfId="1587" priority="33" operator="greaterThanOrEqual">
      <formula>#REF!</formula>
    </cfRule>
  </conditionalFormatting>
  <conditionalFormatting sqref="D48:E48">
    <cfRule type="cellIs" dxfId="1586" priority="32" operator="greaterThanOrEqual">
      <formula>#REF!</formula>
    </cfRule>
  </conditionalFormatting>
  <conditionalFormatting sqref="D46:E46">
    <cfRule type="cellIs" dxfId="1585" priority="31" operator="greaterThanOrEqual">
      <formula>#REF!</formula>
    </cfRule>
  </conditionalFormatting>
  <conditionalFormatting sqref="D11">
    <cfRule type="cellIs" dxfId="1584" priority="1" stopIfTrue="1" operator="equal">
      <formula>4</formula>
    </cfRule>
    <cfRule type="cellIs" dxfId="1583" priority="2" stopIfTrue="1" operator="greaterThanOrEqual">
      <formula>2.67</formula>
    </cfRule>
    <cfRule type="cellIs" dxfId="1582" priority="3" stopIfTrue="1" operator="greaterThanOrEqual">
      <formula>1.33</formula>
    </cfRule>
    <cfRule type="cellIs" dxfId="1581" priority="4" stopIfTrue="1" operator="greaterThanOrEqual">
      <formula>0.001</formula>
    </cfRule>
    <cfRule type="cellIs" dxfId="1580" priority="5" stopIfTrue="1" operator="equal">
      <formula>0</formula>
    </cfRule>
  </conditionalFormatting>
  <dataValidations count="6">
    <dataValidation type="list" allowBlank="1" showInputMessage="1" showErrorMessage="1" sqref="D25 D36 D10 D41" xr:uid="{00000000-0002-0000-0600-000000000000}">
      <formula1>"0,-1"</formula1>
    </dataValidation>
    <dataValidation type="list" allowBlank="1" showInputMessage="1" showErrorMessage="1" sqref="D70" xr:uid="{00000000-0002-0000-0600-000001000000}">
      <formula1>"0,-1,-2,-3,-4,-5"</formula1>
    </dataValidation>
    <dataValidation type="list" allowBlank="1" showInputMessage="1" showErrorMessage="1" sqref="D6" xr:uid="{D6FEFE0A-9FAB-44CE-A824-EE8F64AC4642}">
      <formula1>"Yes,No"</formula1>
    </dataValidation>
    <dataValidation type="list" allowBlank="1" showInputMessage="1" showErrorMessage="1" sqref="F66:F67 D66:D67 H66:H67" xr:uid="{00000000-0002-0000-0600-000003000000}">
      <formula1>"Pass,Fail"</formula1>
    </dataValidation>
    <dataValidation type="list" allowBlank="1" showInputMessage="1" showErrorMessage="1" sqref="F65 D65 H65" xr:uid="{00000000-0002-0000-0600-000004000000}">
      <formula1>"Pass,Fail,OEM data"</formula1>
    </dataValidation>
    <dataValidation type="list" allowBlank="1" showInputMessage="1" showErrorMessage="1" sqref="H63" xr:uid="{23BC5EFE-B93F-47EB-94E0-C985F4AF8FD3}">
      <formula1>"Yes, No"</formula1>
    </dataValidation>
  </dataValidations>
  <pageMargins left="0.8" right="0.44" top="0.53" bottom="1" header="0.5" footer="0.5"/>
  <pageSetup paperSize="9" scale="5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tabColor indexed="51"/>
    <pageSetUpPr fitToPage="1"/>
  </sheetPr>
  <dimension ref="B1:M69"/>
  <sheetViews>
    <sheetView showGridLines="0" showOutlineSymbols="0" topLeftCell="A5" zoomScaleNormal="100" workbookViewId="0"/>
  </sheetViews>
  <sheetFormatPr defaultColWidth="8.7109375" defaultRowHeight="12.75"/>
  <cols>
    <col min="1" max="2" width="8.7109375" style="1"/>
    <col min="3" max="3" width="40.42578125" style="1" customWidth="1"/>
    <col min="4" max="4" width="10.5703125" style="1" customWidth="1"/>
    <col min="5" max="5" width="10.5703125" style="2" customWidth="1"/>
    <col min="6" max="6" width="10.5703125" style="1" customWidth="1"/>
    <col min="7" max="7" width="10.5703125" style="2" customWidth="1"/>
    <col min="8" max="8" width="8.7109375" style="1" hidden="1" customWidth="1"/>
    <col min="9" max="9" width="9.28515625" style="3" customWidth="1"/>
    <col min="10" max="16384" width="8.7109375" style="1"/>
  </cols>
  <sheetData>
    <row r="1" spans="2:12" ht="13.5" thickBot="1">
      <c r="H1" s="1" t="b">
        <f>IF(OR(D10="No OEM Data",F10="No OEM Data"),TRUE,FALSE)</f>
        <v>0</v>
      </c>
    </row>
    <row r="2" spans="2:12" s="4" customFormat="1" ht="12.75" customHeight="1">
      <c r="B2" s="1450" t="s">
        <v>664</v>
      </c>
      <c r="C2" s="1451"/>
      <c r="D2" s="1454" t="s">
        <v>678</v>
      </c>
      <c r="E2" s="1455"/>
      <c r="F2" s="1464" t="s">
        <v>679</v>
      </c>
      <c r="G2" s="1486"/>
      <c r="I2" s="5"/>
    </row>
    <row r="3" spans="2:12" s="4" customFormat="1" ht="15" customHeight="1">
      <c r="B3" s="1452"/>
      <c r="C3" s="1453"/>
      <c r="D3" s="1456"/>
      <c r="E3" s="1457"/>
      <c r="F3" s="1465"/>
      <c r="G3" s="1487"/>
      <c r="I3" s="5"/>
    </row>
    <row r="4" spans="2:12" ht="15" customHeight="1" thickBot="1">
      <c r="B4" s="1498" t="s">
        <v>665</v>
      </c>
      <c r="C4" s="1485"/>
      <c r="D4" s="6" t="s">
        <v>99</v>
      </c>
      <c r="E4" s="35" t="s">
        <v>40</v>
      </c>
      <c r="F4" s="238" t="s">
        <v>99</v>
      </c>
      <c r="G4" s="7" t="s">
        <v>40</v>
      </c>
    </row>
    <row r="5" spans="2:12" ht="15" customHeight="1">
      <c r="B5" s="16" t="s">
        <v>1001</v>
      </c>
      <c r="C5" s="17"/>
      <c r="D5" s="18"/>
      <c r="E5" s="59"/>
      <c r="F5" s="17"/>
      <c r="G5" s="33"/>
    </row>
    <row r="6" spans="2:12" ht="15" customHeight="1">
      <c r="B6" s="10"/>
      <c r="C6" s="9" t="s">
        <v>1002</v>
      </c>
      <c r="D6" s="1508"/>
      <c r="E6" s="1509"/>
      <c r="F6" s="1501"/>
      <c r="G6" s="1502"/>
      <c r="I6" s="1"/>
    </row>
    <row r="7" spans="2:12" ht="15" customHeight="1" thickBot="1">
      <c r="B7" s="31"/>
      <c r="C7" s="588" t="s">
        <v>1003</v>
      </c>
      <c r="D7" s="1510"/>
      <c r="E7" s="1511"/>
      <c r="F7" s="1503"/>
      <c r="G7" s="1504"/>
      <c r="I7" s="1"/>
    </row>
    <row r="8" spans="2:12" ht="15" customHeight="1" thickBot="1">
      <c r="D8" s="1526"/>
      <c r="E8" s="1526"/>
      <c r="F8" s="1527"/>
      <c r="G8" s="1527"/>
      <c r="I8" s="1"/>
    </row>
    <row r="9" spans="2:12" ht="15" customHeight="1">
      <c r="B9" s="16" t="s">
        <v>786</v>
      </c>
      <c r="C9" s="17"/>
      <c r="D9" s="18"/>
      <c r="E9" s="59"/>
      <c r="F9" s="17"/>
      <c r="G9" s="33"/>
    </row>
    <row r="10" spans="2:12" ht="15" customHeight="1">
      <c r="B10" s="10"/>
      <c r="C10" s="9" t="s">
        <v>775</v>
      </c>
      <c r="D10" s="864"/>
      <c r="E10" s="38"/>
      <c r="F10" s="921"/>
      <c r="G10" s="12"/>
      <c r="H10" s="9"/>
      <c r="I10" s="9"/>
      <c r="J10" s="9"/>
      <c r="K10" s="9"/>
      <c r="L10" s="9"/>
    </row>
    <row r="11" spans="2:12" ht="15" customHeight="1" thickBot="1">
      <c r="B11" s="10"/>
      <c r="C11" s="24" t="s">
        <v>776</v>
      </c>
      <c r="D11" s="920"/>
      <c r="E11" s="38"/>
      <c r="F11" s="922"/>
      <c r="G11" s="12"/>
      <c r="I11" s="1"/>
    </row>
    <row r="12" spans="2:12" ht="15" customHeight="1" thickBot="1">
      <c r="B12" s="1395" t="s">
        <v>783</v>
      </c>
      <c r="C12" s="1396"/>
      <c r="D12" s="1505" t="str">
        <f>IF('General Overview'!E33="Standard",IF(OR(D10="Green",D10="Yellow"),"100%",IF(D10="Orange","75%",IF(D10="Red",IF(D11="No","Head &amp; Chest 0 points",IF(D11="Yes","Head 2 points &amp; Chest 0 points","Enter data in D10")),IF(D10="Capping","Both tests capped","No excursion entered")))),IF(D10="Green","100%",IF(D10="Yellow","50%",IF(D10="Orange","25%",IF(D10="Red","25% and Head &amp; Chest 0 points",IF(D10="Capping","Both tests capped","No excursion entered"))))))</f>
        <v>No excursion entered</v>
      </c>
      <c r="E12" s="1506"/>
      <c r="F12" s="1528" t="str">
        <f>IF('General Overview'!E33="Standard",IF(OR(F10="Green",F10="Yellow"),"100%",IF(F10="Orange","75%",IF(F10="Red",IF(F11="No","Head &amp; Chest 0 points",IF(F11="Yes","Head 2 points &amp; Chest 0 points","Enter data in D10")),IF(F10="Capping","Both tests capped","No excursion entered")))),IF(F10="Green","100%",IF(F10="Yellow","50%",IF(F10="Orange","25%",IF(F10="Red","25% and Head &amp; Chest 0 points",IF(F10="Capping","Both tests capped","No excursion entered"))))))</f>
        <v>No excursion entered</v>
      </c>
      <c r="G12" s="1529"/>
      <c r="H12" s="217"/>
      <c r="I12" s="219"/>
      <c r="J12" s="217"/>
    </row>
    <row r="13" spans="2:12" ht="15" customHeight="1" thickBot="1">
      <c r="D13" s="1507"/>
      <c r="E13" s="1507"/>
      <c r="F13" s="1530"/>
      <c r="G13" s="1530"/>
      <c r="I13" s="1"/>
    </row>
    <row r="14" spans="2:12" ht="15" customHeight="1">
      <c r="B14" s="16" t="s">
        <v>65</v>
      </c>
      <c r="C14" s="17"/>
      <c r="D14" s="18"/>
      <c r="E14" s="59"/>
      <c r="F14" s="17"/>
      <c r="G14" s="33"/>
    </row>
    <row r="15" spans="2:12" ht="15" customHeight="1">
      <c r="B15" s="10"/>
      <c r="C15" s="254" t="s">
        <v>558</v>
      </c>
      <c r="D15" s="923"/>
      <c r="E15" s="266"/>
      <c r="F15" s="924"/>
      <c r="G15" s="425"/>
      <c r="H15" s="13"/>
    </row>
    <row r="16" spans="2:12" ht="15" customHeight="1">
      <c r="B16" s="10"/>
      <c r="C16" s="9" t="s">
        <v>368</v>
      </c>
      <c r="D16" s="877"/>
      <c r="E16" s="158" t="str">
        <f>IF(D15="Yes",Sliding_Scale(D16,500,700,IF('General Overview'!E33="Standard",IF(OR(D10="Green",D10="Yellow"),4,IF(D10="Orange",3,IF(D10="Red",IF(D11="No",0,IF(D11="Yes",2)),IF(D10="Capping",0,0)))),IF(D10="Green",4,IF(D10="Yellow",2,IF(D10="Orange",1,IF(D10="Red",0,IF(D10="Capping",0,0)))))),0),"")</f>
        <v/>
      </c>
      <c r="F16" s="872"/>
      <c r="G16" s="159" t="str">
        <f>IF(F15="Yes",Sliding_Scale(F16,500,700,IF('General Overview'!E33="Standard",IF(OR(F10="Green",F10="Yellow"),4,IF(F10="Orange",3,IF(F10="Red",IF(F11="No",0,IF(F11="Yes",2)),IF(F10="Capping",0,0)))),IF(F10="Green",4,IF(F10="Yellow",2,IF(F10="Orange",1,IF(F10="Red",0,IF(F10="Capping",0,0)))))),0),"")</f>
        <v/>
      </c>
    </row>
    <row r="17" spans="2:10" ht="15" customHeight="1" thickBot="1">
      <c r="B17" s="10"/>
      <c r="C17" s="9" t="s">
        <v>68</v>
      </c>
      <c r="D17" s="877"/>
      <c r="E17" s="38">
        <f>Sliding_Scale(D17,72,80,IF('General Overview'!E33="Standard",IF(OR(D10="Green",D10="Yellow"),4,IF(D10="Orange",3,IF(D10="Red",IF(D11="No",0,IF(D11="Yes",2)),IF(D10="Capping",0,0)))),IF(D10="Green",4,IF(D10="Yellow",2,IF(D10="Orange",1,IF(D10="Red",0,IF(D10="Capping",0,0)))))),0)</f>
        <v>0</v>
      </c>
      <c r="F17" s="872"/>
      <c r="G17" s="12">
        <f>Sliding_Scale(F17,72,80,IF('General Overview'!E33="Standard",IF(OR(F10="Green",F10="Yellow"),4,IF(F10="Orange",3,IF(F10="Red",IF(F11="No",0,IF(F11="Yes",2)),IF(F10="Capping",0,0)))),IF(F10="Green",4,IF(F10="Yellow",2,IF(F10="Orange",1,IF(F10="Red",0,IF(F10="Capping",0,0)))))),0)</f>
        <v>0</v>
      </c>
      <c r="I17" s="1"/>
      <c r="J17" s="15"/>
    </row>
    <row r="18" spans="2:10" ht="15" customHeight="1" thickBot="1">
      <c r="B18" s="1395" t="s">
        <v>45</v>
      </c>
      <c r="C18" s="1396"/>
      <c r="D18" s="1416">
        <f>MIN(E16:E17)</f>
        <v>0</v>
      </c>
      <c r="E18" s="1478"/>
      <c r="F18" s="1418">
        <f>MIN(G16:G17)</f>
        <v>0</v>
      </c>
      <c r="G18" s="1419"/>
      <c r="I18" s="1"/>
    </row>
    <row r="19" spans="2:10" ht="15" customHeight="1" thickBot="1">
      <c r="D19" s="1518"/>
      <c r="E19" s="1518"/>
      <c r="F19" s="1436"/>
      <c r="G19" s="1436"/>
      <c r="I19" s="1"/>
    </row>
    <row r="20" spans="2:10" ht="15" customHeight="1">
      <c r="B20" s="16" t="s">
        <v>27</v>
      </c>
      <c r="C20" s="34"/>
      <c r="D20" s="18"/>
      <c r="E20" s="59"/>
      <c r="F20" s="17"/>
      <c r="G20" s="33"/>
    </row>
    <row r="21" spans="2:10" ht="15" customHeight="1">
      <c r="B21" s="10"/>
      <c r="C21" s="46" t="s">
        <v>671</v>
      </c>
      <c r="D21" s="10"/>
      <c r="E21" s="38"/>
      <c r="F21" s="9"/>
      <c r="G21" s="12"/>
    </row>
    <row r="22" spans="2:10" ht="15" customHeight="1">
      <c r="B22" s="10"/>
      <c r="C22" s="52" t="s">
        <v>667</v>
      </c>
      <c r="D22" s="877"/>
      <c r="E22" s="158">
        <f>IF(D22="",0,IF(D22&lt;=3.74,IF('General Overview'!E33="Standard",IF(OR(D10="Green",D10="Yellow"),4,IF(D10="Orange",3,IF(D10="Red",4,IF(D10="Capping",0,0)))),IF(D10="Green",4,IF(D10="Yellow",2,IF(D10="Orange",1,IF(D10="Red",1,IF(D10="Capping",0,0)))))),0))</f>
        <v>0</v>
      </c>
      <c r="F22" s="872"/>
      <c r="G22" s="159">
        <f>IF(F22="",0,IF(F22&lt;=3.74,IF('General Overview'!E33="Standard",IF(OR(F10="Green",F10="Yellow"),4,IF(F10="Orange",3,IF(F10="Red",4,IF(F10="Capping",0,0)))),IF(F10="Green",4,IF(F10="Yellow",2,IF(F10="Orange",1,IF(F10="Red",1,IF(F10="Capping",0,0)))))),0))</f>
        <v>0</v>
      </c>
    </row>
    <row r="23" spans="2:10" ht="15" customHeight="1">
      <c r="B23" s="10"/>
      <c r="C23" s="52" t="s">
        <v>770</v>
      </c>
      <c r="D23" s="877"/>
      <c r="E23" s="158">
        <f>IF(D23="",0,IF(D23&lt;=3.74,IF('General Overview'!E33="Standard",IF(OR(D10="Green",D10="Yellow"),4,IF(D10="Orange",3,IF(D10="Red",4,IF(D10="Capping",0,0)))),IF(D10="Green",4,IF(D10="Yellow",2,IF(D10="Orange",1,IF(D10="Red",1,IF(D10="Capping",0,0)))))),0))</f>
        <v>0</v>
      </c>
      <c r="F23" s="872"/>
      <c r="G23" s="159">
        <f>IF(F23="",0,IF(F23&lt;=3.74,IF('General Overview'!E33="Standard",IF(OR(F10="Green",F10="Yellow"),4,IF(F10="Orange",3,IF(F10="Red",4,IF(F10="Capping",0,0)))),IF(F10="Green",4,IF(F10="Yellow",2,IF(F10="Orange",1,IF(F10="Red",1,IF(F10="Capping",0,0)))))),0))</f>
        <v>0</v>
      </c>
    </row>
    <row r="24" spans="2:10" ht="15" customHeight="1">
      <c r="B24" s="10"/>
      <c r="C24" s="46" t="s">
        <v>672</v>
      </c>
      <c r="D24" s="10"/>
      <c r="E24" s="38"/>
      <c r="F24" s="9"/>
      <c r="G24" s="12"/>
    </row>
    <row r="25" spans="2:10" ht="15" customHeight="1">
      <c r="B25" s="10"/>
      <c r="C25" s="52" t="s">
        <v>771</v>
      </c>
      <c r="D25" s="877"/>
      <c r="E25" s="158">
        <f>Sliding_Scale(D25,162,248,IF('General Overview'!E33="Standard",IF(OR(D10="Green",D10="Yellow"),4,IF(D10="Orange",3,IF(D10="Red",4,IF(D10="Capping",0,0)))),IF(D10="Green",4,IF(D10="Yellow",2,IF(D10="Orange",1,IF(D10="Red",1,IF(D10="Capping",0,0)))))),0)</f>
        <v>0</v>
      </c>
      <c r="F25" s="872"/>
      <c r="G25" s="159">
        <f>Sliding_Scale(F25,162,248,IF('General Overview'!E33="Standard",IF(OR(F10="Green",F10="Yellow"),4,IF(F10="Orange",3,IF(F10="Red",4,IF(F10="Capping",0,0)))),IF(F10="Green",4,IF(F10="Yellow",2,IF(F10="Orange",1,IF(F10="Red",1,IF(F10="Capping",0,0)))))),0)</f>
        <v>0</v>
      </c>
      <c r="I25" s="1"/>
    </row>
    <row r="26" spans="2:10" ht="15" customHeight="1">
      <c r="B26" s="10"/>
      <c r="C26" s="52" t="s">
        <v>772</v>
      </c>
      <c r="D26" s="877"/>
      <c r="E26" s="158">
        <f>Sliding_Scale(D26,162,248,IF('General Overview'!E33="Standard",IF(OR(D10="Green",D10="Yellow"),4,IF(D10="Orange",3,IF(D10="Red",4,IF(D10="Capping",0,0)))),IF(D10="Green",4,IF(D10="Yellow",2,IF(D10="Orange",1,IF(D10="Red",1,IF(D10="Capping",0,0)))))),0)</f>
        <v>0</v>
      </c>
      <c r="F26" s="872"/>
      <c r="G26" s="159">
        <f>Sliding_Scale(F26,162,248,IF('General Overview'!E33="Standard",IF(OR(F10="Green",F10="Yellow"),4,IF(F10="Orange",3,IF(F10="Red",4,IF(F10="Capping",0,0)))),IF(F10="Green",4,IF(F10="Yellow",2,IF(F10="Orange",1,IF(F10="Red",1,IF(F10="Capping",0,0)))))),0)</f>
        <v>0</v>
      </c>
      <c r="I26" s="1"/>
    </row>
    <row r="27" spans="2:10" ht="15" customHeight="1">
      <c r="B27" s="10"/>
      <c r="C27" s="9" t="s">
        <v>47</v>
      </c>
      <c r="D27" s="10"/>
      <c r="E27" s="38"/>
      <c r="F27" s="9"/>
      <c r="G27" s="12"/>
    </row>
    <row r="28" spans="2:10" ht="15" customHeight="1">
      <c r="B28" s="10"/>
      <c r="C28" s="24" t="s">
        <v>773</v>
      </c>
      <c r="D28" s="877"/>
      <c r="E28" s="158">
        <f>IF(D28="",0,IF(D28&lt;=50,IF('General Overview'!E33="Standard",IF(OR(D10="Green",D10="Yellow"),4,IF(D10="Orange",3,IF(D10="Red",4,IF(D10="Capping",0,0)))),IF(D10="Green",4,IF(D10="Yellow",2,IF(D10="Orange",1,IF(D10="Red",1,IF(D10="Capping",0,0)))))),0))</f>
        <v>0</v>
      </c>
      <c r="F28" s="872"/>
      <c r="G28" s="159">
        <f>IF(F28="",0,IF(F28&lt;=50,IF('General Overview'!E33="Standard",IF(OR(F10="Green",F10="Yellow"),4,IF(F10="Orange",3,IF(F10="Red",4,IF(F10="Capping",0,0)))),IF(F10="Green",4,IF(F10="Yellow",2,IF(F10="Orange",1,IF(F10="Red",1,IF(F10="Capping",0,0)))))),0))</f>
        <v>0</v>
      </c>
      <c r="I28" s="1"/>
    </row>
    <row r="29" spans="2:10" ht="15" customHeight="1" thickBot="1">
      <c r="B29" s="31"/>
      <c r="C29" s="54" t="s">
        <v>774</v>
      </c>
      <c r="D29" s="885"/>
      <c r="E29" s="241"/>
      <c r="F29" s="887"/>
      <c r="G29" s="172"/>
      <c r="I29" s="1"/>
    </row>
    <row r="30" spans="2:10" ht="15" customHeight="1" thickBot="1">
      <c r="B30" s="1395" t="s">
        <v>107</v>
      </c>
      <c r="C30" s="1396"/>
      <c r="D30" s="1416">
        <f>MIN(E22:E29)</f>
        <v>0</v>
      </c>
      <c r="E30" s="1478"/>
      <c r="F30" s="1417">
        <f>MIN(G22:G29)</f>
        <v>0</v>
      </c>
      <c r="G30" s="1419"/>
      <c r="I30" s="1"/>
    </row>
    <row r="31" spans="2:10" ht="15" customHeight="1" thickBot="1">
      <c r="D31" s="1436"/>
      <c r="E31" s="1436"/>
      <c r="F31" s="1436"/>
      <c r="G31" s="1436"/>
      <c r="I31" s="1"/>
    </row>
    <row r="32" spans="2:10" ht="15" customHeight="1">
      <c r="B32" s="16" t="s">
        <v>673</v>
      </c>
      <c r="C32" s="17"/>
      <c r="D32" s="18"/>
      <c r="E32" s="55"/>
      <c r="F32" s="17"/>
      <c r="G32" s="19"/>
      <c r="I32" s="1"/>
    </row>
    <row r="33" spans="2:8" ht="15" customHeight="1">
      <c r="B33" s="10"/>
      <c r="C33" s="9" t="s">
        <v>378</v>
      </c>
      <c r="D33" s="10"/>
      <c r="E33" s="38"/>
      <c r="F33" s="9"/>
      <c r="G33" s="12"/>
    </row>
    <row r="34" spans="2:8" ht="15" customHeight="1">
      <c r="B34" s="10"/>
      <c r="C34" s="24" t="s">
        <v>79</v>
      </c>
      <c r="D34" s="877"/>
      <c r="E34" s="38">
        <f>ROUND(Sliding_Scale(D34,28,50,IF('General Overview'!E33="Standard",IF(OR(D10="Green",D10="Yellow"),4,IF(D10="Orange",3,IF(D10="Red",0,IF(D10="Capping",0,0)))),IF(D10="Green",4,IF(D10="Yellow",2,IF(D10="Orange",1,IF(D10="Red",0,IF(D10="Capping",0,0)))))),0),Round)</f>
        <v>0</v>
      </c>
      <c r="F34" s="872"/>
      <c r="G34" s="12">
        <f>ROUND(Sliding_Scale(F34,28,50,IF('General Overview'!E33="Standard",IF(OR(F10="Green",F10="Yellow"),4,IF(F10="Orange",3,IF(F10="Red",0,IF(F10="Capping",0,0)))),IF(F10="Green",4,IF(F10="Yellow",2,IF(F10="Orange",1,IF(F10="Red",0,IF(F10="Capping",0,0)))))),0),Round)</f>
        <v>0</v>
      </c>
    </row>
    <row r="35" spans="2:8" ht="15" customHeight="1">
      <c r="B35" s="10"/>
      <c r="C35" s="24" t="s">
        <v>104</v>
      </c>
      <c r="D35" s="877"/>
      <c r="E35" s="38">
        <f>ROUND(Sliding_Scale(D35,28,50,IF('General Overview'!E33="Standard",IF(OR(D10="Green",D10="Yellow"),4,IF(D10="Orange",3,IF(D10="Red",0,IF(D10="Capping",0,0)))),IF(D10="Green",4,IF(D10="Yellow",2,IF(D10="Orange",1,IF(D10="Red",0,IF(D10="Capping",0,0)))))),0),Round)</f>
        <v>0</v>
      </c>
      <c r="F35" s="872"/>
      <c r="G35" s="12">
        <f>ROUND(Sliding_Scale(F35,28,50,IF('General Overview'!E33="Standard",IF(OR(F10="Green",F10="Yellow"),4,IF(F10="Orange",3,IF(F10="Red",0,IF(F10="Capping",0,0)))),IF(F10="Green",4,IF(F10="Yellow",2,IF(F10="Orange",1,IF(F10="Red",0,IF(F10="Capping",0,0)))))),0),Round)</f>
        <v>0</v>
      </c>
    </row>
    <row r="36" spans="2:8" ht="15" customHeight="1" thickBot="1">
      <c r="B36" s="10"/>
      <c r="C36" s="24" t="s">
        <v>105</v>
      </c>
      <c r="D36" s="877"/>
      <c r="E36" s="38">
        <f>ROUND(Sliding_Scale(D36,28,50,IF('General Overview'!E33="Standard",IF(OR(D10="Green",D10="Yellow"),4,IF(D10="Orange",3,IF(D10="Red",0,IF(D10="Capping",0,0)))),IF(D10="Green",4,IF(D10="Yellow",2,IF(D10="Orange",1,IF(D10="Red",0,IF(D10="Capping",0,0)))))),0),Round)</f>
        <v>0</v>
      </c>
      <c r="F36" s="872"/>
      <c r="G36" s="12">
        <f>ROUND(Sliding_Scale(F36,28,50,IF('General Overview'!E33="Standard",IF(OR(F10="Green",F10="Yellow"),4,IF(F10="Orange",3,IF(F10="Red",0,IF(F10="Capping",0,0)))),IF(F10="Green",4,IF(F10="Yellow",2,IF(F10="Orange",1,IF(F10="Red",0,IF(F10="Capping",0,0)))))),0),Round)</f>
        <v>0</v>
      </c>
    </row>
    <row r="37" spans="2:8" s="3" customFormat="1" ht="15" customHeight="1" thickBot="1">
      <c r="B37" s="1393" t="s">
        <v>376</v>
      </c>
      <c r="C37" s="1483"/>
      <c r="D37" s="20"/>
      <c r="E37" s="481">
        <f>MIN(E34:E36)</f>
        <v>0</v>
      </c>
      <c r="F37" s="28"/>
      <c r="G37" s="482">
        <f>MIN(G34:G36)</f>
        <v>0</v>
      </c>
      <c r="H37" s="1"/>
    </row>
    <row r="38" spans="2:8" ht="15" customHeight="1">
      <c r="B38" s="10"/>
      <c r="C38" s="9" t="s">
        <v>378</v>
      </c>
      <c r="D38" s="10"/>
      <c r="E38" s="38"/>
      <c r="F38" s="9"/>
      <c r="G38" s="12"/>
    </row>
    <row r="39" spans="2:8" ht="15" customHeight="1">
      <c r="B39" s="10"/>
      <c r="C39" s="24" t="s">
        <v>79</v>
      </c>
      <c r="D39" s="877"/>
      <c r="E39" s="38">
        <f>ROUND(Sliding_Scale(D39,47,65,IF('General Overview'!E33="Standard",IF(OR(D10="Green",D10="Yellow"),4,IF(D10="Orange",3,IF(D10="Red",0,IF(D10="Capping",0,0)))),IF(D10="Green",4,IF(D10="Yellow",2,IF(D10="Orange",1,IF(D10="Red",0,IF(D10="Capping",0,0)))))),0),Round)</f>
        <v>0</v>
      </c>
      <c r="F39" s="872"/>
      <c r="G39" s="12">
        <f>ROUND(Sliding_Scale(F39,47,65,IF('General Overview'!E33="Standard",IF(OR(F10="Green",F10="Yellow"),4,IF(F10="Orange",3,IF(F10="Red",0,IF(F10="Capping",0,0)))),IF(F10="Green",4,IF(F10="Yellow",2,IF(F10="Orange",1,IF(F10="Red",0,IF(F10="Capping",0,0)))))),0),Round)</f>
        <v>0</v>
      </c>
    </row>
    <row r="40" spans="2:8" ht="15" customHeight="1" thickBot="1">
      <c r="B40" s="10"/>
      <c r="C40" s="24" t="s">
        <v>105</v>
      </c>
      <c r="D40" s="877"/>
      <c r="E40" s="38">
        <f>ROUND(Sliding_Scale(D40,47,65,IF('General Overview'!E33="Standard",IF(OR(D10="Green",D10="Yellow"),4,IF(D10="Orange",3,IF(D10="Red",0,IF(D10="Capping",0,0)))),IF(D10="Green",4,IF(D10="Yellow",2,IF(D10="Orange",1,IF(D10="Red",0,IF(D10="Capping",0,0)))))),0),Round)</f>
        <v>0</v>
      </c>
      <c r="F40" s="872"/>
      <c r="G40" s="12">
        <f>ROUND(Sliding_Scale(F40,47,65,IF('General Overview'!E33="Standard",IF(OR(F10="Green",F10="Yellow"),4,IF(F10="Orange",3,IF(F10="Red",0,IF(F10="Capping",0,0)))),IF(F10="Green",4,IF(F10="Yellow",2,IF(F10="Orange",1,IF(F10="Red",0,IF(F10="Capping",0,0)))))),0),Round)</f>
        <v>0</v>
      </c>
    </row>
    <row r="41" spans="2:8" s="3" customFormat="1" ht="15" customHeight="1" thickBot="1">
      <c r="B41" s="1393" t="s">
        <v>377</v>
      </c>
      <c r="C41" s="1483"/>
      <c r="D41" s="20"/>
      <c r="E41" s="481">
        <f>MIN(E39:E40)</f>
        <v>0</v>
      </c>
      <c r="F41" s="28"/>
      <c r="G41" s="482">
        <f>MIN(G39:G40)</f>
        <v>0</v>
      </c>
      <c r="H41" s="1"/>
    </row>
    <row r="42" spans="2:8" s="3" customFormat="1" ht="15" customHeight="1" thickBot="1">
      <c r="B42" s="1519"/>
      <c r="C42" s="1520"/>
      <c r="D42" s="1520"/>
      <c r="E42" s="1521"/>
      <c r="F42" s="1"/>
      <c r="G42" s="1"/>
      <c r="H42" s="1"/>
    </row>
    <row r="43" spans="2:8" s="3" customFormat="1" ht="15" customHeight="1" thickBot="1">
      <c r="B43" s="1395" t="s">
        <v>674</v>
      </c>
      <c r="C43" s="1403"/>
      <c r="D43" s="1416">
        <f>MIN(E37,E41)</f>
        <v>0</v>
      </c>
      <c r="E43" s="1478"/>
      <c r="F43" s="1417">
        <f>MIN(G37,G41)</f>
        <v>0</v>
      </c>
      <c r="G43" s="1419"/>
      <c r="H43" s="1"/>
    </row>
    <row r="44" spans="2:8" s="3" customFormat="1" ht="15" customHeight="1" thickBot="1">
      <c r="B44" s="1"/>
      <c r="C44" s="4"/>
      <c r="D44" s="1436"/>
      <c r="E44" s="1436"/>
      <c r="F44" s="1436"/>
      <c r="G44" s="1436"/>
      <c r="H44" s="24"/>
    </row>
    <row r="45" spans="2:8" s="3" customFormat="1" ht="15" customHeight="1">
      <c r="B45" s="16" t="s">
        <v>42</v>
      </c>
      <c r="C45" s="17"/>
      <c r="D45" s="18"/>
      <c r="E45" s="55"/>
      <c r="F45" s="17"/>
      <c r="G45" s="19"/>
      <c r="H45" s="1"/>
    </row>
    <row r="46" spans="2:8" s="3" customFormat="1" ht="15" customHeight="1">
      <c r="B46" s="10"/>
      <c r="C46" s="9" t="s">
        <v>43</v>
      </c>
      <c r="D46" s="877"/>
      <c r="E46" s="38">
        <f>IF(D46&gt;2.8,-4,0)</f>
        <v>0</v>
      </c>
      <c r="F46" s="872"/>
      <c r="G46" s="12">
        <f>IF(F46&gt;2.8,-4,0)</f>
        <v>0</v>
      </c>
      <c r="H46" s="1"/>
    </row>
    <row r="47" spans="2:8" s="3" customFormat="1" ht="15" customHeight="1">
      <c r="B47" s="10"/>
      <c r="C47" s="9" t="s">
        <v>675</v>
      </c>
      <c r="D47" s="877"/>
      <c r="E47" s="38">
        <f>IF(D47&gt;2,-4,0)</f>
        <v>0</v>
      </c>
      <c r="F47" s="872"/>
      <c r="G47" s="12">
        <f>IF(F47&gt;2,-4,0)</f>
        <v>0</v>
      </c>
      <c r="H47" s="1"/>
    </row>
    <row r="48" spans="2:8" s="3" customFormat="1" ht="15" customHeight="1">
      <c r="B48" s="10"/>
      <c r="C48" s="9" t="s">
        <v>676</v>
      </c>
      <c r="D48" s="877"/>
      <c r="E48" s="38">
        <f>IF(D48&gt;3.5,-4,0)</f>
        <v>0</v>
      </c>
      <c r="F48" s="872"/>
      <c r="G48" s="12">
        <f>IF(F48&gt;3.5,-4,0)</f>
        <v>0</v>
      </c>
      <c r="H48" s="1"/>
    </row>
    <row r="49" spans="2:9" s="3" customFormat="1" ht="15" customHeight="1" thickBot="1">
      <c r="B49" s="10"/>
      <c r="C49" s="9" t="s">
        <v>677</v>
      </c>
      <c r="D49" s="877"/>
      <c r="E49" s="38">
        <f>IF(D49&gt;120,-4,0)</f>
        <v>0</v>
      </c>
      <c r="F49" s="872"/>
      <c r="G49" s="12">
        <f>IF(F49&gt;120,-4,0)</f>
        <v>0</v>
      </c>
      <c r="H49" s="1"/>
    </row>
    <row r="50" spans="2:9" s="3" customFormat="1" ht="15" customHeight="1" thickBot="1">
      <c r="B50" s="1395" t="s">
        <v>53</v>
      </c>
      <c r="C50" s="1396"/>
      <c r="D50" s="1416">
        <f>IF(COUNTIF(E46:E49,-4)&gt;0,-4,0)</f>
        <v>0</v>
      </c>
      <c r="E50" s="1478"/>
      <c r="F50" s="1417">
        <f>IF(COUNTIF(G46:G49,-4)&gt;0,-4,0)</f>
        <v>0</v>
      </c>
      <c r="G50" s="1419"/>
      <c r="H50" s="1"/>
    </row>
    <row r="51" spans="2:9" s="3" customFormat="1" ht="15" customHeight="1" thickBot="1">
      <c r="B51" s="25"/>
      <c r="C51" s="26"/>
      <c r="D51" s="1436"/>
      <c r="E51" s="1436"/>
      <c r="F51" s="1436"/>
      <c r="G51" s="1436"/>
      <c r="H51" s="1"/>
    </row>
    <row r="52" spans="2:9" s="3" customFormat="1" ht="15" customHeight="1" thickBot="1">
      <c r="B52" s="1395" t="s">
        <v>37</v>
      </c>
      <c r="C52" s="1403"/>
      <c r="D52" s="20"/>
      <c r="E52" s="427"/>
      <c r="F52" s="28"/>
      <c r="G52" s="29"/>
      <c r="H52" s="1"/>
    </row>
    <row r="53" spans="2:9" s="3" customFormat="1" ht="15" customHeight="1">
      <c r="B53" s="18"/>
      <c r="C53" s="480" t="s">
        <v>45</v>
      </c>
      <c r="D53" s="1512">
        <f>D18</f>
        <v>0</v>
      </c>
      <c r="E53" s="1513"/>
      <c r="F53" s="1516">
        <f>F18</f>
        <v>0</v>
      </c>
      <c r="G53" s="1517"/>
      <c r="H53" s="1"/>
    </row>
    <row r="54" spans="2:9" s="3" customFormat="1" ht="15" customHeight="1">
      <c r="B54" s="10"/>
      <c r="C54" s="30" t="s">
        <v>107</v>
      </c>
      <c r="D54" s="1524">
        <f>D30</f>
        <v>0</v>
      </c>
      <c r="E54" s="1525"/>
      <c r="F54" s="1514">
        <f>F30</f>
        <v>0</v>
      </c>
      <c r="G54" s="1515"/>
      <c r="H54" s="1"/>
    </row>
    <row r="55" spans="2:9" s="3" customFormat="1" ht="15" customHeight="1">
      <c r="B55" s="10"/>
      <c r="C55" s="30" t="s">
        <v>674</v>
      </c>
      <c r="D55" s="1524">
        <f>D43</f>
        <v>0</v>
      </c>
      <c r="E55" s="1525"/>
      <c r="F55" s="1514">
        <f>F43</f>
        <v>0</v>
      </c>
      <c r="G55" s="1515"/>
      <c r="H55" s="1"/>
    </row>
    <row r="56" spans="2:9" s="3" customFormat="1" ht="15" customHeight="1" thickBot="1">
      <c r="B56" s="31"/>
      <c r="C56" s="32" t="s">
        <v>53</v>
      </c>
      <c r="D56" s="1522">
        <f>D50</f>
        <v>0</v>
      </c>
      <c r="E56" s="1523"/>
      <c r="F56" s="1531">
        <f>F50</f>
        <v>0</v>
      </c>
      <c r="G56" s="1532"/>
      <c r="H56" s="1"/>
    </row>
    <row r="57" spans="2:9" ht="15" customHeight="1" thickBot="1">
      <c r="B57" s="1395" t="s">
        <v>781</v>
      </c>
      <c r="C57" s="1403"/>
      <c r="D57" s="1416">
        <f>SUM(D53:E56)</f>
        <v>0</v>
      </c>
      <c r="E57" s="1478"/>
      <c r="F57" s="1417">
        <f>SUM(F53:G56)</f>
        <v>0</v>
      </c>
      <c r="G57" s="1419"/>
    </row>
    <row r="58" spans="2:9" ht="13.5" thickBot="1"/>
    <row r="59" spans="2:9" ht="15" customHeight="1" thickBot="1">
      <c r="B59" s="1395" t="s">
        <v>782</v>
      </c>
      <c r="C59" s="1403"/>
      <c r="D59" s="1416">
        <f>IF(OR(D10="Capping",F10="Capping"),0,IF(OR(D16&gt;700,D17&gt;80,D34&gt;50,D35&gt;50,D36&gt;50,D39&gt;65,D40&gt;65),0,MAX(SUM(D53:E56),0)))/12*2</f>
        <v>0</v>
      </c>
      <c r="E59" s="1478"/>
      <c r="F59" s="1417">
        <f>IF(OR(D10="Capping",F10="Capping"),0,IF(OR(F16&gt;700,F17&gt;80,F34&gt;50,F35&gt;50,F36&gt;50,F39&gt;65,F40&gt;65),0,MAX(SUM(F53:G56),0)))/12*2</f>
        <v>0</v>
      </c>
      <c r="G59" s="1419"/>
    </row>
    <row r="60" spans="2:9" ht="13.5" thickBot="1"/>
    <row r="61" spans="2:9" ht="15" customHeight="1">
      <c r="B61" s="16" t="s">
        <v>780</v>
      </c>
      <c r="C61" s="34"/>
      <c r="D61" s="1499" t="s">
        <v>452</v>
      </c>
      <c r="E61" s="1500"/>
      <c r="F61" s="1496" t="s">
        <v>453</v>
      </c>
      <c r="G61" s="1497"/>
    </row>
    <row r="62" spans="2:9" ht="15" customHeight="1">
      <c r="B62" s="10"/>
      <c r="C62" s="424" t="s">
        <v>779</v>
      </c>
      <c r="D62" s="923"/>
      <c r="E62" s="38">
        <f>IF(D62="Yes",-1,0)</f>
        <v>0</v>
      </c>
      <c r="F62" s="924"/>
      <c r="G62" s="504">
        <f>IF(F62="Yes",-1,0)</f>
        <v>0</v>
      </c>
      <c r="H62" s="13"/>
    </row>
    <row r="63" spans="2:9" ht="15" customHeight="1">
      <c r="B63" s="10"/>
      <c r="C63" s="46" t="s">
        <v>368</v>
      </c>
      <c r="D63" s="878"/>
      <c r="E63" s="158">
        <f>IF(D63&gt;700,-1,0)</f>
        <v>0</v>
      </c>
      <c r="F63" s="925"/>
      <c r="G63" s="504">
        <f>IF(F63&gt;700,-1,0)</f>
        <v>0</v>
      </c>
    </row>
    <row r="64" spans="2:9" ht="15" customHeight="1">
      <c r="B64" s="10"/>
      <c r="C64" s="46" t="s">
        <v>68</v>
      </c>
      <c r="D64" s="877"/>
      <c r="E64" s="38">
        <f>IF(D64&gt;80,-1,0)</f>
        <v>0</v>
      </c>
      <c r="F64" s="872"/>
      <c r="G64" s="523">
        <f>IF(F64&gt;80,-1,0)</f>
        <v>0</v>
      </c>
      <c r="I64" s="1"/>
    </row>
    <row r="65" spans="2:13" ht="15" customHeight="1">
      <c r="B65" s="10"/>
      <c r="C65" s="46" t="s">
        <v>785</v>
      </c>
      <c r="D65" s="864"/>
      <c r="E65" s="38">
        <f>IF(D65="FAIL",-1,0)</f>
        <v>0</v>
      </c>
      <c r="F65" s="926"/>
      <c r="G65" s="523">
        <f>IF(F65="FAIL",-1,0)</f>
        <v>0</v>
      </c>
      <c r="I65" s="1"/>
    </row>
    <row r="66" spans="2:13" ht="15" customHeight="1" thickBot="1">
      <c r="B66" s="31"/>
      <c r="C66" s="49" t="s">
        <v>778</v>
      </c>
      <c r="D66" s="864"/>
      <c r="E66" s="38">
        <f>IF(D66="FAIL",-1,0)</f>
        <v>0</v>
      </c>
      <c r="F66" s="926"/>
      <c r="G66" s="523">
        <f>IF(F66="FAIL",-1,0)</f>
        <v>0</v>
      </c>
      <c r="I66" s="1"/>
    </row>
    <row r="67" spans="2:13" ht="15.75" thickBot="1">
      <c r="B67" s="1395" t="s">
        <v>777</v>
      </c>
      <c r="C67" s="1396"/>
      <c r="D67" s="1416">
        <f>MIN(E62:E66,G62:G66)</f>
        <v>0</v>
      </c>
      <c r="E67" s="1417"/>
      <c r="F67" s="1417"/>
      <c r="G67" s="1419"/>
      <c r="I67" s="1"/>
      <c r="M67" s="3"/>
    </row>
    <row r="68" spans="2:13" ht="15" customHeight="1" thickBot="1"/>
    <row r="69" spans="2:13" ht="21.75" thickBot="1">
      <c r="B69" s="1420" t="s">
        <v>680</v>
      </c>
      <c r="C69" s="1421"/>
      <c r="D69" s="1422">
        <f>IF(COUNTIF(D6:G7,"Yes")&gt;0,0,MAX(ROUND((D59+F59)+D67,Round),0))</f>
        <v>0</v>
      </c>
      <c r="E69" s="1423"/>
      <c r="F69" s="1423"/>
      <c r="G69" s="1424"/>
    </row>
  </sheetData>
  <mergeCells count="59">
    <mergeCell ref="D61:E61"/>
    <mergeCell ref="F61:G61"/>
    <mergeCell ref="D8:E8"/>
    <mergeCell ref="F8:G8"/>
    <mergeCell ref="F31:G31"/>
    <mergeCell ref="F12:G12"/>
    <mergeCell ref="F13:G13"/>
    <mergeCell ref="F43:G43"/>
    <mergeCell ref="F44:G44"/>
    <mergeCell ref="F55:G55"/>
    <mergeCell ref="F56:G56"/>
    <mergeCell ref="B57:C57"/>
    <mergeCell ref="D57:E57"/>
    <mergeCell ref="B43:C43"/>
    <mergeCell ref="D43:E43"/>
    <mergeCell ref="D19:E19"/>
    <mergeCell ref="B37:C37"/>
    <mergeCell ref="B41:C41"/>
    <mergeCell ref="B30:C30"/>
    <mergeCell ref="D30:E30"/>
    <mergeCell ref="D31:E31"/>
    <mergeCell ref="B42:E42"/>
    <mergeCell ref="D44:E44"/>
    <mergeCell ref="D56:E56"/>
    <mergeCell ref="D55:E55"/>
    <mergeCell ref="D54:E54"/>
    <mergeCell ref="B69:C69"/>
    <mergeCell ref="B50:C50"/>
    <mergeCell ref="D50:E50"/>
    <mergeCell ref="D51:E51"/>
    <mergeCell ref="B52:C52"/>
    <mergeCell ref="D53:E53"/>
    <mergeCell ref="D69:G69"/>
    <mergeCell ref="B67:C67"/>
    <mergeCell ref="D67:G67"/>
    <mergeCell ref="B59:C59"/>
    <mergeCell ref="D59:E59"/>
    <mergeCell ref="F59:G59"/>
    <mergeCell ref="F57:G57"/>
    <mergeCell ref="F54:G54"/>
    <mergeCell ref="F51:G51"/>
    <mergeCell ref="F53:G53"/>
    <mergeCell ref="B2:C3"/>
    <mergeCell ref="D2:E3"/>
    <mergeCell ref="B4:C4"/>
    <mergeCell ref="B18:C18"/>
    <mergeCell ref="D18:E18"/>
    <mergeCell ref="D12:E12"/>
    <mergeCell ref="D13:E13"/>
    <mergeCell ref="B12:C12"/>
    <mergeCell ref="D6:E6"/>
    <mergeCell ref="D7:E7"/>
    <mergeCell ref="F2:G3"/>
    <mergeCell ref="F18:G18"/>
    <mergeCell ref="F19:G19"/>
    <mergeCell ref="F30:G30"/>
    <mergeCell ref="F50:G50"/>
    <mergeCell ref="F6:G6"/>
    <mergeCell ref="F7:G7"/>
  </mergeCells>
  <conditionalFormatting sqref="D12:E12">
    <cfRule type="expression" dxfId="1579" priority="22">
      <formula>$D$10="Green"</formula>
    </cfRule>
    <cfRule type="expression" dxfId="1578" priority="23">
      <formula>$D$10="Yellow"</formula>
    </cfRule>
    <cfRule type="expression" dxfId="1577" priority="24">
      <formula>$D$10="Orange"</formula>
    </cfRule>
    <cfRule type="expression" dxfId="1576" priority="25">
      <formula>$D$10="Red"</formula>
    </cfRule>
    <cfRule type="expression" dxfId="1575" priority="26">
      <formula>$D$10="Capping"</formula>
    </cfRule>
  </conditionalFormatting>
  <conditionalFormatting sqref="F12:G12">
    <cfRule type="expression" dxfId="1574" priority="17">
      <formula>$F$10="Green"</formula>
    </cfRule>
    <cfRule type="expression" dxfId="1573" priority="18">
      <formula>$F$10="Yellow"</formula>
    </cfRule>
    <cfRule type="expression" dxfId="1572" priority="19">
      <formula>$F$10="Orange"</formula>
    </cfRule>
    <cfRule type="expression" dxfId="1571" priority="20">
      <formula>$F$10="Red"</formula>
    </cfRule>
    <cfRule type="expression" dxfId="1570" priority="21">
      <formula>$F$10="Capping"</formula>
    </cfRule>
  </conditionalFormatting>
  <conditionalFormatting sqref="D6:G6">
    <cfRule type="cellIs" dxfId="1569" priority="4" stopIfTrue="1" operator="equal">
      <formula>"No"</formula>
    </cfRule>
    <cfRule type="cellIs" dxfId="1568" priority="5" stopIfTrue="1" operator="equal">
      <formula>"Partial"</formula>
    </cfRule>
    <cfRule type="cellIs" dxfId="1567" priority="6" stopIfTrue="1" operator="equal">
      <formula>"Yes"</formula>
    </cfRule>
  </conditionalFormatting>
  <conditionalFormatting sqref="D7:G7">
    <cfRule type="cellIs" dxfId="1566" priority="1" stopIfTrue="1" operator="equal">
      <formula>"No"</formula>
    </cfRule>
    <cfRule type="cellIs" dxfId="1565" priority="2" stopIfTrue="1" operator="equal">
      <formula>"Partial"</formula>
    </cfRule>
    <cfRule type="cellIs" dxfId="1564" priority="3" stopIfTrue="1" operator="equal">
      <formula>"Yes"</formula>
    </cfRule>
  </conditionalFormatting>
  <dataValidations count="4">
    <dataValidation type="list" allowBlank="1" showInputMessage="1" showErrorMessage="1" sqref="D15 F15 F62 D62 F11 D11" xr:uid="{00000000-0002-0000-0700-000000000000}">
      <formula1>"Yes,No"</formula1>
    </dataValidation>
    <dataValidation type="list" allowBlank="1" showInputMessage="1" showErrorMessage="1" sqref="F10 D10" xr:uid="{00000000-0002-0000-0700-000001000000}">
      <formula1>"Green,Yellow,Orange,Red,Capping,No OEM Data"</formula1>
    </dataValidation>
    <dataValidation type="list" allowBlank="1" showInputMessage="1" showErrorMessage="1" sqref="D65:D66 F65:F66" xr:uid="{58962A4F-41C8-4E2F-84C8-E59783C90489}">
      <formula1>"PASS,FAIL"</formula1>
    </dataValidation>
    <dataValidation type="list" allowBlank="1" showInputMessage="1" showErrorMessage="1" sqref="D6:G7" xr:uid="{3C30EFC0-544C-403D-B984-18AA3E57251B}">
      <formula1>"Yes,Partial,No"</formula1>
    </dataValidation>
  </dataValidations>
  <pageMargins left="0.8" right="0.44" top="0.53" bottom="1" header="0.5" footer="0.5"/>
  <pageSetup paperSize="9" scale="5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26A25-01B7-4DAB-AC61-4E71DB4CE4DD}">
  <sheetPr codeName="Sheet25">
    <tabColor indexed="51"/>
    <pageSetUpPr fitToPage="1"/>
  </sheetPr>
  <dimension ref="B1:N155"/>
  <sheetViews>
    <sheetView showGridLines="0" showOutlineSymbols="0" topLeftCell="A5" zoomScaleNormal="100" workbookViewId="0"/>
  </sheetViews>
  <sheetFormatPr defaultColWidth="8.7109375" defaultRowHeight="12.75"/>
  <cols>
    <col min="1" max="2" width="8.7109375" style="95"/>
    <col min="3" max="3" width="40.42578125" style="95" customWidth="1"/>
    <col min="4" max="4" width="10.5703125" style="95" customWidth="1"/>
    <col min="5" max="7" width="10.5703125" style="112" customWidth="1"/>
    <col min="8" max="8" width="8.7109375" style="95" customWidth="1"/>
    <col min="9" max="9" width="10.42578125" style="95" bestFit="1" customWidth="1"/>
    <col min="10" max="16384" width="8.7109375" style="95"/>
  </cols>
  <sheetData>
    <row r="1" spans="2:10" ht="13.5" thickBot="1"/>
    <row r="2" spans="2:10" s="4" customFormat="1" ht="12.75" customHeight="1">
      <c r="B2" s="1450" t="s">
        <v>111</v>
      </c>
      <c r="C2" s="1451"/>
      <c r="D2" s="1565" t="s">
        <v>102</v>
      </c>
      <c r="E2" s="1566"/>
      <c r="F2" s="1458" t="s">
        <v>103</v>
      </c>
      <c r="G2" s="1459"/>
    </row>
    <row r="3" spans="2:10" s="4" customFormat="1" ht="15" customHeight="1">
      <c r="B3" s="1452"/>
      <c r="C3" s="1453"/>
      <c r="D3" s="1567"/>
      <c r="E3" s="1568"/>
      <c r="F3" s="1460"/>
      <c r="G3" s="1461"/>
    </row>
    <row r="4" spans="2:10" s="1" customFormat="1" ht="15" customHeight="1" thickBot="1">
      <c r="B4" s="1484" t="str">
        <f>'General Overview'!G9</f>
        <v/>
      </c>
      <c r="C4" s="1485"/>
      <c r="D4" s="478" t="s">
        <v>99</v>
      </c>
      <c r="E4" s="35" t="s">
        <v>40</v>
      </c>
      <c r="F4" s="36" t="s">
        <v>99</v>
      </c>
      <c r="G4" s="7" t="s">
        <v>40</v>
      </c>
    </row>
    <row r="5" spans="2:10" s="1" customFormat="1" ht="15" customHeight="1">
      <c r="B5" s="16" t="s">
        <v>491</v>
      </c>
      <c r="C5" s="34"/>
      <c r="D5" s="476"/>
      <c r="E5" s="227"/>
      <c r="F5" s="228"/>
      <c r="G5" s="229"/>
    </row>
    <row r="6" spans="2:10" s="1" customFormat="1" ht="15" customHeight="1">
      <c r="B6" s="10"/>
      <c r="C6" s="46" t="s">
        <v>492</v>
      </c>
      <c r="D6" s="1569"/>
      <c r="E6" s="1570"/>
      <c r="F6" s="1570"/>
      <c r="G6" s="1571"/>
    </row>
    <row r="7" spans="2:10" s="1" customFormat="1" ht="15" customHeight="1" thickBot="1">
      <c r="B7" s="31"/>
      <c r="C7" s="49" t="s">
        <v>493</v>
      </c>
      <c r="D7" s="1546"/>
      <c r="E7" s="1547"/>
      <c r="F7" s="1547"/>
      <c r="G7" s="1548"/>
    </row>
    <row r="8" spans="2:10" ht="15" customHeight="1" thickBot="1">
      <c r="E8" s="122"/>
      <c r="F8" s="95"/>
      <c r="G8" s="122"/>
    </row>
    <row r="9" spans="2:10" ht="15" customHeight="1">
      <c r="B9" s="164" t="s">
        <v>112</v>
      </c>
      <c r="C9" s="165"/>
      <c r="D9" s="166"/>
      <c r="E9" s="454"/>
      <c r="F9" s="483"/>
      <c r="G9" s="264"/>
    </row>
    <row r="10" spans="2:10" ht="15" customHeight="1">
      <c r="B10" s="106"/>
      <c r="C10" s="105" t="s">
        <v>787</v>
      </c>
      <c r="D10" s="106"/>
      <c r="E10" s="153"/>
      <c r="F10" s="157"/>
      <c r="G10" s="155"/>
    </row>
    <row r="11" spans="2:10" ht="15" customHeight="1">
      <c r="B11" s="106"/>
      <c r="C11" s="325" t="s">
        <v>797</v>
      </c>
      <c r="D11" s="866"/>
      <c r="E11" s="1038">
        <f>ROUND(Sliding_Scale(D11,755,825,-1,1),Round)</f>
        <v>0</v>
      </c>
      <c r="F11" s="908"/>
      <c r="G11" s="1083">
        <f>ROUND(Sliding_Scale(F11,755,825,-1,1),Round)</f>
        <v>0</v>
      </c>
    </row>
    <row r="12" spans="2:10" ht="15" customHeight="1" thickBot="1">
      <c r="B12" s="170"/>
      <c r="C12" s="326" t="s">
        <v>798</v>
      </c>
      <c r="D12" s="910"/>
      <c r="E12" s="1082">
        <f>IF(D12="",0,IF(D12&lt;45,1,-1))</f>
        <v>0</v>
      </c>
      <c r="F12" s="912"/>
      <c r="G12" s="1084">
        <f>IF(F12="",0,IF(F12&lt;45,1,-1))</f>
        <v>0</v>
      </c>
    </row>
    <row r="13" spans="2:10" ht="15" customHeight="1" thickBot="1">
      <c r="B13" s="1533" t="s">
        <v>788</v>
      </c>
      <c r="C13" s="1534"/>
      <c r="D13" s="1537">
        <f>MIN(AVERAGE(E11,G11),AVERAGE(E12,G12))</f>
        <v>0</v>
      </c>
      <c r="E13" s="1538"/>
      <c r="F13" s="1538"/>
      <c r="G13" s="1539"/>
    </row>
    <row r="14" spans="2:10" ht="15" customHeight="1">
      <c r="B14" s="475"/>
      <c r="C14" s="477"/>
      <c r="D14" s="166"/>
      <c r="E14" s="469"/>
      <c r="F14" s="173"/>
      <c r="G14" s="165"/>
    </row>
    <row r="15" spans="2:10" ht="15" customHeight="1">
      <c r="B15" s="106"/>
      <c r="C15" s="105" t="s">
        <v>789</v>
      </c>
      <c r="D15" s="161"/>
      <c r="E15" s="123"/>
      <c r="F15" s="157"/>
      <c r="G15" s="159"/>
    </row>
    <row r="16" spans="2:10" ht="15" customHeight="1">
      <c r="B16" s="106"/>
      <c r="C16" s="325" t="s">
        <v>797</v>
      </c>
      <c r="D16" s="866"/>
      <c r="E16" s="554" t="str">
        <f>IF(D16="","FAIL",IF(D16&gt;790,"PASS","FAIL"))</f>
        <v>FAIL</v>
      </c>
      <c r="F16" s="908"/>
      <c r="G16" s="555" t="str">
        <f>IF(F16="","FAIL",IF(F16&gt;790,"PASS","FAIL"))</f>
        <v>FAIL</v>
      </c>
      <c r="I16" s="145"/>
      <c r="J16" s="145"/>
    </row>
    <row r="17" spans="2:7" ht="15" customHeight="1">
      <c r="B17" s="106"/>
      <c r="C17" s="325" t="s">
        <v>798</v>
      </c>
      <c r="D17" s="866"/>
      <c r="E17" s="554" t="str">
        <f>IF(D17="","FAIL",IF(D17&lt;70,"PASS","FAIL"))</f>
        <v>FAIL</v>
      </c>
      <c r="F17" s="908"/>
      <c r="G17" s="555" t="str">
        <f>IF(F17="","FAIL",IF(F17&lt;70,"PASS","FAIL"))</f>
        <v>FAIL</v>
      </c>
    </row>
    <row r="18" spans="2:7" ht="15" customHeight="1">
      <c r="B18" s="106"/>
      <c r="C18" s="325"/>
      <c r="D18" s="161"/>
      <c r="E18" s="158"/>
      <c r="F18" s="157"/>
      <c r="G18" s="159"/>
    </row>
    <row r="19" spans="2:7" ht="15" customHeight="1">
      <c r="B19" s="106"/>
      <c r="C19" s="325" t="s">
        <v>799</v>
      </c>
      <c r="D19" s="866"/>
      <c r="E19" s="554" t="str">
        <f>IF(D19="","FAIL",IF(D19&gt;790,"PASS","FAIL"))</f>
        <v>FAIL</v>
      </c>
      <c r="F19" s="908"/>
      <c r="G19" s="555" t="str">
        <f>IF(F19="","FAIL",IF(F19&gt;790,"PASS","FAIL"))</f>
        <v>FAIL</v>
      </c>
    </row>
    <row r="20" spans="2:7" ht="15" customHeight="1" thickBot="1">
      <c r="B20" s="170"/>
      <c r="C20" s="326" t="s">
        <v>800</v>
      </c>
      <c r="D20" s="910"/>
      <c r="E20" s="556" t="str">
        <f>IF(D20="","FAIL",IF(D20&lt;70,"PASS","FAIL"))</f>
        <v>FAIL</v>
      </c>
      <c r="F20" s="912"/>
      <c r="G20" s="557" t="str">
        <f>IF(F20="","FAIL",IF(F20&lt;70,"PASS","FAIL"))</f>
        <v>FAIL</v>
      </c>
    </row>
    <row r="21" spans="2:7" ht="15" customHeight="1" thickBot="1">
      <c r="B21" s="1535" t="s">
        <v>790</v>
      </c>
      <c r="C21" s="1536"/>
      <c r="D21" s="1537">
        <f>IF(D70&gt;3,IF(COUNTIF((D16:G17),"FAIL")&gt;0,0,0.5)+IF(COUNTIF((D19:G20),"FAIL")&gt;0,0,0.5),0)</f>
        <v>0</v>
      </c>
      <c r="E21" s="1538"/>
      <c r="F21" s="1538"/>
      <c r="G21" s="1539"/>
    </row>
    <row r="22" spans="2:7" ht="15" customHeight="1" thickBot="1">
      <c r="B22" s="484"/>
      <c r="C22" s="485"/>
      <c r="D22" s="486"/>
      <c r="E22" s="384"/>
      <c r="F22" s="384"/>
      <c r="G22" s="385"/>
    </row>
    <row r="23" spans="2:7" ht="15" customHeight="1" thickBot="1">
      <c r="B23" s="1387" t="s">
        <v>120</v>
      </c>
      <c r="C23" s="1388"/>
      <c r="D23" s="1540">
        <f>SUM(D13,D21)</f>
        <v>0</v>
      </c>
      <c r="E23" s="1541"/>
      <c r="F23" s="1541"/>
      <c r="G23" s="1542"/>
    </row>
    <row r="24" spans="2:7" ht="15" customHeight="1" thickBot="1">
      <c r="E24" s="122"/>
      <c r="F24" s="487"/>
      <c r="G24" s="122"/>
    </row>
    <row r="25" spans="2:7" s="1" customFormat="1" ht="15" customHeight="1">
      <c r="B25" s="16" t="s">
        <v>113</v>
      </c>
      <c r="C25" s="34"/>
      <c r="D25" s="18"/>
      <c r="E25" s="53"/>
      <c r="F25" s="41"/>
      <c r="G25" s="19"/>
    </row>
    <row r="26" spans="2:7" s="1" customFormat="1" ht="15" customHeight="1">
      <c r="B26" s="8"/>
      <c r="C26" s="46" t="s">
        <v>117</v>
      </c>
      <c r="D26" s="877"/>
      <c r="E26" s="38">
        <f>IF(D26&gt;27,"Test Capped",ROUND(Sliding_Scale(D26,11,24,1,0),Round))</f>
        <v>0</v>
      </c>
      <c r="F26" s="872"/>
      <c r="G26" s="12">
        <f>IF(F26&gt;25.5,"Test Capped",ROUND(Sliding_Scale(F26,13,23,1,0),Round))</f>
        <v>0</v>
      </c>
    </row>
    <row r="27" spans="2:7" s="1" customFormat="1" ht="15" customHeight="1">
      <c r="B27" s="8"/>
      <c r="C27" s="46" t="s">
        <v>801</v>
      </c>
      <c r="D27" s="877"/>
      <c r="E27" s="38">
        <f>IF(D27&gt;290,"Test Capped",ROUND(Sliding_Scale(D27,30,190,1,0),Round))</f>
        <v>0</v>
      </c>
      <c r="F27" s="872"/>
      <c r="G27" s="12">
        <f>IF(F27&gt;364,"Test Capped",ROUND(Sliding_Scale(F27,30,210,1,0),Round))</f>
        <v>0</v>
      </c>
    </row>
    <row r="28" spans="2:7" s="1" customFormat="1" ht="15" customHeight="1">
      <c r="B28" s="8"/>
      <c r="C28" s="46" t="s">
        <v>804</v>
      </c>
      <c r="D28" s="877"/>
      <c r="E28" s="38">
        <f>IF(D28&gt;900,"Test Capped",ROUND(Sliding_Scale(D28,360,750,1,0),Round))</f>
        <v>0</v>
      </c>
      <c r="F28" s="872"/>
      <c r="G28" s="12">
        <f>IF(F28&gt;1024,"Test Capped",ROUND(Sliding_Scale(F28,470,770,1,0),Round))</f>
        <v>0</v>
      </c>
    </row>
    <row r="29" spans="2:7" s="1" customFormat="1" ht="15" customHeight="1">
      <c r="B29" s="8"/>
      <c r="C29" s="46"/>
      <c r="D29" s="10"/>
      <c r="E29" s="38"/>
      <c r="F29" s="9"/>
      <c r="G29" s="12"/>
    </row>
    <row r="30" spans="2:7" s="1" customFormat="1" ht="15" customHeight="1">
      <c r="B30" s="8"/>
      <c r="C30" s="46" t="s">
        <v>114</v>
      </c>
      <c r="D30" s="877"/>
      <c r="E30" s="38" t="str">
        <f>IF(D30&gt;0.69,"Test Capped","" )</f>
        <v/>
      </c>
      <c r="F30" s="872"/>
      <c r="G30" s="12" t="str">
        <f>IF(F30&gt;0.78,"Test Capped","" )</f>
        <v/>
      </c>
    </row>
    <row r="31" spans="2:7" s="1" customFormat="1" ht="15" customHeight="1">
      <c r="B31" s="8"/>
      <c r="C31" s="46" t="s">
        <v>805</v>
      </c>
      <c r="D31" s="877"/>
      <c r="E31" s="38" t="str">
        <f>IF(D31&gt;5.2,"Test Capped","" )</f>
        <v/>
      </c>
      <c r="F31" s="872"/>
      <c r="G31" s="12" t="str">
        <f>IF(F31&gt;6,"Test Capped","" )</f>
        <v/>
      </c>
    </row>
    <row r="32" spans="2:7" s="1" customFormat="1" ht="15" customHeight="1">
      <c r="B32" s="8"/>
      <c r="C32" s="46" t="s">
        <v>802</v>
      </c>
      <c r="D32" s="877"/>
      <c r="E32" s="38" t="str">
        <f>IF(D32&gt;360,"Test Capped","" )</f>
        <v/>
      </c>
      <c r="F32" s="872"/>
      <c r="G32" s="12" t="str">
        <f>IF(F32&gt;360,"Test Capped","" )</f>
        <v/>
      </c>
    </row>
    <row r="33" spans="2:14" s="1" customFormat="1" ht="15" customHeight="1">
      <c r="B33" s="8"/>
      <c r="C33" s="46" t="s">
        <v>868</v>
      </c>
      <c r="D33" s="877"/>
      <c r="E33" s="38" t="str">
        <f>IF(D33&gt;30,"Test Capped","" )</f>
        <v/>
      </c>
      <c r="F33" s="872"/>
      <c r="G33" s="12" t="str">
        <f>IF(F33&gt;30,"Test Capped","" )</f>
        <v/>
      </c>
    </row>
    <row r="34" spans="2:14" s="1" customFormat="1" ht="15" customHeight="1">
      <c r="B34" s="8"/>
      <c r="C34" s="46" t="s">
        <v>803</v>
      </c>
      <c r="D34" s="877"/>
      <c r="E34" s="38" t="str">
        <f>IF(D34&gt;360,"Test Capped","" )</f>
        <v/>
      </c>
      <c r="F34" s="872"/>
      <c r="G34" s="12" t="str">
        <f>IF(F34&gt;360,"Test Capped","" )</f>
        <v/>
      </c>
    </row>
    <row r="35" spans="2:14" s="1" customFormat="1" ht="15" customHeight="1">
      <c r="B35" s="8"/>
      <c r="C35" s="46" t="s">
        <v>806</v>
      </c>
      <c r="D35" s="877"/>
      <c r="E35" s="38" t="str">
        <f>IF(D35&gt;30,"Test Capped","" )</f>
        <v/>
      </c>
      <c r="F35" s="872"/>
      <c r="G35" s="12" t="str">
        <f>IF(F35&gt;30,"Test Capped","" )</f>
        <v/>
      </c>
    </row>
    <row r="36" spans="2:14" s="1" customFormat="1" ht="15" customHeight="1">
      <c r="B36" s="8"/>
      <c r="C36" s="46" t="s">
        <v>115</v>
      </c>
      <c r="D36" s="877"/>
      <c r="E36" s="1564" t="str">
        <f>IF(AND(D36&gt;15.55,D37&gt;92),"Test Capped","" )</f>
        <v/>
      </c>
      <c r="F36" s="872"/>
      <c r="G36" s="1572" t="str">
        <f>IF(AND(F36&gt;17.8,F37&gt;92),"Test Capped","" )</f>
        <v/>
      </c>
    </row>
    <row r="37" spans="2:14" s="1" customFormat="1" ht="15" customHeight="1">
      <c r="B37" s="8"/>
      <c r="C37" s="46" t="s">
        <v>116</v>
      </c>
      <c r="D37" s="877"/>
      <c r="E37" s="1564"/>
      <c r="F37" s="872"/>
      <c r="G37" s="1572"/>
    </row>
    <row r="38" spans="2:14" s="1" customFormat="1" ht="15" customHeight="1">
      <c r="B38" s="8"/>
      <c r="C38" s="46"/>
      <c r="D38" s="10"/>
      <c r="E38" s="56"/>
      <c r="F38" s="9"/>
      <c r="G38" s="57"/>
    </row>
    <row r="39" spans="2:14" s="1" customFormat="1" ht="15" customHeight="1" thickBot="1">
      <c r="B39" s="31"/>
      <c r="C39" s="49" t="s">
        <v>118</v>
      </c>
      <c r="D39" s="493"/>
      <c r="E39" s="196"/>
      <c r="F39" s="872"/>
      <c r="G39" s="43" t="str">
        <f>IF(F39&gt;32,"Test Capped","" )</f>
        <v/>
      </c>
    </row>
    <row r="40" spans="2:14" s="1" customFormat="1" ht="15" customHeight="1" thickBot="1">
      <c r="B40" s="1553" t="s">
        <v>119</v>
      </c>
      <c r="C40" s="1554"/>
      <c r="D40" s="1416">
        <f>IF(COUNTIF(E26:E39,"Test Capped")&gt;0,0,SUM(E26:E28))</f>
        <v>0</v>
      </c>
      <c r="E40" s="1478"/>
      <c r="F40" s="1417">
        <f>IF(COUNTIF(G26:G39,"Test Capped")&gt;0,0,SUM(G26:G28))</f>
        <v>0</v>
      </c>
      <c r="G40" s="1419"/>
    </row>
    <row r="41" spans="2:14" ht="15" customHeight="1" thickBot="1">
      <c r="D41" s="1544"/>
      <c r="E41" s="1544"/>
      <c r="F41" s="1544"/>
      <c r="G41" s="1544"/>
    </row>
    <row r="42" spans="2:14" ht="15" customHeight="1">
      <c r="B42" s="164" t="s">
        <v>791</v>
      </c>
      <c r="C42" s="165"/>
      <c r="D42" s="164" t="str">
        <f>IF('General Overview'!C17=0,"","2ND ROW")</f>
        <v/>
      </c>
      <c r="E42" s="501"/>
      <c r="F42" s="270" t="str">
        <f>IF('General Overview'!C18=0,"","3RD ROW")</f>
        <v/>
      </c>
      <c r="G42" s="502"/>
      <c r="H42" s="104"/>
      <c r="I42" s="104"/>
      <c r="J42" s="104"/>
      <c r="K42" s="104"/>
      <c r="L42" s="104"/>
      <c r="M42" s="104"/>
      <c r="N42" s="104"/>
    </row>
    <row r="43" spans="2:14" ht="15" customHeight="1">
      <c r="B43" s="152"/>
      <c r="C43" s="105" t="s">
        <v>2677</v>
      </c>
      <c r="D43" s="1046"/>
      <c r="E43" s="797"/>
      <c r="F43" s="1092"/>
      <c r="G43" s="422"/>
      <c r="H43" s="104"/>
      <c r="I43" s="832"/>
      <c r="J43" s="104"/>
      <c r="K43" s="104"/>
      <c r="L43" s="104"/>
      <c r="M43" s="104"/>
      <c r="N43" s="104"/>
    </row>
    <row r="44" spans="2:14" ht="15" customHeight="1">
      <c r="B44" s="152"/>
      <c r="C44" s="105" t="s">
        <v>2678</v>
      </c>
      <c r="D44" s="1046"/>
      <c r="E44" s="797"/>
      <c r="F44" s="1092"/>
      <c r="G44" s="422"/>
      <c r="H44" s="104"/>
      <c r="I44" s="104"/>
      <c r="J44" s="104"/>
      <c r="K44" s="104"/>
      <c r="L44" s="104"/>
      <c r="M44" s="104"/>
      <c r="N44" s="104"/>
    </row>
    <row r="45" spans="2:14" ht="15" customHeight="1">
      <c r="B45" s="106"/>
      <c r="C45" s="105" t="s">
        <v>332</v>
      </c>
      <c r="D45" s="106"/>
      <c r="E45" s="503"/>
      <c r="F45" s="104"/>
      <c r="G45" s="105"/>
      <c r="H45" s="104"/>
      <c r="I45" s="104"/>
      <c r="J45" s="104"/>
      <c r="K45" s="104"/>
      <c r="L45" s="104"/>
      <c r="M45" s="104"/>
      <c r="N45" s="104"/>
    </row>
    <row r="46" spans="2:14" ht="15" customHeight="1">
      <c r="B46" s="106"/>
      <c r="C46" s="325" t="s">
        <v>333</v>
      </c>
      <c r="D46" s="927"/>
      <c r="E46" s="540" t="str">
        <f>IF(D46&gt;720,"PASS","FAIL")</f>
        <v>FAIL</v>
      </c>
      <c r="F46" s="1090"/>
      <c r="G46" s="353" t="str">
        <f>IF(F42="","",IF(F46&gt;720,"PASS","FAIL"))</f>
        <v/>
      </c>
      <c r="H46" s="104"/>
      <c r="I46" s="104"/>
      <c r="J46" s="104"/>
      <c r="K46" s="104"/>
      <c r="L46" s="104"/>
      <c r="M46" s="104"/>
      <c r="N46" s="104"/>
    </row>
    <row r="47" spans="2:14" ht="15" customHeight="1">
      <c r="B47" s="106"/>
      <c r="C47" s="325" t="s">
        <v>792</v>
      </c>
      <c r="D47" s="927"/>
      <c r="E47" s="540" t="str">
        <f>IF(D47&gt;770,"PASS","FAIL")</f>
        <v>FAIL</v>
      </c>
      <c r="F47" s="1090"/>
      <c r="G47" s="353" t="str">
        <f>IF(F42="","",IF(F47&gt;770,"PASS","FAIL"))</f>
        <v/>
      </c>
      <c r="H47" s="104"/>
      <c r="I47" s="104"/>
      <c r="J47" s="104"/>
      <c r="K47" s="104"/>
      <c r="L47" s="104"/>
      <c r="M47" s="104"/>
      <c r="N47" s="104"/>
    </row>
    <row r="48" spans="2:14" ht="15" customHeight="1" thickBot="1">
      <c r="B48" s="106"/>
      <c r="C48" s="325" t="str">
        <f>IF(OR(E47="Fail",G47="Fail"),"&lt;50mm from interior","")</f>
        <v>&lt;50mm from interior</v>
      </c>
      <c r="D48" s="928"/>
      <c r="E48" s="541"/>
      <c r="F48" s="171"/>
      <c r="G48" s="806"/>
      <c r="H48" s="104"/>
      <c r="I48" s="104"/>
      <c r="J48" s="104"/>
      <c r="K48" s="104"/>
      <c r="L48" s="104"/>
      <c r="M48" s="104"/>
      <c r="N48" s="104"/>
    </row>
    <row r="49" spans="2:14" ht="15" customHeight="1" thickBot="1">
      <c r="B49" s="1533" t="s">
        <v>793</v>
      </c>
      <c r="C49" s="1534"/>
      <c r="D49" s="1537">
        <f>(IF(OR(AND(E46="PASS",E47="PASS"),D48="Yes"),1.5,0))</f>
        <v>0</v>
      </c>
      <c r="E49" s="1545"/>
      <c r="F49" s="1538">
        <f>IF(OR(AND(G46="PASS",G47="PASS"),F48="Yes"),1.5,0)</f>
        <v>0</v>
      </c>
      <c r="G49" s="1539"/>
      <c r="H49" s="104"/>
      <c r="I49" s="104"/>
      <c r="J49" s="104"/>
      <c r="K49" s="104"/>
      <c r="L49" s="104"/>
      <c r="M49" s="104"/>
      <c r="N49" s="104"/>
    </row>
    <row r="50" spans="2:14" ht="15" customHeight="1">
      <c r="B50" s="475"/>
      <c r="C50" s="477"/>
      <c r="D50" s="166"/>
      <c r="E50" s="469"/>
      <c r="F50" s="173"/>
      <c r="G50" s="165"/>
      <c r="H50" s="104"/>
      <c r="I50" s="104"/>
      <c r="J50" s="104"/>
      <c r="K50" s="104"/>
      <c r="L50" s="104"/>
      <c r="M50" s="104"/>
      <c r="N50" s="104"/>
    </row>
    <row r="51" spans="2:14" ht="15" customHeight="1">
      <c r="B51" s="106"/>
      <c r="C51" s="105" t="s">
        <v>334</v>
      </c>
      <c r="D51" s="161"/>
      <c r="E51" s="153"/>
      <c r="F51" s="154"/>
      <c r="G51" s="155"/>
      <c r="H51" s="104"/>
      <c r="I51" s="104"/>
      <c r="J51" s="104"/>
      <c r="K51" s="104"/>
      <c r="L51" s="104"/>
      <c r="M51" s="104"/>
      <c r="N51" s="104"/>
    </row>
    <row r="52" spans="2:14" ht="15" customHeight="1">
      <c r="B52" s="106"/>
      <c r="C52" s="325" t="s">
        <v>335</v>
      </c>
      <c r="D52" s="929"/>
      <c r="E52" s="499"/>
      <c r="F52" s="1091"/>
      <c r="G52" s="500"/>
      <c r="H52" s="104"/>
      <c r="I52" s="104"/>
      <c r="J52" s="104"/>
      <c r="K52" s="104"/>
      <c r="L52" s="104"/>
      <c r="M52" s="104"/>
      <c r="N52" s="104"/>
    </row>
    <row r="53" spans="2:14" ht="15" customHeight="1">
      <c r="B53" s="106"/>
      <c r="C53" s="325" t="s">
        <v>358</v>
      </c>
      <c r="D53" s="927"/>
      <c r="E53" s="158">
        <f>IF(D53="",0,IF(AND(E46="Pass",OR(E47="Pass",D48="Yes"),D53&lt;=(7.128*D52+153)),1,0))</f>
        <v>0</v>
      </c>
      <c r="F53" s="1090"/>
      <c r="G53" s="159">
        <f>IF(F53="",0,IF(AND(G46="Pass",OR(G47="Pass",F48="Yes"),F53&lt;=(7.128*F52+153)),1,0))</f>
        <v>0</v>
      </c>
      <c r="H53" s="104"/>
      <c r="I53" s="104"/>
      <c r="J53" s="104"/>
      <c r="K53" s="104"/>
      <c r="L53" s="104"/>
      <c r="M53" s="104"/>
      <c r="N53" s="104"/>
    </row>
    <row r="54" spans="2:14" ht="15" customHeight="1">
      <c r="B54" s="106"/>
      <c r="C54" s="325" t="s">
        <v>359</v>
      </c>
      <c r="D54" s="927"/>
      <c r="E54" s="158">
        <f>IF(D54="",0,IF(AND(E46="Pass",OR(E47="Pass",D48="Yes"),D54&lt;=(7.128*D52+153)),0.5,0))</f>
        <v>0</v>
      </c>
      <c r="F54" s="1090"/>
      <c r="G54" s="159">
        <f>IF(F54="",0,IF(AND(G46="Pass",OR(G47="Pass",F48="Yes"),F54&lt;=(7.128*F52+153)),0.5,0))</f>
        <v>0</v>
      </c>
      <c r="H54" s="104"/>
      <c r="I54" s="104"/>
      <c r="J54" s="104"/>
      <c r="K54" s="104"/>
      <c r="L54" s="104"/>
      <c r="M54" s="104"/>
      <c r="N54" s="104"/>
    </row>
    <row r="55" spans="2:14" ht="15" customHeight="1" thickBot="1">
      <c r="B55" s="106"/>
      <c r="C55" s="325"/>
      <c r="D55" s="494"/>
      <c r="E55" s="496"/>
      <c r="F55" s="495"/>
      <c r="G55" s="278"/>
      <c r="H55" s="104"/>
      <c r="I55" s="104"/>
      <c r="J55" s="104"/>
      <c r="K55" s="104"/>
      <c r="L55" s="104"/>
      <c r="M55" s="104"/>
      <c r="N55" s="104"/>
    </row>
    <row r="56" spans="2:14" ht="15" customHeight="1" thickBot="1">
      <c r="B56" s="1466" t="s">
        <v>794</v>
      </c>
      <c r="C56" s="1543"/>
      <c r="D56" s="1537">
        <f>SUM(E53,E54)</f>
        <v>0</v>
      </c>
      <c r="E56" s="1545"/>
      <c r="F56" s="1538">
        <f>SUM(G53,G54)</f>
        <v>0</v>
      </c>
      <c r="G56" s="1539"/>
      <c r="H56" s="104"/>
      <c r="I56" s="104"/>
      <c r="J56" s="104"/>
      <c r="K56" s="104"/>
      <c r="L56" s="104"/>
      <c r="M56" s="104"/>
      <c r="N56" s="104"/>
    </row>
    <row r="57" spans="2:14" ht="15" customHeight="1">
      <c r="B57" s="475"/>
      <c r="C57" s="477"/>
      <c r="D57" s="1585"/>
      <c r="E57" s="1586"/>
      <c r="F57" s="1253"/>
      <c r="G57" s="1591"/>
      <c r="H57" s="104"/>
      <c r="I57" s="104"/>
      <c r="J57" s="104"/>
      <c r="K57" s="104"/>
      <c r="L57" s="104"/>
      <c r="M57" s="104"/>
      <c r="N57" s="104"/>
    </row>
    <row r="58" spans="2:14" ht="15" customHeight="1">
      <c r="B58" s="106"/>
      <c r="C58" s="105" t="s">
        <v>337</v>
      </c>
      <c r="D58" s="497" t="str">
        <f>IF(OR(AND(E46="PASS",E47="PASS"),D48="Yes",E53&gt;0,E54&gt;0),"Eligible for scoring","Not eligible for scoring")</f>
        <v>Not eligible for scoring</v>
      </c>
      <c r="E58" s="498"/>
      <c r="F58" s="1592" t="str">
        <f>IF(OR(AND(G46="PASS",G47="PASS"),F48="Yes",G53&gt;0,G54&gt;0),"Eligible for scoring","Not eligible for scoring")</f>
        <v>Not eligible for scoring</v>
      </c>
      <c r="G58" s="1593"/>
      <c r="H58" s="104"/>
      <c r="I58" s="104"/>
      <c r="J58" s="104"/>
      <c r="K58" s="104"/>
      <c r="L58" s="104"/>
      <c r="M58" s="104"/>
      <c r="N58" s="104"/>
    </row>
    <row r="59" spans="2:14" ht="15" customHeight="1">
      <c r="B59" s="106"/>
      <c r="C59" s="325" t="s">
        <v>338</v>
      </c>
      <c r="D59" s="1508"/>
      <c r="E59" s="1509"/>
      <c r="F59" s="1587"/>
      <c r="G59" s="1588"/>
      <c r="H59" s="104"/>
      <c r="I59" s="104"/>
      <c r="J59" s="104"/>
      <c r="K59" s="104"/>
      <c r="L59" s="104"/>
      <c r="M59" s="104"/>
      <c r="N59" s="104"/>
    </row>
    <row r="60" spans="2:14" ht="15" customHeight="1">
      <c r="B60" s="106"/>
      <c r="C60" s="325" t="s">
        <v>339</v>
      </c>
      <c r="D60" s="1508"/>
      <c r="E60" s="1509"/>
      <c r="F60" s="1594"/>
      <c r="G60" s="1595"/>
      <c r="H60" s="104"/>
      <c r="I60" s="104"/>
      <c r="J60" s="104"/>
      <c r="K60" s="104"/>
      <c r="L60" s="104"/>
      <c r="M60" s="104"/>
      <c r="N60" s="104"/>
    </row>
    <row r="61" spans="2:14" ht="15" customHeight="1">
      <c r="B61" s="106"/>
      <c r="C61" s="325" t="s">
        <v>340</v>
      </c>
      <c r="D61" s="1508"/>
      <c r="E61" s="1509"/>
      <c r="F61" s="1594"/>
      <c r="G61" s="1595"/>
      <c r="H61" s="104"/>
      <c r="I61" s="104"/>
      <c r="J61" s="104"/>
      <c r="K61" s="104"/>
      <c r="L61" s="104"/>
      <c r="M61" s="104"/>
      <c r="N61" s="104"/>
    </row>
    <row r="62" spans="2:14" ht="15" customHeight="1">
      <c r="B62" s="106"/>
      <c r="C62" s="325" t="s">
        <v>341</v>
      </c>
      <c r="D62" s="1508"/>
      <c r="E62" s="1509"/>
      <c r="F62" s="1587" t="s">
        <v>122</v>
      </c>
      <c r="G62" s="1588"/>
      <c r="H62" s="104"/>
      <c r="I62" s="104"/>
      <c r="J62" s="104"/>
      <c r="K62" s="104"/>
      <c r="L62" s="104"/>
      <c r="M62" s="104"/>
      <c r="N62" s="104"/>
    </row>
    <row r="63" spans="2:14" ht="15" customHeight="1" thickBot="1">
      <c r="B63" s="106"/>
      <c r="C63" s="325"/>
      <c r="D63" s="1599"/>
      <c r="E63" s="1600"/>
      <c r="F63" s="1589"/>
      <c r="G63" s="1590"/>
      <c r="H63" s="104"/>
      <c r="I63" s="104"/>
      <c r="J63" s="104"/>
      <c r="K63" s="104"/>
      <c r="L63" s="104"/>
      <c r="M63" s="104"/>
      <c r="N63" s="104"/>
    </row>
    <row r="64" spans="2:14" ht="15" customHeight="1" thickBot="1">
      <c r="B64" s="1466" t="s">
        <v>795</v>
      </c>
      <c r="C64" s="1543"/>
      <c r="D64" s="1537">
        <f>(IF(AND(D58="Eligible for scoring",OR(COUNTIF(D59:D62,"Pass")&gt;0,COUNTIF(D59:D62,"Not applicable")=4)),1,0))</f>
        <v>0</v>
      </c>
      <c r="E64" s="1545"/>
      <c r="F64" s="1538">
        <f>(IF(AND(F58="Eligible for scoring",OR(COUNTIF(F59:F62,"Pass")&gt;0,COUNTIF(F59:F62,"Not applicable")=4)),1,0))</f>
        <v>0</v>
      </c>
      <c r="G64" s="1539"/>
      <c r="H64" s="104"/>
      <c r="I64" s="104"/>
      <c r="J64" s="104"/>
      <c r="K64" s="104"/>
      <c r="L64" s="104"/>
      <c r="M64" s="104"/>
      <c r="N64" s="104"/>
    </row>
    <row r="65" spans="2:14" ht="15" customHeight="1" thickBot="1">
      <c r="B65" s="484"/>
      <c r="C65" s="485"/>
      <c r="D65" s="486"/>
      <c r="E65" s="384"/>
      <c r="F65" s="384"/>
      <c r="G65" s="385"/>
      <c r="H65" s="104"/>
      <c r="I65" s="104"/>
      <c r="J65" s="104"/>
      <c r="K65" s="104"/>
      <c r="L65" s="104"/>
      <c r="M65" s="104"/>
      <c r="N65" s="104"/>
    </row>
    <row r="66" spans="2:14" ht="15" customHeight="1" thickBot="1">
      <c r="B66" s="1387" t="s">
        <v>796</v>
      </c>
      <c r="C66" s="1388"/>
      <c r="D66" s="1540">
        <f>IF(OR(D44="No",F44="No"),0,SUM(D49,D56,D64,F49,F56,F64))/IF(F42="",1,2)</f>
        <v>0</v>
      </c>
      <c r="E66" s="1541"/>
      <c r="F66" s="1541"/>
      <c r="G66" s="1542"/>
      <c r="H66" s="104"/>
      <c r="I66" s="832"/>
      <c r="J66" s="104"/>
      <c r="K66" s="104"/>
      <c r="L66" s="104"/>
      <c r="M66" s="104"/>
      <c r="N66" s="104"/>
    </row>
    <row r="67" spans="2:14" ht="15" customHeight="1" thickBot="1">
      <c r="E67" s="122"/>
      <c r="F67" s="97"/>
      <c r="G67" s="122"/>
      <c r="H67" s="104"/>
      <c r="I67" s="104"/>
      <c r="J67" s="104"/>
      <c r="K67" s="104"/>
      <c r="L67" s="104"/>
      <c r="M67" s="104"/>
      <c r="N67" s="104"/>
    </row>
    <row r="68" spans="2:14" ht="15" customHeight="1" thickBot="1">
      <c r="B68" s="1387" t="s">
        <v>37</v>
      </c>
      <c r="C68" s="1388"/>
      <c r="D68" s="1558"/>
      <c r="E68" s="1559"/>
      <c r="F68" s="1559"/>
      <c r="G68" s="1560"/>
    </row>
    <row r="69" spans="2:14" ht="15" customHeight="1">
      <c r="B69" s="106"/>
      <c r="C69" s="160" t="s">
        <v>120</v>
      </c>
      <c r="D69" s="1573">
        <f>D23</f>
        <v>0</v>
      </c>
      <c r="E69" s="1574"/>
      <c r="F69" s="1574"/>
      <c r="G69" s="1575"/>
    </row>
    <row r="70" spans="2:14" ht="15" customHeight="1">
      <c r="B70" s="106"/>
      <c r="C70" s="160" t="s">
        <v>119</v>
      </c>
      <c r="D70" s="1576">
        <f>SUM(D40:G40)</f>
        <v>0</v>
      </c>
      <c r="E70" s="1577"/>
      <c r="F70" s="1577"/>
      <c r="G70" s="1578"/>
    </row>
    <row r="71" spans="2:14" ht="15" customHeight="1" thickBot="1">
      <c r="B71" s="170"/>
      <c r="C71" s="179" t="s">
        <v>121</v>
      </c>
      <c r="D71" s="1579">
        <v>0</v>
      </c>
      <c r="E71" s="1580"/>
      <c r="F71" s="1580"/>
      <c r="G71" s="1581"/>
    </row>
    <row r="72" spans="2:14" ht="15" customHeight="1" thickBot="1">
      <c r="B72" s="487"/>
      <c r="C72" s="488"/>
      <c r="D72" s="487"/>
      <c r="E72" s="489"/>
      <c r="F72" s="487"/>
      <c r="G72" s="489"/>
    </row>
    <row r="73" spans="2:14" ht="15" customHeight="1">
      <c r="B73" s="1555" t="s">
        <v>331</v>
      </c>
      <c r="C73" s="1556"/>
      <c r="D73" s="1582">
        <f>ROUND(SUM(D69:G71)/8*3,Round)</f>
        <v>0</v>
      </c>
      <c r="E73" s="1583"/>
      <c r="F73" s="1583"/>
      <c r="G73" s="1584"/>
    </row>
    <row r="74" spans="2:14" ht="15" customHeight="1" thickBot="1">
      <c r="B74" s="1474" t="s">
        <v>336</v>
      </c>
      <c r="C74" s="1557"/>
      <c r="D74" s="1596">
        <f>ROUND(D66/4*1,Round)</f>
        <v>0</v>
      </c>
      <c r="E74" s="1597"/>
      <c r="F74" s="1597"/>
      <c r="G74" s="1598"/>
    </row>
    <row r="75" spans="2:14" ht="15" customHeight="1" thickBot="1">
      <c r="B75" s="97"/>
      <c r="C75" s="97"/>
      <c r="D75" s="97"/>
      <c r="E75" s="490"/>
      <c r="F75" s="490"/>
      <c r="G75" s="490"/>
    </row>
    <row r="76" spans="2:14" ht="21.75" thickBot="1">
      <c r="B76" s="1549" t="s">
        <v>1</v>
      </c>
      <c r="C76" s="1550"/>
      <c r="D76" s="1561">
        <f>IF(OR('General Overview'!C17="",'General Overview'!C18="",'General Overview'!C17&gt;0,'General Overview'!C18&gt;0),SUM(D73:G74),D73/3*4)</f>
        <v>0</v>
      </c>
      <c r="E76" s="1562"/>
      <c r="F76" s="1562"/>
      <c r="G76" s="1563"/>
    </row>
    <row r="77" spans="2:14">
      <c r="F77" s="491"/>
      <c r="G77" s="491"/>
    </row>
    <row r="78" spans="2:14">
      <c r="F78" s="491"/>
      <c r="G78" s="491"/>
    </row>
    <row r="79" spans="2:14">
      <c r="F79" s="491"/>
      <c r="G79" s="491"/>
    </row>
    <row r="81" spans="2:7" ht="13.5" thickBot="1"/>
    <row r="82" spans="2:7" ht="16.5" thickBot="1">
      <c r="B82" s="505" t="s">
        <v>390</v>
      </c>
      <c r="C82" s="506"/>
      <c r="D82" s="506"/>
      <c r="E82" s="506"/>
      <c r="F82" s="506"/>
      <c r="G82" s="507"/>
    </row>
    <row r="83" spans="2:7">
      <c r="B83" s="164" t="s">
        <v>363</v>
      </c>
      <c r="C83" s="165"/>
      <c r="D83" s="173"/>
      <c r="E83" s="492"/>
      <c r="F83" s="264"/>
      <c r="G83" s="264"/>
    </row>
    <row r="84" spans="2:7">
      <c r="B84" s="274" t="s">
        <v>387</v>
      </c>
      <c r="C84" s="275" t="s">
        <v>380</v>
      </c>
      <c r="D84" s="866"/>
      <c r="E84" s="931"/>
      <c r="F84" s="866"/>
      <c r="G84" s="155"/>
    </row>
    <row r="85" spans="2:7">
      <c r="B85" s="274"/>
      <c r="C85" s="275" t="s">
        <v>381</v>
      </c>
      <c r="D85" s="866"/>
      <c r="E85" s="931"/>
      <c r="F85" s="866"/>
      <c r="G85" s="155"/>
    </row>
    <row r="86" spans="2:7">
      <c r="B86" s="274" t="s">
        <v>388</v>
      </c>
      <c r="C86" s="275" t="s">
        <v>380</v>
      </c>
      <c r="D86" s="866"/>
      <c r="E86" s="931"/>
      <c r="F86" s="866"/>
      <c r="G86" s="155"/>
    </row>
    <row r="87" spans="2:7">
      <c r="B87" s="274"/>
      <c r="C87" s="275" t="s">
        <v>381</v>
      </c>
      <c r="D87" s="866"/>
      <c r="E87" s="931"/>
      <c r="F87" s="866"/>
      <c r="G87" s="155"/>
    </row>
    <row r="88" spans="2:7">
      <c r="B88" s="274" t="s">
        <v>389</v>
      </c>
      <c r="C88" s="275" t="s">
        <v>380</v>
      </c>
      <c r="D88" s="866"/>
      <c r="E88" s="931"/>
      <c r="F88" s="866"/>
      <c r="G88" s="155"/>
    </row>
    <row r="89" spans="2:7">
      <c r="B89" s="274"/>
      <c r="C89" s="275" t="s">
        <v>381</v>
      </c>
      <c r="D89" s="866"/>
      <c r="E89" s="931"/>
      <c r="F89" s="866"/>
      <c r="G89" s="155"/>
    </row>
    <row r="90" spans="2:7" ht="13.5" customHeight="1">
      <c r="B90" s="274" t="s">
        <v>418</v>
      </c>
      <c r="C90" s="275" t="s">
        <v>380</v>
      </c>
      <c r="D90" s="866"/>
      <c r="E90" s="931"/>
      <c r="F90" s="866"/>
      <c r="G90" s="155"/>
    </row>
    <row r="91" spans="2:7">
      <c r="B91" s="274" t="s">
        <v>419</v>
      </c>
      <c r="C91" s="275" t="s">
        <v>542</v>
      </c>
      <c r="D91" s="866"/>
      <c r="E91" s="931"/>
      <c r="F91" s="866"/>
      <c r="G91" s="155"/>
    </row>
    <row r="92" spans="2:7" ht="13.5" thickBot="1">
      <c r="B92" s="277"/>
      <c r="C92" s="279" t="s">
        <v>543</v>
      </c>
      <c r="D92" s="910"/>
      <c r="E92" s="932"/>
      <c r="F92" s="910"/>
      <c r="G92" s="278"/>
    </row>
    <row r="93" spans="2:7">
      <c r="B93" s="164" t="s">
        <v>417</v>
      </c>
      <c r="C93" s="165"/>
      <c r="D93" s="933"/>
      <c r="E93" s="933"/>
      <c r="F93" s="933"/>
      <c r="G93" s="264"/>
    </row>
    <row r="94" spans="2:7">
      <c r="B94" s="274" t="s">
        <v>387</v>
      </c>
      <c r="C94" s="275" t="s">
        <v>380</v>
      </c>
      <c r="D94" s="866"/>
      <c r="E94" s="931"/>
      <c r="F94" s="866"/>
      <c r="G94" s="155"/>
    </row>
    <row r="95" spans="2:7">
      <c r="B95" s="274"/>
      <c r="C95" s="275" t="s">
        <v>381</v>
      </c>
      <c r="D95" s="866"/>
      <c r="E95" s="931"/>
      <c r="F95" s="866"/>
      <c r="G95" s="155"/>
    </row>
    <row r="96" spans="2:7">
      <c r="B96" s="274" t="s">
        <v>389</v>
      </c>
      <c r="C96" s="275" t="s">
        <v>380</v>
      </c>
      <c r="D96" s="866"/>
      <c r="E96" s="931"/>
      <c r="F96" s="866"/>
      <c r="G96" s="155"/>
    </row>
    <row r="97" spans="2:7" ht="13.5" thickBot="1">
      <c r="B97" s="277"/>
      <c r="C97" s="279" t="s">
        <v>381</v>
      </c>
      <c r="D97" s="910"/>
      <c r="E97" s="932"/>
      <c r="F97" s="910"/>
      <c r="G97" s="278"/>
    </row>
    <row r="98" spans="2:7">
      <c r="B98" s="164" t="s">
        <v>420</v>
      </c>
      <c r="C98" s="165"/>
      <c r="D98" s="933"/>
      <c r="E98" s="933"/>
      <c r="F98" s="933"/>
      <c r="G98" s="264"/>
    </row>
    <row r="99" spans="2:7">
      <c r="B99" s="274" t="s">
        <v>379</v>
      </c>
      <c r="C99" s="275" t="s">
        <v>380</v>
      </c>
      <c r="D99" s="866"/>
      <c r="E99" s="931"/>
      <c r="F99" s="866"/>
      <c r="G99" s="155"/>
    </row>
    <row r="100" spans="2:7">
      <c r="B100" s="274"/>
      <c r="C100" s="275" t="s">
        <v>381</v>
      </c>
      <c r="D100" s="866"/>
      <c r="E100" s="931"/>
      <c r="F100" s="866"/>
      <c r="G100" s="155"/>
    </row>
    <row r="101" spans="2:7">
      <c r="B101" s="274" t="s">
        <v>382</v>
      </c>
      <c r="C101" s="275" t="s">
        <v>380</v>
      </c>
      <c r="D101" s="866"/>
      <c r="E101" s="931"/>
      <c r="F101" s="866"/>
      <c r="G101" s="155"/>
    </row>
    <row r="102" spans="2:7">
      <c r="B102" s="274"/>
      <c r="C102" s="275" t="s">
        <v>381</v>
      </c>
      <c r="D102" s="866"/>
      <c r="E102" s="931"/>
      <c r="F102" s="866"/>
      <c r="G102" s="155"/>
    </row>
    <row r="103" spans="2:7">
      <c r="B103" s="274" t="s">
        <v>386</v>
      </c>
      <c r="C103" s="275" t="s">
        <v>380</v>
      </c>
      <c r="D103" s="866"/>
      <c r="E103" s="931"/>
      <c r="F103" s="866"/>
      <c r="G103" s="155"/>
    </row>
    <row r="104" spans="2:7">
      <c r="B104" s="274"/>
      <c r="C104" s="275" t="s">
        <v>381</v>
      </c>
      <c r="D104" s="866"/>
      <c r="E104" s="931"/>
      <c r="F104" s="866"/>
      <c r="G104" s="155"/>
    </row>
    <row r="105" spans="2:7">
      <c r="B105" s="274" t="s">
        <v>385</v>
      </c>
      <c r="C105" s="275" t="s">
        <v>380</v>
      </c>
      <c r="D105" s="866"/>
      <c r="E105" s="931"/>
      <c r="F105" s="866"/>
      <c r="G105" s="155"/>
    </row>
    <row r="106" spans="2:7">
      <c r="B106" s="274"/>
      <c r="C106" s="275" t="s">
        <v>381</v>
      </c>
      <c r="D106" s="866"/>
      <c r="E106" s="931"/>
      <c r="F106" s="866"/>
      <c r="G106" s="155"/>
    </row>
    <row r="107" spans="2:7">
      <c r="B107" s="274" t="s">
        <v>383</v>
      </c>
      <c r="C107" s="275" t="s">
        <v>380</v>
      </c>
      <c r="D107" s="866"/>
      <c r="E107" s="931"/>
      <c r="F107" s="866"/>
      <c r="G107" s="155"/>
    </row>
    <row r="108" spans="2:7">
      <c r="B108" s="274"/>
      <c r="C108" s="275" t="s">
        <v>381</v>
      </c>
      <c r="D108" s="866"/>
      <c r="E108" s="931"/>
      <c r="F108" s="866"/>
      <c r="G108" s="155"/>
    </row>
    <row r="109" spans="2:7">
      <c r="B109" s="274" t="s">
        <v>384</v>
      </c>
      <c r="C109" s="275" t="s">
        <v>380</v>
      </c>
      <c r="D109" s="866"/>
      <c r="E109" s="931"/>
      <c r="F109" s="866"/>
      <c r="G109" s="155"/>
    </row>
    <row r="110" spans="2:7" ht="13.5" thickBot="1">
      <c r="B110" s="277"/>
      <c r="C110" s="279" t="s">
        <v>381</v>
      </c>
      <c r="D110" s="910"/>
      <c r="E110" s="932"/>
      <c r="F110" s="910"/>
      <c r="G110" s="278"/>
    </row>
    <row r="111" spans="2:7">
      <c r="B111" s="164" t="s">
        <v>421</v>
      </c>
      <c r="C111" s="165"/>
      <c r="D111" s="933"/>
      <c r="E111" s="934"/>
      <c r="F111" s="935"/>
      <c r="G111" s="264"/>
    </row>
    <row r="112" spans="2:7">
      <c r="B112" s="274" t="s">
        <v>379</v>
      </c>
      <c r="C112" s="275" t="s">
        <v>380</v>
      </c>
      <c r="D112" s="866"/>
      <c r="E112" s="931"/>
      <c r="F112" s="866"/>
      <c r="G112" s="155"/>
    </row>
    <row r="113" spans="2:7">
      <c r="B113" s="274"/>
      <c r="C113" s="275" t="s">
        <v>381</v>
      </c>
      <c r="D113" s="866"/>
      <c r="E113" s="931"/>
      <c r="F113" s="866"/>
      <c r="G113" s="155"/>
    </row>
    <row r="114" spans="2:7">
      <c r="B114" s="274" t="s">
        <v>382</v>
      </c>
      <c r="C114" s="275" t="s">
        <v>380</v>
      </c>
      <c r="D114" s="866"/>
      <c r="E114" s="931"/>
      <c r="F114" s="866"/>
      <c r="G114" s="155"/>
    </row>
    <row r="115" spans="2:7">
      <c r="B115" s="274"/>
      <c r="C115" s="275" t="s">
        <v>381</v>
      </c>
      <c r="D115" s="866"/>
      <c r="E115" s="931"/>
      <c r="F115" s="866"/>
      <c r="G115" s="155"/>
    </row>
    <row r="116" spans="2:7">
      <c r="B116" s="274" t="s">
        <v>386</v>
      </c>
      <c r="C116" s="275" t="s">
        <v>380</v>
      </c>
      <c r="D116" s="866"/>
      <c r="E116" s="931"/>
      <c r="F116" s="866"/>
      <c r="G116" s="155"/>
    </row>
    <row r="117" spans="2:7">
      <c r="B117" s="274"/>
      <c r="C117" s="275" t="s">
        <v>381</v>
      </c>
      <c r="D117" s="866"/>
      <c r="E117" s="931"/>
      <c r="F117" s="866"/>
      <c r="G117" s="155"/>
    </row>
    <row r="118" spans="2:7">
      <c r="B118" s="274" t="s">
        <v>385</v>
      </c>
      <c r="C118" s="275" t="s">
        <v>380</v>
      </c>
      <c r="D118" s="866"/>
      <c r="E118" s="931"/>
      <c r="F118" s="866"/>
      <c r="G118" s="155"/>
    </row>
    <row r="119" spans="2:7">
      <c r="B119" s="274"/>
      <c r="C119" s="275" t="s">
        <v>381</v>
      </c>
      <c r="D119" s="866"/>
      <c r="E119" s="931"/>
      <c r="F119" s="866"/>
      <c r="G119" s="155"/>
    </row>
    <row r="120" spans="2:7">
      <c r="B120" s="274" t="s">
        <v>383</v>
      </c>
      <c r="C120" s="275" t="s">
        <v>380</v>
      </c>
      <c r="D120" s="866"/>
      <c r="E120" s="931"/>
      <c r="F120" s="866"/>
      <c r="G120" s="155"/>
    </row>
    <row r="121" spans="2:7">
      <c r="B121" s="274"/>
      <c r="C121" s="275" t="s">
        <v>381</v>
      </c>
      <c r="D121" s="866"/>
      <c r="E121" s="931"/>
      <c r="F121" s="866"/>
      <c r="G121" s="155"/>
    </row>
    <row r="122" spans="2:7">
      <c r="B122" s="274" t="s">
        <v>384</v>
      </c>
      <c r="C122" s="275" t="s">
        <v>380</v>
      </c>
      <c r="D122" s="866"/>
      <c r="E122" s="931"/>
      <c r="F122" s="866"/>
      <c r="G122" s="155"/>
    </row>
    <row r="123" spans="2:7" ht="13.5" thickBot="1">
      <c r="B123" s="277"/>
      <c r="C123" s="279" t="s">
        <v>381</v>
      </c>
      <c r="D123" s="910"/>
      <c r="E123" s="932"/>
      <c r="F123" s="910"/>
      <c r="G123" s="278"/>
    </row>
    <row r="124" spans="2:7">
      <c r="B124" s="164" t="s">
        <v>422</v>
      </c>
      <c r="C124" s="165"/>
      <c r="D124" s="933"/>
      <c r="E124" s="933"/>
      <c r="F124" s="933"/>
      <c r="G124" s="264"/>
    </row>
    <row r="125" spans="2:7">
      <c r="B125" s="274" t="s">
        <v>387</v>
      </c>
      <c r="C125" s="275" t="s">
        <v>380</v>
      </c>
      <c r="D125" s="866"/>
      <c r="E125" s="931"/>
      <c r="F125" s="866"/>
      <c r="G125" s="155"/>
    </row>
    <row r="126" spans="2:7">
      <c r="B126" s="274"/>
      <c r="C126" s="275" t="s">
        <v>381</v>
      </c>
      <c r="D126" s="866"/>
      <c r="E126" s="931"/>
      <c r="F126" s="866"/>
      <c r="G126" s="155"/>
    </row>
    <row r="127" spans="2:7">
      <c r="B127" s="274" t="s">
        <v>389</v>
      </c>
      <c r="C127" s="275" t="s">
        <v>380</v>
      </c>
      <c r="D127" s="866"/>
      <c r="E127" s="931"/>
      <c r="F127" s="866"/>
      <c r="G127" s="155"/>
    </row>
    <row r="128" spans="2:7" ht="13.5" thickBot="1">
      <c r="B128" s="277"/>
      <c r="C128" s="279" t="s">
        <v>381</v>
      </c>
      <c r="D128" s="910"/>
      <c r="E128" s="932"/>
      <c r="F128" s="910"/>
      <c r="G128" s="278"/>
    </row>
    <row r="129" spans="2:7">
      <c r="B129" s="164" t="s">
        <v>423</v>
      </c>
      <c r="C129" s="165"/>
      <c r="D129" s="933"/>
      <c r="E129" s="933"/>
      <c r="F129" s="933"/>
      <c r="G129" s="264"/>
    </row>
    <row r="130" spans="2:7">
      <c r="B130" s="274" t="s">
        <v>387</v>
      </c>
      <c r="C130" s="275" t="s">
        <v>380</v>
      </c>
      <c r="D130" s="866"/>
      <c r="E130" s="931"/>
      <c r="F130" s="865"/>
      <c r="G130" s="155"/>
    </row>
    <row r="131" spans="2:7">
      <c r="B131" s="274"/>
      <c r="C131" s="275" t="s">
        <v>381</v>
      </c>
      <c r="D131" s="866"/>
      <c r="E131" s="931"/>
      <c r="F131" s="865"/>
      <c r="G131" s="155"/>
    </row>
    <row r="132" spans="2:7">
      <c r="B132" s="274" t="s">
        <v>389</v>
      </c>
      <c r="C132" s="275" t="s">
        <v>380</v>
      </c>
      <c r="D132" s="866"/>
      <c r="E132" s="931"/>
      <c r="F132" s="865"/>
      <c r="G132" s="155"/>
    </row>
    <row r="133" spans="2:7" ht="13.5" thickBot="1">
      <c r="B133" s="277"/>
      <c r="C133" s="279" t="s">
        <v>381</v>
      </c>
      <c r="D133" s="910"/>
      <c r="E133" s="932"/>
      <c r="F133" s="936"/>
      <c r="G133" s="278"/>
    </row>
    <row r="134" spans="2:7">
      <c r="B134" s="164" t="s">
        <v>424</v>
      </c>
      <c r="C134" s="165"/>
      <c r="D134" s="933"/>
      <c r="E134" s="933"/>
      <c r="F134" s="933"/>
      <c r="G134" s="264"/>
    </row>
    <row r="135" spans="2:7">
      <c r="B135" s="274" t="s">
        <v>387</v>
      </c>
      <c r="C135" s="275" t="s">
        <v>380</v>
      </c>
      <c r="D135" s="865"/>
      <c r="E135" s="931"/>
      <c r="F135" s="866"/>
      <c r="G135" s="155"/>
    </row>
    <row r="136" spans="2:7">
      <c r="B136" s="274"/>
      <c r="C136" s="275" t="s">
        <v>381</v>
      </c>
      <c r="D136" s="865"/>
      <c r="E136" s="931"/>
      <c r="F136" s="866"/>
      <c r="G136" s="155"/>
    </row>
    <row r="137" spans="2:7">
      <c r="B137" s="274" t="s">
        <v>389</v>
      </c>
      <c r="C137" s="275" t="s">
        <v>380</v>
      </c>
      <c r="D137" s="865"/>
      <c r="E137" s="931"/>
      <c r="F137" s="866"/>
      <c r="G137" s="155"/>
    </row>
    <row r="138" spans="2:7" ht="13.5" thickBot="1">
      <c r="B138" s="277"/>
      <c r="C138" s="279" t="s">
        <v>381</v>
      </c>
      <c r="D138" s="936"/>
      <c r="E138" s="932"/>
      <c r="F138" s="910"/>
      <c r="G138" s="278"/>
    </row>
    <row r="139" spans="2:7">
      <c r="B139" s="164" t="s">
        <v>394</v>
      </c>
      <c r="C139" s="165"/>
      <c r="D139" s="933"/>
      <c r="E139" s="933"/>
      <c r="F139" s="933"/>
      <c r="G139" s="264"/>
    </row>
    <row r="140" spans="2:7">
      <c r="B140" s="274" t="s">
        <v>387</v>
      </c>
      <c r="C140" s="275" t="s">
        <v>380</v>
      </c>
      <c r="D140" s="866"/>
      <c r="E140" s="931"/>
      <c r="F140" s="866"/>
      <c r="G140" s="155"/>
    </row>
    <row r="141" spans="2:7">
      <c r="B141" s="274"/>
      <c r="C141" s="275" t="s">
        <v>381</v>
      </c>
      <c r="D141" s="866"/>
      <c r="E141" s="931"/>
      <c r="F141" s="866"/>
      <c r="G141" s="155"/>
    </row>
    <row r="142" spans="2:7">
      <c r="B142" s="274" t="s">
        <v>389</v>
      </c>
      <c r="C142" s="275" t="s">
        <v>380</v>
      </c>
      <c r="D142" s="866"/>
      <c r="E142" s="931"/>
      <c r="F142" s="866"/>
      <c r="G142" s="155"/>
    </row>
    <row r="143" spans="2:7" ht="13.5" thickBot="1">
      <c r="B143" s="277"/>
      <c r="C143" s="279" t="s">
        <v>381</v>
      </c>
      <c r="D143" s="910"/>
      <c r="E143" s="932"/>
      <c r="F143" s="910"/>
      <c r="G143" s="278"/>
    </row>
    <row r="144" spans="2:7">
      <c r="B144" s="164" t="s">
        <v>393</v>
      </c>
      <c r="C144" s="165"/>
      <c r="D144" s="933"/>
      <c r="E144" s="933"/>
      <c r="F144" s="933"/>
      <c r="G144" s="264"/>
    </row>
    <row r="145" spans="2:9">
      <c r="B145" s="274" t="s">
        <v>387</v>
      </c>
      <c r="C145" s="275" t="s">
        <v>380</v>
      </c>
      <c r="D145" s="866"/>
      <c r="E145" s="931"/>
      <c r="F145" s="866"/>
      <c r="G145" s="155"/>
    </row>
    <row r="146" spans="2:9">
      <c r="B146" s="274"/>
      <c r="C146" s="275" t="s">
        <v>381</v>
      </c>
      <c r="D146" s="866"/>
      <c r="E146" s="931"/>
      <c r="F146" s="866"/>
      <c r="G146" s="155"/>
    </row>
    <row r="147" spans="2:9">
      <c r="B147" s="274" t="s">
        <v>388</v>
      </c>
      <c r="C147" s="275" t="s">
        <v>380</v>
      </c>
      <c r="D147" s="866"/>
      <c r="E147" s="931"/>
      <c r="F147" s="866"/>
      <c r="G147" s="155"/>
    </row>
    <row r="148" spans="2:9">
      <c r="B148" s="274"/>
      <c r="C148" s="275" t="s">
        <v>381</v>
      </c>
      <c r="D148" s="866"/>
      <c r="E148" s="931"/>
      <c r="F148" s="866"/>
      <c r="G148" s="155"/>
    </row>
    <row r="149" spans="2:9">
      <c r="B149" s="274" t="s">
        <v>389</v>
      </c>
      <c r="C149" s="275" t="s">
        <v>380</v>
      </c>
      <c r="D149" s="866"/>
      <c r="E149" s="931"/>
      <c r="F149" s="866"/>
      <c r="G149" s="155"/>
    </row>
    <row r="150" spans="2:9" ht="13.5" thickBot="1">
      <c r="B150" s="277"/>
      <c r="C150" s="279" t="s">
        <v>381</v>
      </c>
      <c r="D150" s="910"/>
      <c r="E150" s="932"/>
      <c r="F150" s="910"/>
      <c r="G150" s="278"/>
    </row>
    <row r="151" spans="2:9" ht="13.5" thickBot="1">
      <c r="E151" s="95"/>
      <c r="F151" s="95"/>
      <c r="G151" s="95"/>
    </row>
    <row r="152" spans="2:9" ht="16.5" thickBot="1">
      <c r="B152" s="1551" t="s">
        <v>431</v>
      </c>
      <c r="C152" s="1552"/>
      <c r="D152" s="1552"/>
      <c r="E152" s="1552"/>
      <c r="F152" s="1552"/>
      <c r="G152" s="1552"/>
      <c r="I152" s="109"/>
    </row>
    <row r="153" spans="2:9">
      <c r="B153" s="164" t="s">
        <v>428</v>
      </c>
      <c r="C153" s="165"/>
      <c r="D153" s="492"/>
      <c r="E153" s="264"/>
      <c r="F153" s="492"/>
      <c r="G153" s="264"/>
    </row>
    <row r="154" spans="2:9">
      <c r="B154" s="274" t="s">
        <v>387</v>
      </c>
      <c r="C154" s="275" t="s">
        <v>380</v>
      </c>
      <c r="D154" s="866"/>
      <c r="E154" s="937"/>
      <c r="F154" s="866"/>
      <c r="G154" s="155"/>
    </row>
    <row r="155" spans="2:9" ht="13.5" thickBot="1">
      <c r="B155" s="277"/>
      <c r="C155" s="279" t="s">
        <v>381</v>
      </c>
      <c r="D155" s="910"/>
      <c r="E155" s="938"/>
      <c r="F155" s="910"/>
      <c r="G155" s="278"/>
    </row>
  </sheetData>
  <mergeCells count="55">
    <mergeCell ref="D74:G74"/>
    <mergeCell ref="D64:E64"/>
    <mergeCell ref="F64:G64"/>
    <mergeCell ref="D59:E59"/>
    <mergeCell ref="D60:E60"/>
    <mergeCell ref="D61:E61"/>
    <mergeCell ref="D62:E62"/>
    <mergeCell ref="D63:E63"/>
    <mergeCell ref="G36:G37"/>
    <mergeCell ref="D69:G69"/>
    <mergeCell ref="D70:G70"/>
    <mergeCell ref="D71:G71"/>
    <mergeCell ref="D73:G73"/>
    <mergeCell ref="D57:E57"/>
    <mergeCell ref="D66:G66"/>
    <mergeCell ref="F62:G62"/>
    <mergeCell ref="F63:G63"/>
    <mergeCell ref="F59:G59"/>
    <mergeCell ref="F57:G57"/>
    <mergeCell ref="F58:G58"/>
    <mergeCell ref="F60:G60"/>
    <mergeCell ref="F61:G61"/>
    <mergeCell ref="B2:C3"/>
    <mergeCell ref="D2:E3"/>
    <mergeCell ref="F2:G3"/>
    <mergeCell ref="B4:C4"/>
    <mergeCell ref="D6:G6"/>
    <mergeCell ref="D7:G7"/>
    <mergeCell ref="B76:C76"/>
    <mergeCell ref="B152:G152"/>
    <mergeCell ref="B40:C40"/>
    <mergeCell ref="D40:E40"/>
    <mergeCell ref="F40:G40"/>
    <mergeCell ref="D49:E49"/>
    <mergeCell ref="F49:G49"/>
    <mergeCell ref="B73:C73"/>
    <mergeCell ref="B74:C74"/>
    <mergeCell ref="B66:C66"/>
    <mergeCell ref="B68:C68"/>
    <mergeCell ref="D68:G68"/>
    <mergeCell ref="B64:C64"/>
    <mergeCell ref="D76:G76"/>
    <mergeCell ref="E36:E37"/>
    <mergeCell ref="B56:C56"/>
    <mergeCell ref="B49:C49"/>
    <mergeCell ref="D41:E41"/>
    <mergeCell ref="F41:G41"/>
    <mergeCell ref="D56:E56"/>
    <mergeCell ref="F56:G56"/>
    <mergeCell ref="B13:C13"/>
    <mergeCell ref="B21:C21"/>
    <mergeCell ref="B23:C23"/>
    <mergeCell ref="D13:G13"/>
    <mergeCell ref="D21:G21"/>
    <mergeCell ref="D23:G23"/>
  </mergeCells>
  <conditionalFormatting sqref="D48">
    <cfRule type="expression" dxfId="1563" priority="3" stopIfTrue="1">
      <formula>$E$47="FAIL"</formula>
    </cfRule>
  </conditionalFormatting>
  <conditionalFormatting sqref="F59:F62">
    <cfRule type="expression" dxfId="1562" priority="2">
      <formula>$F$42="3RD ROW"</formula>
    </cfRule>
  </conditionalFormatting>
  <conditionalFormatting sqref="F48">
    <cfRule type="expression" dxfId="1561" priority="1">
      <formula>$G$47="Fail"</formula>
    </cfRule>
  </conditionalFormatting>
  <dataValidations count="5">
    <dataValidation type="list" allowBlank="1" showInputMessage="1" showErrorMessage="1" sqref="D6:G6" xr:uid="{98A14481-9AE7-4E70-B4B9-A0F44C081DA3}">
      <formula1>"Active,Reactive,Passive,Fixed"</formula1>
    </dataValidation>
    <dataValidation type="list" allowBlank="1" showInputMessage="1" showErrorMessage="1" sqref="D48 F48" xr:uid="{A9A83B47-1679-41D5-A418-5DCAA08CDBC9}">
      <formula1>"Yes,No"</formula1>
    </dataValidation>
    <dataValidation type="list" allowBlank="1" showInputMessage="1" showErrorMessage="1" sqref="F59:F62 D59:D62" xr:uid="{C5D39E2B-110C-415B-B13B-4C07C58F6C6C}">
      <formula1>"Not applicable,Pass,Fail"</formula1>
    </dataValidation>
    <dataValidation type="list" allowBlank="1" showInputMessage="1" showErrorMessage="1" sqref="D71" xr:uid="{09AD3F98-6BC6-4132-8C8E-4926E6A4590C}">
      <formula1>"0,-2"</formula1>
    </dataValidation>
    <dataValidation type="list" allowBlank="1" showInputMessage="1" showErrorMessage="1" sqref="D43:D44 F43:F44" xr:uid="{520A4E83-34B8-4AEC-887A-DAAE5BBBD86B}">
      <formula1>"Yes, No"</formula1>
    </dataValidation>
  </dataValidations>
  <pageMargins left="0.8" right="0.44" top="0.53" bottom="1" header="0.5" footer="0.5"/>
  <pageSetup paperSize="9" scale="57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919EC-976B-4D4B-977C-3FB9E9014E4B}">
  <sheetPr codeName="Sheet24">
    <tabColor rgb="FFFFC000"/>
    <pageSetUpPr fitToPage="1"/>
  </sheetPr>
  <dimension ref="A1:AH74"/>
  <sheetViews>
    <sheetView showGridLines="0" showOutlineSymbols="0" topLeftCell="B5" zoomScaleNormal="100" workbookViewId="0"/>
  </sheetViews>
  <sheetFormatPr defaultColWidth="8.7109375" defaultRowHeight="12.75"/>
  <cols>
    <col min="1" max="2" width="8.7109375" style="1"/>
    <col min="3" max="3" width="53.7109375" style="1" bestFit="1" customWidth="1"/>
    <col min="4" max="5" width="11.42578125" style="1" customWidth="1"/>
    <col min="6" max="7" width="11.42578125" style="217" customWidth="1"/>
    <col min="8" max="9" width="11.42578125" style="1" customWidth="1"/>
    <col min="10" max="11" width="11.42578125" style="217" customWidth="1"/>
    <col min="12" max="26" width="8.7109375" style="1"/>
    <col min="27" max="27" width="8.7109375" style="1" hidden="1" customWidth="1"/>
    <col min="28" max="28" width="10.42578125" style="1" hidden="1" customWidth="1"/>
    <col min="29" max="34" width="8.7109375" style="1" hidden="1" customWidth="1"/>
    <col min="35" max="16384" width="8.7109375" style="1"/>
  </cols>
  <sheetData>
    <row r="1" spans="1:34" ht="13.5" thickBot="1"/>
    <row r="2" spans="1:34" s="4" customFormat="1" ht="12.75" customHeight="1">
      <c r="B2" s="1450" t="s">
        <v>807</v>
      </c>
      <c r="C2" s="1608"/>
      <c r="D2" s="1565"/>
      <c r="E2" s="1458"/>
      <c r="F2" s="1458"/>
      <c r="G2" s="1458"/>
      <c r="H2" s="1458"/>
      <c r="I2" s="1458"/>
      <c r="J2" s="1458"/>
      <c r="K2" s="1459"/>
    </row>
    <row r="3" spans="1:34" s="4" customFormat="1" ht="15" customHeight="1">
      <c r="B3" s="1452"/>
      <c r="C3" s="1609"/>
      <c r="D3" s="1567"/>
      <c r="E3" s="1460"/>
      <c r="F3" s="1460"/>
      <c r="G3" s="1460"/>
      <c r="H3" s="1460"/>
      <c r="I3" s="1460"/>
      <c r="J3" s="1460"/>
      <c r="K3" s="1461"/>
      <c r="AA3" s="218"/>
      <c r="AB3" s="218"/>
    </row>
    <row r="4" spans="1:34" ht="15" customHeight="1" thickBot="1">
      <c r="B4" s="1484" t="str">
        <f>'General Overview'!G15</f>
        <v/>
      </c>
      <c r="C4" s="1610"/>
      <c r="D4" s="1631"/>
      <c r="E4" s="1632"/>
      <c r="F4" s="1632"/>
      <c r="G4" s="1632"/>
      <c r="H4" s="1632"/>
      <c r="I4" s="1632"/>
      <c r="J4" s="1632"/>
      <c r="K4" s="1633"/>
      <c r="AA4" s="217"/>
      <c r="AB4" s="217"/>
    </row>
    <row r="5" spans="1:34" s="3" customFormat="1" ht="15" customHeight="1">
      <c r="A5" s="1"/>
      <c r="B5" s="16" t="s">
        <v>827</v>
      </c>
      <c r="C5" s="87"/>
      <c r="D5" s="1354" t="s">
        <v>821</v>
      </c>
      <c r="E5" s="1334"/>
      <c r="F5" s="1334"/>
      <c r="G5" s="1634"/>
      <c r="H5" s="1611" t="s">
        <v>861</v>
      </c>
      <c r="I5" s="1611"/>
      <c r="J5" s="1611"/>
      <c r="K5" s="1517"/>
      <c r="AA5" s="219"/>
      <c r="AB5" s="219"/>
    </row>
    <row r="6" spans="1:34" s="3" customFormat="1" ht="15" customHeight="1">
      <c r="A6" s="1"/>
      <c r="B6" s="10"/>
      <c r="C6" s="45" t="s">
        <v>2570</v>
      </c>
      <c r="D6" s="1635"/>
      <c r="E6" s="1606"/>
      <c r="F6" s="1606"/>
      <c r="G6" s="1636"/>
      <c r="H6" s="1606"/>
      <c r="I6" s="1606"/>
      <c r="J6" s="1606"/>
      <c r="K6" s="1607"/>
    </row>
    <row r="7" spans="1:34" s="3" customFormat="1" ht="15" customHeight="1">
      <c r="A7" s="1"/>
      <c r="B7" s="10"/>
      <c r="C7" s="24" t="s">
        <v>2568</v>
      </c>
      <c r="D7" s="1604"/>
      <c r="E7" s="1605"/>
      <c r="F7" s="1605"/>
      <c r="G7" s="1637"/>
      <c r="H7" s="1612"/>
      <c r="I7" s="1605"/>
      <c r="J7" s="1605"/>
      <c r="K7" s="1613"/>
    </row>
    <row r="8" spans="1:34" s="3" customFormat="1" ht="15" customHeight="1">
      <c r="A8" s="1"/>
      <c r="B8" s="10"/>
      <c r="C8" s="24" t="s">
        <v>2591</v>
      </c>
      <c r="D8" s="1604"/>
      <c r="E8" s="1605"/>
      <c r="F8" s="1605"/>
      <c r="G8" s="1637"/>
      <c r="H8" s="1605"/>
      <c r="I8" s="1605"/>
      <c r="J8" s="1605"/>
      <c r="K8" s="1613"/>
    </row>
    <row r="9" spans="1:34" s="3" customFormat="1" ht="15" customHeight="1" thickBot="1">
      <c r="A9" s="1"/>
      <c r="B9" s="10"/>
      <c r="C9" s="24" t="s">
        <v>2569</v>
      </c>
      <c r="D9" s="1614"/>
      <c r="E9" s="1615"/>
      <c r="F9" s="1615"/>
      <c r="G9" s="1615"/>
      <c r="H9" s="1615"/>
      <c r="I9" s="1615"/>
      <c r="J9" s="1615"/>
      <c r="K9" s="1616"/>
      <c r="L9" s="1019"/>
      <c r="M9" s="1019"/>
      <c r="N9" s="1019"/>
      <c r="O9" s="1019"/>
      <c r="P9" s="1019"/>
      <c r="Q9" s="1019"/>
      <c r="R9" s="1019"/>
      <c r="S9" s="1019"/>
      <c r="T9" s="1019"/>
      <c r="U9" s="1019"/>
      <c r="V9" s="1019"/>
      <c r="W9" s="1019"/>
      <c r="X9" s="1019"/>
      <c r="Y9" s="1019"/>
      <c r="Z9" s="1019"/>
    </row>
    <row r="10" spans="1:34" s="3" customFormat="1" ht="15" customHeight="1" thickBot="1">
      <c r="A10" s="1"/>
      <c r="B10" s="1395" t="s">
        <v>835</v>
      </c>
      <c r="C10" s="1403"/>
      <c r="D10" s="1416">
        <f>IF(COUNTIF(D7:K8,"FAIL")&gt;0,-2,IF(D9="Fail",-1,0))</f>
        <v>0</v>
      </c>
      <c r="E10" s="1417"/>
      <c r="F10" s="1417"/>
      <c r="G10" s="1417"/>
      <c r="H10" s="1417"/>
      <c r="I10" s="1417"/>
      <c r="J10" s="1417"/>
      <c r="K10" s="1419"/>
    </row>
    <row r="11" spans="1:34" s="3" customFormat="1" ht="15" customHeight="1" thickBot="1">
      <c r="A11" s="1"/>
      <c r="B11" s="1"/>
      <c r="C11" s="4"/>
      <c r="D11" s="1"/>
      <c r="E11" s="1"/>
      <c r="F11" s="217"/>
      <c r="G11" s="217"/>
      <c r="H11" s="1"/>
      <c r="I11" s="1"/>
      <c r="J11" s="217"/>
      <c r="K11" s="217"/>
    </row>
    <row r="12" spans="1:34" s="3" customFormat="1" ht="15" customHeight="1">
      <c r="A12" s="1"/>
      <c r="B12" s="16" t="s">
        <v>808</v>
      </c>
      <c r="C12" s="87"/>
      <c r="D12" s="1499" t="s">
        <v>809</v>
      </c>
      <c r="E12" s="1500"/>
      <c r="F12" s="1496" t="s">
        <v>810</v>
      </c>
      <c r="G12" s="1500"/>
      <c r="H12" s="1496" t="s">
        <v>678</v>
      </c>
      <c r="I12" s="1500"/>
      <c r="J12" s="1624" t="s">
        <v>833</v>
      </c>
      <c r="K12" s="1497"/>
    </row>
    <row r="13" spans="1:34" s="3" customFormat="1" ht="15" customHeight="1">
      <c r="A13" s="1"/>
      <c r="B13" s="8"/>
      <c r="C13" s="224"/>
      <c r="D13" s="511" t="s">
        <v>649</v>
      </c>
      <c r="E13" s="510" t="s">
        <v>650</v>
      </c>
      <c r="F13" s="512" t="s">
        <v>649</v>
      </c>
      <c r="G13" s="510" t="s">
        <v>650</v>
      </c>
      <c r="H13" s="512" t="s">
        <v>649</v>
      </c>
      <c r="I13" s="510" t="s">
        <v>650</v>
      </c>
      <c r="J13" s="512" t="s">
        <v>649</v>
      </c>
      <c r="K13" s="508" t="s">
        <v>650</v>
      </c>
    </row>
    <row r="14" spans="1:34" s="3" customFormat="1" ht="15" customHeight="1">
      <c r="A14" s="1"/>
      <c r="B14" s="8"/>
      <c r="C14" s="224" t="s">
        <v>836</v>
      </c>
      <c r="D14" s="511"/>
      <c r="E14" s="510"/>
      <c r="F14" s="512"/>
      <c r="G14" s="510"/>
      <c r="H14" s="512"/>
      <c r="I14" s="510"/>
      <c r="J14" s="512"/>
      <c r="K14" s="508"/>
    </row>
    <row r="15" spans="1:34" s="3" customFormat="1" ht="15" customHeight="1">
      <c r="A15" s="1"/>
      <c r="B15" s="8"/>
      <c r="C15" s="225" t="s">
        <v>81</v>
      </c>
      <c r="D15" s="942"/>
      <c r="E15" s="940"/>
      <c r="F15" s="943"/>
      <c r="G15" s="940"/>
      <c r="H15" s="1010">
        <v>0</v>
      </c>
      <c r="I15" s="940"/>
      <c r="J15" s="1010">
        <v>0</v>
      </c>
      <c r="K15" s="941"/>
      <c r="AA15" s="1072" t="str">
        <f>IF(D15="","",D15)</f>
        <v/>
      </c>
      <c r="AB15" s="1073" t="str">
        <f t="shared" ref="AB15:AH16" si="0">IF(E15="","",E15)</f>
        <v/>
      </c>
      <c r="AC15" s="1073" t="str">
        <f t="shared" si="0"/>
        <v/>
      </c>
      <c r="AD15" s="1073" t="str">
        <f t="shared" si="0"/>
        <v/>
      </c>
      <c r="AE15" s="1073" t="s">
        <v>2706</v>
      </c>
      <c r="AF15" s="1073" t="str">
        <f t="shared" si="0"/>
        <v/>
      </c>
      <c r="AG15" s="1073" t="s">
        <v>2706</v>
      </c>
      <c r="AH15" s="1074" t="str">
        <f t="shared" si="0"/>
        <v/>
      </c>
    </row>
    <row r="16" spans="1:34" s="3" customFormat="1" ht="15" customHeight="1" thickBot="1">
      <c r="A16" s="1"/>
      <c r="B16" s="8"/>
      <c r="C16" s="225" t="s">
        <v>822</v>
      </c>
      <c r="D16" s="944"/>
      <c r="E16" s="940"/>
      <c r="F16" s="946"/>
      <c r="G16" s="945"/>
      <c r="H16" s="1011">
        <v>0</v>
      </c>
      <c r="I16" s="945"/>
      <c r="J16" s="1011">
        <v>0</v>
      </c>
      <c r="K16" s="941"/>
      <c r="AA16" s="1075" t="str">
        <f>IF(D16="","",D16)</f>
        <v/>
      </c>
      <c r="AB16" s="1076" t="str">
        <f t="shared" si="0"/>
        <v/>
      </c>
      <c r="AC16" s="1076" t="str">
        <f t="shared" si="0"/>
        <v/>
      </c>
      <c r="AD16" s="1076" t="str">
        <f t="shared" si="0"/>
        <v/>
      </c>
      <c r="AE16" s="1076" t="s">
        <v>2706</v>
      </c>
      <c r="AF16" s="1076" t="str">
        <f t="shared" si="0"/>
        <v/>
      </c>
      <c r="AG16" s="1076" t="s">
        <v>2706</v>
      </c>
      <c r="AH16" s="1077" t="str">
        <f t="shared" si="0"/>
        <v/>
      </c>
    </row>
    <row r="17" spans="1:34" ht="15" customHeight="1" thickBot="1">
      <c r="B17" s="1393" t="s">
        <v>830</v>
      </c>
      <c r="C17" s="1483"/>
      <c r="D17" s="1621" cm="1">
        <f t="array" ref="D17">IF(OR(AutoDoorLockRange="",AutoDoorLockRange="Fail"),-1,0)</f>
        <v>-1</v>
      </c>
      <c r="E17" s="1622"/>
      <c r="F17" s="1622"/>
      <c r="G17" s="1622"/>
      <c r="H17" s="1622"/>
      <c r="I17" s="1622"/>
      <c r="J17" s="1622"/>
      <c r="K17" s="1623"/>
    </row>
    <row r="18" spans="1:34" s="3" customFormat="1" ht="15" customHeight="1">
      <c r="A18" s="1"/>
      <c r="B18" s="8"/>
      <c r="C18" s="224"/>
      <c r="D18" s="511" t="s">
        <v>649</v>
      </c>
      <c r="E18" s="510" t="s">
        <v>650</v>
      </c>
      <c r="F18" s="512" t="s">
        <v>649</v>
      </c>
      <c r="G18" s="510" t="s">
        <v>650</v>
      </c>
      <c r="H18" s="512" t="s">
        <v>649</v>
      </c>
      <c r="I18" s="510" t="s">
        <v>650</v>
      </c>
      <c r="J18" s="513" t="s">
        <v>649</v>
      </c>
      <c r="K18" s="508" t="s">
        <v>650</v>
      </c>
    </row>
    <row r="19" spans="1:34" s="3" customFormat="1" ht="15" customHeight="1">
      <c r="A19" s="1"/>
      <c r="B19" s="8"/>
      <c r="C19" s="224" t="s">
        <v>828</v>
      </c>
      <c r="D19" s="511"/>
      <c r="E19" s="510"/>
      <c r="F19" s="512"/>
      <c r="G19" s="510"/>
      <c r="H19" s="512"/>
      <c r="I19" s="510"/>
      <c r="J19" s="512"/>
      <c r="K19" s="508"/>
    </row>
    <row r="20" spans="1:34" s="3" customFormat="1" ht="15" customHeight="1">
      <c r="A20" s="1"/>
      <c r="B20" s="8"/>
      <c r="C20" s="225" t="s">
        <v>81</v>
      </c>
      <c r="D20" s="1107"/>
      <c r="E20" s="1108"/>
      <c r="F20" s="1109"/>
      <c r="G20" s="1108"/>
      <c r="H20" s="1010"/>
      <c r="I20" s="1012"/>
      <c r="J20" s="1010"/>
      <c r="K20" s="1013"/>
      <c r="AA20" s="1072" t="str">
        <f>IF(D20="","",D20)</f>
        <v/>
      </c>
      <c r="AB20" s="1073" t="str">
        <f t="shared" ref="AB20:AB21" si="1">IF(E20="","",E20)</f>
        <v/>
      </c>
      <c r="AC20" s="1073" t="str">
        <f t="shared" ref="AC20:AC21" si="2">IF(F20="","",F20)</f>
        <v/>
      </c>
      <c r="AD20" s="1073" t="str">
        <f t="shared" ref="AD20:AD21" si="3">IF(G20="","",G20)</f>
        <v/>
      </c>
      <c r="AE20" s="1073" t="s">
        <v>2706</v>
      </c>
      <c r="AF20" s="1073" t="str">
        <f t="shared" ref="AF20:AF21" si="4">IF(I20="","",I20)</f>
        <v/>
      </c>
      <c r="AG20" s="1073" t="s">
        <v>2706</v>
      </c>
      <c r="AH20" s="1074" t="str">
        <f t="shared" ref="AH20:AH21" si="5">IF(K20="","",K20)</f>
        <v/>
      </c>
    </row>
    <row r="21" spans="1:34" s="3" customFormat="1" ht="15" customHeight="1" thickBot="1">
      <c r="A21" s="1"/>
      <c r="B21" s="8"/>
      <c r="C21" s="225" t="s">
        <v>822</v>
      </c>
      <c r="D21" s="1110"/>
      <c r="E21" s="1111"/>
      <c r="F21" s="1112"/>
      <c r="G21" s="1111"/>
      <c r="H21" s="1011"/>
      <c r="I21" s="1014"/>
      <c r="J21" s="1011"/>
      <c r="K21" s="1013"/>
      <c r="AA21" s="1075" t="str">
        <f>IF(D21="","",D21)</f>
        <v/>
      </c>
      <c r="AB21" s="1076" t="str">
        <f t="shared" si="1"/>
        <v/>
      </c>
      <c r="AC21" s="1076" t="str">
        <f t="shared" si="2"/>
        <v/>
      </c>
      <c r="AD21" s="1076" t="str">
        <f t="shared" si="3"/>
        <v/>
      </c>
      <c r="AE21" s="1076" t="s">
        <v>2706</v>
      </c>
      <c r="AF21" s="1076" t="str">
        <f t="shared" si="4"/>
        <v/>
      </c>
      <c r="AG21" s="1076" t="s">
        <v>2706</v>
      </c>
      <c r="AH21" s="1077" t="str">
        <f t="shared" si="5"/>
        <v/>
      </c>
    </row>
    <row r="22" spans="1:34" ht="15" customHeight="1" thickBot="1">
      <c r="B22" s="1393" t="s">
        <v>1004</v>
      </c>
      <c r="C22" s="1483"/>
      <c r="D22" s="1621" cm="1">
        <f t="array" ref="D22">IF(OR(DoorForcesRange="",DoorForcesRange="Tools",DoorForcesRange&gt;750),-1,0)</f>
        <v>-1</v>
      </c>
      <c r="E22" s="1622"/>
      <c r="F22" s="1622"/>
      <c r="G22" s="1622"/>
      <c r="H22" s="1622"/>
      <c r="I22" s="1622"/>
      <c r="J22" s="1622"/>
      <c r="K22" s="1623"/>
    </row>
    <row r="23" spans="1:34" s="3" customFormat="1" ht="15" customHeight="1">
      <c r="A23" s="1"/>
      <c r="B23" s="8"/>
      <c r="C23" s="224"/>
      <c r="D23" s="511" t="s">
        <v>649</v>
      </c>
      <c r="E23" s="510" t="s">
        <v>650</v>
      </c>
      <c r="F23" s="512" t="s">
        <v>649</v>
      </c>
      <c r="G23" s="510" t="s">
        <v>650</v>
      </c>
      <c r="H23" s="512" t="s">
        <v>649</v>
      </c>
      <c r="I23" s="510" t="s">
        <v>650</v>
      </c>
      <c r="J23" s="513" t="s">
        <v>649</v>
      </c>
      <c r="K23" s="508" t="s">
        <v>650</v>
      </c>
    </row>
    <row r="24" spans="1:34" s="3" customFormat="1" ht="15" customHeight="1">
      <c r="A24" s="1"/>
      <c r="B24" s="8"/>
      <c r="C24" s="509" t="s">
        <v>829</v>
      </c>
      <c r="D24" s="511"/>
      <c r="E24" s="510"/>
      <c r="F24" s="512"/>
      <c r="G24" s="510"/>
      <c r="H24" s="512"/>
      <c r="I24" s="510"/>
      <c r="J24" s="512"/>
      <c r="K24" s="508"/>
    </row>
    <row r="25" spans="1:34" s="3" customFormat="1" ht="15" customHeight="1">
      <c r="A25" s="1"/>
      <c r="B25" s="8"/>
      <c r="C25" s="225" t="s">
        <v>81</v>
      </c>
      <c r="D25" s="942"/>
      <c r="E25" s="940"/>
      <c r="F25" s="943"/>
      <c r="G25" s="940"/>
      <c r="H25" s="1010"/>
      <c r="I25" s="940"/>
      <c r="J25" s="1010"/>
      <c r="K25" s="941"/>
      <c r="AA25" s="1072" t="str">
        <f>IF(D25="","",D25)</f>
        <v/>
      </c>
      <c r="AB25" s="1073" t="str">
        <f t="shared" ref="AB25:AH26" si="6">IF(E25="","",E25)</f>
        <v/>
      </c>
      <c r="AC25" s="1073" t="str">
        <f t="shared" si="6"/>
        <v/>
      </c>
      <c r="AD25" s="1073" t="str">
        <f t="shared" si="6"/>
        <v/>
      </c>
      <c r="AE25" s="1073" t="s">
        <v>2706</v>
      </c>
      <c r="AF25" s="1073" t="str">
        <f t="shared" si="6"/>
        <v/>
      </c>
      <c r="AG25" s="1073" t="s">
        <v>2706</v>
      </c>
      <c r="AH25" s="1074" t="str">
        <f t="shared" si="6"/>
        <v/>
      </c>
    </row>
    <row r="26" spans="1:34" s="3" customFormat="1" ht="15" customHeight="1" thickBot="1">
      <c r="A26" s="1"/>
      <c r="B26" s="8"/>
      <c r="C26" s="225" t="s">
        <v>822</v>
      </c>
      <c r="D26" s="944"/>
      <c r="E26" s="945"/>
      <c r="F26" s="946"/>
      <c r="G26" s="945"/>
      <c r="H26" s="1011"/>
      <c r="I26" s="945"/>
      <c r="J26" s="1011"/>
      <c r="K26" s="941"/>
      <c r="AA26" s="1075" t="str">
        <f>IF(D26="","",D26)</f>
        <v/>
      </c>
      <c r="AB26" s="1076" t="str">
        <f t="shared" si="6"/>
        <v/>
      </c>
      <c r="AC26" s="1076" t="str">
        <f t="shared" si="6"/>
        <v/>
      </c>
      <c r="AD26" s="1076" t="str">
        <f t="shared" si="6"/>
        <v/>
      </c>
      <c r="AE26" s="1076" t="s">
        <v>2706</v>
      </c>
      <c r="AF26" s="1076" t="str">
        <f t="shared" si="6"/>
        <v/>
      </c>
      <c r="AG26" s="1076" t="s">
        <v>2706</v>
      </c>
      <c r="AH26" s="1077" t="str">
        <f t="shared" si="6"/>
        <v/>
      </c>
    </row>
    <row r="27" spans="1:34" ht="15" customHeight="1" thickBot="1">
      <c r="B27" s="1393" t="s">
        <v>832</v>
      </c>
      <c r="C27" s="1483"/>
      <c r="D27" s="1621" cm="1">
        <f t="array" ref="D27">IF(OR(OR(RetractHandlesRange=""),OR(RetractHandlesRange="Fail")),-1,0)</f>
        <v>-1</v>
      </c>
      <c r="E27" s="1622"/>
      <c r="F27" s="1622"/>
      <c r="G27" s="1622"/>
      <c r="H27" s="1622"/>
      <c r="I27" s="1622"/>
      <c r="J27" s="1622"/>
      <c r="K27" s="1623"/>
    </row>
    <row r="28" spans="1:34" s="3" customFormat="1" ht="15" customHeight="1">
      <c r="A28" s="1"/>
      <c r="B28" s="8"/>
      <c r="C28" s="224"/>
      <c r="D28" s="511" t="s">
        <v>649</v>
      </c>
      <c r="E28" s="510" t="s">
        <v>650</v>
      </c>
      <c r="F28" s="512" t="s">
        <v>649</v>
      </c>
      <c r="G28" s="510" t="s">
        <v>650</v>
      </c>
      <c r="H28" s="512" t="s">
        <v>649</v>
      </c>
      <c r="I28" s="510" t="s">
        <v>650</v>
      </c>
      <c r="J28" s="513" t="s">
        <v>649</v>
      </c>
      <c r="K28" s="508" t="s">
        <v>650</v>
      </c>
    </row>
    <row r="29" spans="1:34" s="3" customFormat="1" ht="15" customHeight="1">
      <c r="A29" s="1"/>
      <c r="B29" s="8"/>
      <c r="C29" s="509" t="s">
        <v>834</v>
      </c>
      <c r="D29" s="511"/>
      <c r="E29" s="510"/>
      <c r="F29" s="512"/>
      <c r="G29" s="510"/>
      <c r="H29" s="512"/>
      <c r="I29" s="510"/>
      <c r="J29" s="512"/>
      <c r="K29" s="508"/>
      <c r="L29" s="629"/>
      <c r="M29" s="629"/>
      <c r="N29" s="629"/>
      <c r="O29" s="629"/>
      <c r="P29" s="629"/>
      <c r="Q29" s="629"/>
      <c r="R29" s="629"/>
      <c r="S29" s="629"/>
      <c r="T29" s="629"/>
      <c r="U29" s="629"/>
      <c r="V29" s="629"/>
      <c r="W29" s="629"/>
      <c r="X29" s="629"/>
      <c r="Y29" s="629"/>
      <c r="Z29" s="629"/>
      <c r="AA29" s="629"/>
      <c r="AB29" s="629"/>
      <c r="AC29" s="629"/>
      <c r="AD29" s="629"/>
      <c r="AE29" s="629"/>
      <c r="AF29" s="629"/>
    </row>
    <row r="30" spans="1:34" s="3" customFormat="1" ht="15" customHeight="1">
      <c r="A30" s="1"/>
      <c r="B30" s="8"/>
      <c r="C30" s="225" t="s">
        <v>81</v>
      </c>
      <c r="D30" s="942"/>
      <c r="E30" s="1012"/>
      <c r="F30" s="943"/>
      <c r="G30" s="1015"/>
      <c r="H30" s="943"/>
      <c r="I30" s="1015"/>
      <c r="J30" s="943"/>
      <c r="K30" s="1016"/>
      <c r="L30" s="629"/>
      <c r="M30" s="629"/>
      <c r="N30" s="629"/>
      <c r="O30" s="629"/>
      <c r="P30" s="629"/>
      <c r="Q30" s="629"/>
      <c r="R30" s="629"/>
      <c r="S30" s="629"/>
      <c r="T30" s="629"/>
      <c r="U30" s="629"/>
      <c r="V30" s="629"/>
      <c r="W30" s="629"/>
      <c r="X30" s="629"/>
      <c r="Y30" s="629"/>
      <c r="Z30" s="629"/>
      <c r="AA30" s="1072" t="str">
        <f>IF(D30="","",VALUE(D30))</f>
        <v/>
      </c>
      <c r="AB30" s="1073" t="str">
        <f t="shared" ref="AB30:AG30" si="7">IF(E30="","",VALUE(E30))</f>
        <v/>
      </c>
      <c r="AC30" s="1073" t="str">
        <f t="shared" si="7"/>
        <v/>
      </c>
      <c r="AD30" s="1073">
        <v>1</v>
      </c>
      <c r="AE30" s="1073" t="str">
        <f t="shared" si="7"/>
        <v/>
      </c>
      <c r="AF30" s="1073">
        <v>1</v>
      </c>
      <c r="AG30" s="1073" t="str">
        <f t="shared" si="7"/>
        <v/>
      </c>
      <c r="AH30" s="1074">
        <v>1</v>
      </c>
    </row>
    <row r="31" spans="1:34" s="3" customFormat="1" ht="15" customHeight="1" thickBot="1">
      <c r="A31" s="1"/>
      <c r="B31" s="8"/>
      <c r="C31" s="225" t="s">
        <v>822</v>
      </c>
      <c r="D31" s="944"/>
      <c r="E31" s="1014"/>
      <c r="F31" s="1017"/>
      <c r="G31" s="1014"/>
      <c r="H31" s="946"/>
      <c r="I31" s="1014"/>
      <c r="J31" s="1017"/>
      <c r="K31" s="1018"/>
      <c r="L31" s="629"/>
      <c r="M31" s="629"/>
      <c r="N31" s="629"/>
      <c r="O31" s="629"/>
      <c r="P31" s="629"/>
      <c r="Q31" s="629"/>
      <c r="R31" s="629"/>
      <c r="S31" s="629"/>
      <c r="T31" s="629"/>
      <c r="U31" s="629"/>
      <c r="V31" s="629"/>
      <c r="W31" s="629"/>
      <c r="X31" s="629"/>
      <c r="Y31" s="629"/>
      <c r="Z31" s="629"/>
      <c r="AA31" s="1075" t="str">
        <f>IF(D31="","",VALUE(D31))</f>
        <v/>
      </c>
      <c r="AB31" s="1076" t="str">
        <f t="shared" ref="AB31" si="8">IF(E31="","",VALUE(E31))</f>
        <v/>
      </c>
      <c r="AC31" s="1076">
        <v>1</v>
      </c>
      <c r="AD31" s="1076" t="str">
        <f t="shared" ref="AD31" si="9">IF(G31="","",VALUE(G31))</f>
        <v/>
      </c>
      <c r="AE31" s="1076" t="str">
        <f t="shared" ref="AE31" si="10">IF(H31="","",VALUE(H31))</f>
        <v/>
      </c>
      <c r="AF31" s="1076" t="str">
        <f t="shared" ref="AF31" si="11">IF(I31="","",VALUE(I31))</f>
        <v/>
      </c>
      <c r="AG31" s="1076">
        <v>1</v>
      </c>
      <c r="AH31" s="1077">
        <v>1</v>
      </c>
    </row>
    <row r="32" spans="1:34" ht="15" customHeight="1" thickBot="1">
      <c r="B32" s="1393" t="s">
        <v>831</v>
      </c>
      <c r="C32" s="1483"/>
      <c r="D32" s="1621" cm="1">
        <f t="array" ref="D32">IF(NOT(AND(AND(FrontBeltUnlatchingRange&lt;=60),AND(SideBeltUnlatchingRange&lt;=100))),-1,0)</f>
        <v>-1</v>
      </c>
      <c r="E32" s="1622"/>
      <c r="F32" s="1622"/>
      <c r="G32" s="1622"/>
      <c r="H32" s="1622"/>
      <c r="I32" s="1622"/>
      <c r="J32" s="1622"/>
      <c r="K32" s="1623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</row>
    <row r="33" spans="1:27" s="3" customFormat="1" ht="15" customHeight="1" thickBot="1">
      <c r="A33" s="1"/>
      <c r="B33" s="1499"/>
      <c r="C33" s="1624"/>
      <c r="D33" s="1624"/>
      <c r="E33" s="1624"/>
      <c r="F33" s="1624"/>
      <c r="G33" s="1624"/>
      <c r="H33" s="1624"/>
      <c r="I33" s="1624"/>
      <c r="J33" s="1624"/>
      <c r="K33" s="1497"/>
    </row>
    <row r="34" spans="1:27" s="3" customFormat="1" ht="15" customHeight="1" thickBot="1">
      <c r="A34" s="1"/>
      <c r="B34" s="1393" t="s">
        <v>2572</v>
      </c>
      <c r="C34" s="1483"/>
      <c r="D34" s="1625"/>
      <c r="E34" s="1626"/>
      <c r="F34" s="1626"/>
      <c r="G34" s="1626"/>
      <c r="H34" s="1626"/>
      <c r="I34" s="1626"/>
      <c r="J34" s="1626"/>
      <c r="K34" s="1627"/>
    </row>
    <row r="35" spans="1:27" s="3" customFormat="1" ht="15" customHeight="1" thickBot="1">
      <c r="A35" s="1"/>
      <c r="B35" s="22"/>
      <c r="C35" s="743"/>
      <c r="D35" s="744"/>
      <c r="E35" s="744"/>
      <c r="F35" s="744"/>
      <c r="G35" s="744"/>
      <c r="H35" s="744"/>
      <c r="I35" s="744"/>
      <c r="J35" s="744"/>
      <c r="K35" s="745"/>
    </row>
    <row r="36" spans="1:27" s="3" customFormat="1" ht="15" customHeight="1" thickBot="1">
      <c r="A36" s="1"/>
      <c r="B36" s="1393" t="s">
        <v>2571</v>
      </c>
      <c r="C36" s="1483"/>
      <c r="D36" s="1625"/>
      <c r="E36" s="1626"/>
      <c r="F36" s="1626"/>
      <c r="G36" s="1626"/>
      <c r="H36" s="1626"/>
      <c r="I36" s="1626"/>
      <c r="J36" s="1626"/>
      <c r="K36" s="1627"/>
    </row>
    <row r="37" spans="1:27" s="3" customFormat="1" ht="15" customHeight="1" thickBot="1">
      <c r="A37" s="1"/>
      <c r="B37" s="6"/>
      <c r="C37" s="238"/>
      <c r="D37" s="747"/>
      <c r="E37" s="747"/>
      <c r="F37" s="747"/>
      <c r="G37" s="747"/>
      <c r="H37" s="747"/>
      <c r="I37" s="747"/>
      <c r="J37" s="747"/>
      <c r="K37" s="748"/>
    </row>
    <row r="38" spans="1:27" s="3" customFormat="1" ht="15" customHeight="1" thickBot="1">
      <c r="A38" s="1"/>
      <c r="B38" s="1395" t="s">
        <v>823</v>
      </c>
      <c r="C38" s="1403"/>
      <c r="D38" s="1416">
        <f>IF(OR(D34="Fail",D36="Fail"),-1,MIN(D17,D22,D27,D32))</f>
        <v>-1</v>
      </c>
      <c r="E38" s="1417"/>
      <c r="F38" s="1417"/>
      <c r="G38" s="1417"/>
      <c r="H38" s="1417"/>
      <c r="I38" s="1417"/>
      <c r="J38" s="1417"/>
      <c r="K38" s="1419"/>
    </row>
    <row r="39" spans="1:27" s="3" customFormat="1" ht="15" customHeight="1" thickBot="1">
      <c r="A39" s="1"/>
      <c r="B39" s="1"/>
      <c r="C39" s="4"/>
      <c r="D39" s="1"/>
      <c r="E39" s="1"/>
      <c r="F39" s="217"/>
      <c r="G39" s="217"/>
      <c r="H39" s="1"/>
      <c r="I39" s="1"/>
      <c r="J39" s="217"/>
      <c r="K39" s="217"/>
    </row>
    <row r="40" spans="1:27" s="3" customFormat="1" ht="15" customHeight="1">
      <c r="A40" s="1"/>
      <c r="B40" s="16" t="s">
        <v>811</v>
      </c>
      <c r="C40" s="87"/>
      <c r="D40" s="1425"/>
      <c r="E40" s="1426"/>
      <c r="F40" s="1426"/>
      <c r="G40" s="1426"/>
      <c r="H40" s="1426"/>
      <c r="I40" s="1426"/>
      <c r="J40" s="1426"/>
      <c r="K40" s="1427"/>
    </row>
    <row r="41" spans="1:27" s="3" customFormat="1" ht="15" customHeight="1">
      <c r="A41" s="1"/>
      <c r="B41" s="8"/>
      <c r="C41" s="224" t="s">
        <v>812</v>
      </c>
      <c r="D41" s="1336"/>
      <c r="E41" s="1428"/>
      <c r="F41" s="1428"/>
      <c r="G41" s="1428"/>
      <c r="H41" s="1428"/>
      <c r="I41" s="1428"/>
      <c r="J41" s="1428"/>
      <c r="K41" s="1337"/>
    </row>
    <row r="42" spans="1:27" s="3" customFormat="1" ht="15" customHeight="1">
      <c r="A42" s="1"/>
      <c r="B42" s="8"/>
      <c r="C42" s="225" t="s">
        <v>813</v>
      </c>
      <c r="D42" s="1604"/>
      <c r="E42" s="1605"/>
      <c r="F42" s="1605"/>
      <c r="G42" s="1605"/>
      <c r="H42" s="1606">
        <f>IF(D42="PASS",0.5,0)</f>
        <v>0</v>
      </c>
      <c r="I42" s="1606"/>
      <c r="J42" s="1606"/>
      <c r="K42" s="1607"/>
    </row>
    <row r="43" spans="1:27" s="3" customFormat="1" ht="15" customHeight="1" thickBot="1">
      <c r="A43" s="1"/>
      <c r="B43" s="8"/>
      <c r="C43" s="225" t="s">
        <v>814</v>
      </c>
      <c r="D43" s="1604"/>
      <c r="E43" s="1605"/>
      <c r="F43" s="1605"/>
      <c r="G43" s="1605"/>
      <c r="H43" s="1606">
        <f>IF(D43="PASS",0.5,0)</f>
        <v>0</v>
      </c>
      <c r="I43" s="1606"/>
      <c r="J43" s="1606"/>
      <c r="K43" s="1607"/>
    </row>
    <row r="44" spans="1:27" s="3" customFormat="1" ht="15" hidden="1" customHeight="1" thickBot="1">
      <c r="A44" s="1"/>
      <c r="B44" s="8"/>
      <c r="C44" s="225" t="s">
        <v>2573</v>
      </c>
      <c r="D44" s="1604"/>
      <c r="E44" s="1605"/>
      <c r="F44" s="1605"/>
      <c r="G44" s="1605"/>
      <c r="H44" s="1606"/>
      <c r="I44" s="1606"/>
      <c r="J44" s="1606"/>
      <c r="K44" s="1607"/>
    </row>
    <row r="45" spans="1:27" s="3" customFormat="1" ht="15" customHeight="1" thickBot="1">
      <c r="A45" s="1"/>
      <c r="B45" s="1393" t="s">
        <v>2574</v>
      </c>
      <c r="C45" s="1483"/>
      <c r="D45" s="1601">
        <f>SUM(H42:K43)</f>
        <v>0</v>
      </c>
      <c r="E45" s="1602"/>
      <c r="F45" s="1602"/>
      <c r="G45" s="1602"/>
      <c r="H45" s="1602"/>
      <c r="I45" s="1602"/>
      <c r="J45" s="1602"/>
      <c r="K45" s="1603"/>
      <c r="AA45" s="746"/>
    </row>
    <row r="46" spans="1:27" s="3" customFormat="1" ht="15" customHeight="1">
      <c r="A46" s="1"/>
      <c r="B46" s="8"/>
      <c r="C46" s="225"/>
      <c r="D46" s="1336"/>
      <c r="E46" s="1428"/>
      <c r="F46" s="1428"/>
      <c r="G46" s="1428"/>
      <c r="H46" s="1428"/>
      <c r="I46" s="1428"/>
      <c r="J46" s="1428"/>
      <c r="K46" s="1337"/>
      <c r="AA46" s="746"/>
    </row>
    <row r="47" spans="1:27" s="3" customFormat="1" ht="15" customHeight="1">
      <c r="A47" s="1"/>
      <c r="B47" s="8"/>
      <c r="C47" s="224" t="s">
        <v>2575</v>
      </c>
      <c r="D47" s="1336"/>
      <c r="E47" s="1428"/>
      <c r="F47" s="1428"/>
      <c r="G47" s="1428"/>
      <c r="H47" s="1428"/>
      <c r="I47" s="1428"/>
      <c r="J47" s="1428"/>
      <c r="K47" s="1337"/>
      <c r="AA47" s="746"/>
    </row>
    <row r="48" spans="1:27" s="3" customFormat="1" ht="15" customHeight="1">
      <c r="A48" s="1"/>
      <c r="B48" s="8"/>
      <c r="C48" s="225" t="s">
        <v>2576</v>
      </c>
      <c r="D48" s="1604"/>
      <c r="E48" s="1605"/>
      <c r="F48" s="1605"/>
      <c r="G48" s="1605"/>
      <c r="H48" s="1606">
        <f>IF(D48="PASS",0.5,0)</f>
        <v>0</v>
      </c>
      <c r="I48" s="1606"/>
      <c r="J48" s="1606"/>
      <c r="K48" s="1607"/>
      <c r="AA48" s="746"/>
    </row>
    <row r="49" spans="1:27" s="3" customFormat="1" ht="15" customHeight="1">
      <c r="A49" s="1"/>
      <c r="B49" s="8"/>
      <c r="C49" s="225" t="s">
        <v>2577</v>
      </c>
      <c r="D49" s="1604"/>
      <c r="E49" s="1605"/>
      <c r="F49" s="1605"/>
      <c r="G49" s="1605"/>
      <c r="H49" s="1606">
        <f t="shared" ref="H49:H52" si="12">IF(D49="PASS",0.5,0)</f>
        <v>0</v>
      </c>
      <c r="I49" s="1606"/>
      <c r="J49" s="1606"/>
      <c r="K49" s="1607"/>
      <c r="AA49" s="746"/>
    </row>
    <row r="50" spans="1:27" s="3" customFormat="1" ht="15" customHeight="1">
      <c r="A50" s="1"/>
      <c r="B50" s="8"/>
      <c r="C50" s="225" t="s">
        <v>2578</v>
      </c>
      <c r="D50" s="1604"/>
      <c r="E50" s="1605"/>
      <c r="F50" s="1605"/>
      <c r="G50" s="1605"/>
      <c r="H50" s="1606">
        <f t="shared" si="12"/>
        <v>0</v>
      </c>
      <c r="I50" s="1606"/>
      <c r="J50" s="1606"/>
      <c r="K50" s="1607"/>
      <c r="AA50" s="746"/>
    </row>
    <row r="51" spans="1:27" s="3" customFormat="1" ht="15" customHeight="1">
      <c r="A51" s="1"/>
      <c r="B51" s="8"/>
      <c r="C51" s="225" t="s">
        <v>2579</v>
      </c>
      <c r="D51" s="1604"/>
      <c r="E51" s="1605"/>
      <c r="F51" s="1605"/>
      <c r="G51" s="1605"/>
      <c r="H51" s="1606">
        <f t="shared" si="12"/>
        <v>0</v>
      </c>
      <c r="I51" s="1606"/>
      <c r="J51" s="1606"/>
      <c r="K51" s="1607"/>
      <c r="AA51" s="746"/>
    </row>
    <row r="52" spans="1:27" s="3" customFormat="1" ht="15" customHeight="1" thickBot="1">
      <c r="A52" s="1"/>
      <c r="B52" s="8"/>
      <c r="C52" s="225" t="s">
        <v>2580</v>
      </c>
      <c r="D52" s="1604"/>
      <c r="E52" s="1605"/>
      <c r="F52" s="1605"/>
      <c r="G52" s="1605"/>
      <c r="H52" s="1606">
        <f t="shared" si="12"/>
        <v>0</v>
      </c>
      <c r="I52" s="1606"/>
      <c r="J52" s="1606"/>
      <c r="K52" s="1607"/>
      <c r="AA52" s="746"/>
    </row>
    <row r="53" spans="1:27" s="3" customFormat="1" ht="15" customHeight="1" thickBot="1">
      <c r="A53" s="1"/>
      <c r="B53" s="1393" t="s">
        <v>2581</v>
      </c>
      <c r="C53" s="1483"/>
      <c r="D53" s="1601">
        <f>IF(COUNTIF(D48:G52,"Pass")&gt;=2,1,IF(COUNTIF(D48:G52,"Pass")=1,0.5,0))</f>
        <v>0</v>
      </c>
      <c r="E53" s="1602"/>
      <c r="F53" s="1602"/>
      <c r="G53" s="1602"/>
      <c r="H53" s="1602"/>
      <c r="I53" s="1602"/>
      <c r="J53" s="1602"/>
      <c r="K53" s="1603"/>
      <c r="AA53" s="746"/>
    </row>
    <row r="54" spans="1:27" s="3" customFormat="1" ht="15" customHeight="1">
      <c r="A54" s="1"/>
      <c r="B54" s="8"/>
      <c r="C54" s="225"/>
      <c r="D54" s="362"/>
      <c r="E54" s="621"/>
      <c r="F54" s="621"/>
      <c r="G54" s="621"/>
      <c r="H54" s="621"/>
      <c r="I54" s="621"/>
      <c r="J54" s="621"/>
      <c r="K54" s="622"/>
      <c r="AA54" s="746"/>
    </row>
    <row r="55" spans="1:27" s="3" customFormat="1" ht="15" customHeight="1">
      <c r="A55" s="1"/>
      <c r="B55" s="8"/>
      <c r="C55" s="224" t="s">
        <v>2582</v>
      </c>
      <c r="D55" s="362"/>
      <c r="E55" s="621"/>
      <c r="F55" s="621"/>
      <c r="G55" s="621"/>
      <c r="H55" s="621"/>
      <c r="I55" s="621"/>
      <c r="J55" s="621"/>
      <c r="K55" s="622"/>
      <c r="AA55" s="746"/>
    </row>
    <row r="56" spans="1:27" s="3" customFormat="1" ht="15" customHeight="1">
      <c r="A56" s="1"/>
      <c r="B56" s="8"/>
      <c r="C56" s="225" t="s">
        <v>2583</v>
      </c>
      <c r="D56" s="1604"/>
      <c r="E56" s="1605"/>
      <c r="F56" s="1605"/>
      <c r="G56" s="1605"/>
      <c r="H56" s="1606">
        <f>IF(D56="PASS",0.5,0)</f>
        <v>0</v>
      </c>
      <c r="I56" s="1606"/>
      <c r="J56" s="1606"/>
      <c r="K56" s="1607"/>
      <c r="AA56" s="746"/>
    </row>
    <row r="57" spans="1:27" s="3" customFormat="1" ht="15" customHeight="1" thickBot="1">
      <c r="A57" s="1"/>
      <c r="B57" s="8"/>
      <c r="C57" s="225" t="s">
        <v>2584</v>
      </c>
      <c r="D57" s="1604"/>
      <c r="E57" s="1605"/>
      <c r="F57" s="1605"/>
      <c r="G57" s="1605"/>
      <c r="H57" s="1606">
        <f t="shared" ref="H57" si="13">IF(D57="PASS",0.5,0)</f>
        <v>0</v>
      </c>
      <c r="I57" s="1606"/>
      <c r="J57" s="1606"/>
      <c r="K57" s="1607"/>
      <c r="AA57" s="746"/>
    </row>
    <row r="58" spans="1:27" s="3" customFormat="1" ht="15" customHeight="1" thickBot="1">
      <c r="A58" s="1"/>
      <c r="B58" s="1393" t="s">
        <v>2585</v>
      </c>
      <c r="C58" s="1483"/>
      <c r="D58" s="1601">
        <f>SUM(H56:K57)</f>
        <v>0</v>
      </c>
      <c r="E58" s="1602"/>
      <c r="F58" s="1602"/>
      <c r="G58" s="1602"/>
      <c r="H58" s="1602"/>
      <c r="I58" s="1602"/>
      <c r="J58" s="1602"/>
      <c r="K58" s="1603"/>
      <c r="AA58" s="746"/>
    </row>
    <row r="59" spans="1:27" s="3" customFormat="1" ht="15" customHeight="1">
      <c r="A59" s="1"/>
      <c r="B59" s="8"/>
      <c r="C59" s="225"/>
      <c r="D59" s="1336"/>
      <c r="E59" s="1428"/>
      <c r="F59" s="1428"/>
      <c r="G59" s="1428"/>
      <c r="H59" s="1428"/>
      <c r="I59" s="1428"/>
      <c r="J59" s="1428"/>
      <c r="K59" s="1337"/>
      <c r="AA59" s="746"/>
    </row>
    <row r="60" spans="1:27" s="3" customFormat="1" ht="15" customHeight="1">
      <c r="A60" s="1"/>
      <c r="B60" s="8"/>
      <c r="C60" s="224" t="s">
        <v>815</v>
      </c>
      <c r="D60" s="1336"/>
      <c r="E60" s="1428"/>
      <c r="F60" s="1428"/>
      <c r="G60" s="1428"/>
      <c r="H60" s="1428"/>
      <c r="I60" s="1428"/>
      <c r="J60" s="1428"/>
      <c r="K60" s="1337"/>
    </row>
    <row r="61" spans="1:27" s="3" customFormat="1" ht="15" customHeight="1">
      <c r="A61" s="1"/>
      <c r="B61" s="8"/>
      <c r="C61" s="225" t="s">
        <v>816</v>
      </c>
      <c r="D61" s="1604"/>
      <c r="E61" s="1605"/>
      <c r="F61" s="1605"/>
      <c r="G61" s="1605"/>
      <c r="H61" s="1617">
        <f>IF(AND(D61&lt;&gt;"",D62="PASS",D63="PASS",D64="PASS"),1,0)</f>
        <v>0</v>
      </c>
      <c r="I61" s="1617"/>
      <c r="J61" s="1617"/>
      <c r="K61" s="1618"/>
    </row>
    <row r="62" spans="1:27" s="3" customFormat="1" ht="15" customHeight="1">
      <c r="A62" s="1"/>
      <c r="B62" s="8"/>
      <c r="C62" s="225" t="s">
        <v>817</v>
      </c>
      <c r="D62" s="1604"/>
      <c r="E62" s="1605"/>
      <c r="F62" s="1605"/>
      <c r="G62" s="1605"/>
      <c r="H62" s="1617"/>
      <c r="I62" s="1617"/>
      <c r="J62" s="1617"/>
      <c r="K62" s="1618"/>
    </row>
    <row r="63" spans="1:27" s="3" customFormat="1" ht="15" customHeight="1">
      <c r="A63" s="1"/>
      <c r="B63" s="8"/>
      <c r="C63" s="225" t="s">
        <v>818</v>
      </c>
      <c r="D63" s="1604"/>
      <c r="E63" s="1605"/>
      <c r="F63" s="1605"/>
      <c r="G63" s="1605"/>
      <c r="H63" s="1617"/>
      <c r="I63" s="1617"/>
      <c r="J63" s="1617"/>
      <c r="K63" s="1618"/>
    </row>
    <row r="64" spans="1:27" s="3" customFormat="1" ht="15" customHeight="1" thickBot="1">
      <c r="A64" s="1"/>
      <c r="B64" s="8"/>
      <c r="C64" s="225" t="s">
        <v>819</v>
      </c>
      <c r="D64" s="1604"/>
      <c r="E64" s="1605"/>
      <c r="F64" s="1605"/>
      <c r="G64" s="1605"/>
      <c r="H64" s="1619"/>
      <c r="I64" s="1619"/>
      <c r="J64" s="1619"/>
      <c r="K64" s="1620"/>
    </row>
    <row r="65" spans="1:11" s="3" customFormat="1" ht="15" customHeight="1" thickBot="1">
      <c r="A65" s="1"/>
      <c r="B65" s="1393" t="s">
        <v>2586</v>
      </c>
      <c r="C65" s="1483"/>
      <c r="D65" s="1601">
        <f>H61</f>
        <v>0</v>
      </c>
      <c r="E65" s="1602"/>
      <c r="F65" s="1602"/>
      <c r="G65" s="1602"/>
      <c r="H65" s="1602"/>
      <c r="I65" s="1602"/>
      <c r="J65" s="1602"/>
      <c r="K65" s="1603"/>
    </row>
    <row r="66" spans="1:11" s="3" customFormat="1" ht="15" customHeight="1" thickBot="1">
      <c r="A66" s="1"/>
      <c r="B66" s="8"/>
      <c r="C66" s="225"/>
      <c r="D66" s="1336"/>
      <c r="E66" s="1428"/>
      <c r="F66" s="1428"/>
      <c r="G66" s="1428"/>
      <c r="H66" s="1428"/>
      <c r="I66" s="1428"/>
      <c r="J66" s="1428"/>
      <c r="K66" s="1337"/>
    </row>
    <row r="67" spans="1:11" s="3" customFormat="1" ht="15" customHeight="1" thickBot="1">
      <c r="A67" s="1"/>
      <c r="B67" s="1395" t="s">
        <v>824</v>
      </c>
      <c r="C67" s="1403"/>
      <c r="D67" s="1416">
        <f>SUM(D45+D53+D58+D65)</f>
        <v>0</v>
      </c>
      <c r="E67" s="1417"/>
      <c r="F67" s="1417"/>
      <c r="G67" s="1417"/>
      <c r="H67" s="1417"/>
      <c r="I67" s="1417"/>
      <c r="J67" s="1417"/>
      <c r="K67" s="1419"/>
    </row>
    <row r="68" spans="1:11" s="3" customFormat="1" ht="15" customHeight="1" thickBot="1">
      <c r="A68" s="1"/>
      <c r="B68" s="1"/>
      <c r="C68" s="4"/>
      <c r="D68" s="1"/>
      <c r="E68" s="1"/>
      <c r="F68" s="217"/>
      <c r="G68" s="217"/>
      <c r="H68" s="217"/>
      <c r="I68" s="217"/>
    </row>
    <row r="69" spans="1:11" s="3" customFormat="1" ht="15" customHeight="1" thickBot="1">
      <c r="A69" s="1"/>
      <c r="B69" s="1395" t="s">
        <v>37</v>
      </c>
      <c r="C69" s="1403"/>
      <c r="D69" s="1519"/>
      <c r="E69" s="1520"/>
      <c r="F69" s="1520"/>
      <c r="G69" s="1520"/>
      <c r="H69" s="1520"/>
      <c r="I69" s="1520"/>
      <c r="J69" s="1520"/>
      <c r="K69" s="1628"/>
    </row>
    <row r="70" spans="1:11" s="3" customFormat="1" ht="15" customHeight="1">
      <c r="A70" s="1"/>
      <c r="B70" s="10"/>
      <c r="C70" s="86" t="s">
        <v>717</v>
      </c>
      <c r="D70" s="1512">
        <f>D10</f>
        <v>0</v>
      </c>
      <c r="E70" s="1611"/>
      <c r="F70" s="1611"/>
      <c r="G70" s="1611"/>
      <c r="H70" s="1611"/>
      <c r="I70" s="1611"/>
      <c r="J70" s="1611"/>
      <c r="K70" s="1517"/>
    </row>
    <row r="71" spans="1:11" s="3" customFormat="1" ht="15" customHeight="1">
      <c r="A71" s="1"/>
      <c r="B71" s="10"/>
      <c r="C71" s="86" t="s">
        <v>826</v>
      </c>
      <c r="D71" s="1524">
        <f>D38</f>
        <v>-1</v>
      </c>
      <c r="E71" s="1629"/>
      <c r="F71" s="1629"/>
      <c r="G71" s="1629"/>
      <c r="H71" s="1629"/>
      <c r="I71" s="1629"/>
      <c r="J71" s="1629"/>
      <c r="K71" s="1515"/>
    </row>
    <row r="72" spans="1:11" ht="15" customHeight="1" thickBot="1">
      <c r="B72" s="31"/>
      <c r="C72" s="32" t="s">
        <v>825</v>
      </c>
      <c r="D72" s="1522">
        <f>D67</f>
        <v>0</v>
      </c>
      <c r="E72" s="1630"/>
      <c r="F72" s="1630"/>
      <c r="G72" s="1630"/>
      <c r="H72" s="1630"/>
      <c r="I72" s="1630"/>
      <c r="J72" s="1630"/>
      <c r="K72" s="1532"/>
    </row>
    <row r="73" spans="1:11" ht="15" customHeight="1" thickBot="1">
      <c r="H73" s="217"/>
      <c r="I73" s="217"/>
      <c r="J73" s="1"/>
      <c r="K73" s="1"/>
    </row>
    <row r="74" spans="1:11" ht="21.75" thickBot="1">
      <c r="B74" s="1420" t="s">
        <v>820</v>
      </c>
      <c r="C74" s="1421"/>
      <c r="D74" s="1422">
        <f>IF(D70&lt;0,D70,SUM(D70:K72))</f>
        <v>-1</v>
      </c>
      <c r="E74" s="1423"/>
      <c r="F74" s="1423"/>
      <c r="G74" s="1423"/>
      <c r="H74" s="1423"/>
      <c r="I74" s="1423"/>
      <c r="J74" s="1423"/>
      <c r="K74" s="1424"/>
    </row>
  </sheetData>
  <mergeCells count="82">
    <mergeCell ref="D2:K4"/>
    <mergeCell ref="D40:K40"/>
    <mergeCell ref="D41:K41"/>
    <mergeCell ref="H42:K42"/>
    <mergeCell ref="H43:K43"/>
    <mergeCell ref="D17:K17"/>
    <mergeCell ref="D22:K22"/>
    <mergeCell ref="D27:K27"/>
    <mergeCell ref="H12:I12"/>
    <mergeCell ref="J12:K12"/>
    <mergeCell ref="D5:G5"/>
    <mergeCell ref="D6:G6"/>
    <mergeCell ref="D7:G7"/>
    <mergeCell ref="D8:G8"/>
    <mergeCell ref="F12:G12"/>
    <mergeCell ref="D12:E12"/>
    <mergeCell ref="D69:K69"/>
    <mergeCell ref="D70:K70"/>
    <mergeCell ref="D71:K71"/>
    <mergeCell ref="D72:K72"/>
    <mergeCell ref="D74:K74"/>
    <mergeCell ref="B32:C32"/>
    <mergeCell ref="D60:K60"/>
    <mergeCell ref="D67:K67"/>
    <mergeCell ref="D62:G62"/>
    <mergeCell ref="D63:G63"/>
    <mergeCell ref="D64:G64"/>
    <mergeCell ref="D61:G61"/>
    <mergeCell ref="H61:K64"/>
    <mergeCell ref="D45:K45"/>
    <mergeCell ref="D42:G42"/>
    <mergeCell ref="D43:G43"/>
    <mergeCell ref="D32:K32"/>
    <mergeCell ref="D38:K38"/>
    <mergeCell ref="B33:K33"/>
    <mergeCell ref="D34:K34"/>
    <mergeCell ref="D36:K36"/>
    <mergeCell ref="D10:K10"/>
    <mergeCell ref="H5:K5"/>
    <mergeCell ref="H6:K6"/>
    <mergeCell ref="H7:K7"/>
    <mergeCell ref="H8:K8"/>
    <mergeCell ref="D9:K9"/>
    <mergeCell ref="B2:C3"/>
    <mergeCell ref="B4:C4"/>
    <mergeCell ref="B10:C10"/>
    <mergeCell ref="B67:C67"/>
    <mergeCell ref="B74:C74"/>
    <mergeCell ref="B38:C38"/>
    <mergeCell ref="B69:C69"/>
    <mergeCell ref="B17:C17"/>
    <mergeCell ref="B22:C22"/>
    <mergeCell ref="B27:C27"/>
    <mergeCell ref="B45:C45"/>
    <mergeCell ref="B53:C53"/>
    <mergeCell ref="B58:C58"/>
    <mergeCell ref="B65:C65"/>
    <mergeCell ref="B34:C34"/>
    <mergeCell ref="B36:C36"/>
    <mergeCell ref="H44:K44"/>
    <mergeCell ref="D44:G44"/>
    <mergeCell ref="D53:K53"/>
    <mergeCell ref="D48:G48"/>
    <mergeCell ref="D49:G49"/>
    <mergeCell ref="D50:G50"/>
    <mergeCell ref="D51:G51"/>
    <mergeCell ref="D52:G52"/>
    <mergeCell ref="H48:K48"/>
    <mergeCell ref="H49:K49"/>
    <mergeCell ref="H50:K50"/>
    <mergeCell ref="H51:K51"/>
    <mergeCell ref="H52:K52"/>
    <mergeCell ref="D66:K66"/>
    <mergeCell ref="D46:K46"/>
    <mergeCell ref="D47:K47"/>
    <mergeCell ref="D65:K65"/>
    <mergeCell ref="D58:K58"/>
    <mergeCell ref="D56:G56"/>
    <mergeCell ref="D57:G57"/>
    <mergeCell ref="H56:K56"/>
    <mergeCell ref="H57:K57"/>
    <mergeCell ref="D59:K59"/>
  </mergeCells>
  <conditionalFormatting sqref="L22:Z22">
    <cfRule type="notContainsBlanks" dxfId="1560" priority="1">
      <formula>LEN(TRIM(L22))&gt;0</formula>
    </cfRule>
  </conditionalFormatting>
  <dataValidations count="3">
    <dataValidation type="list" allowBlank="1" showInputMessage="1" showErrorMessage="1" sqref="D56:D57 D34:D36 H7:H8 D7:D9 D42:D44 D48:D52 D62:D64" xr:uid="{5D05FAD4-FFD9-45FE-98AE-9A2CD05873ED}">
      <formula1>"PASS,FAIL"</formula1>
    </dataValidation>
    <dataValidation allowBlank="1" showInputMessage="1" showErrorMessage="1" prompt="When forces exceeded 750N enter maximum measured force or Tools" sqref="D20:G21 I20:I21 K20:K21" xr:uid="{7B75532B-BBE2-40BC-985D-42C25D547ABE}"/>
    <dataValidation type="list" allowBlank="1" showInputMessage="1" showErrorMessage="1" sqref="D15:G16 I15:I16 K15:K16 D25:G26 I25:I26 K25:K26" xr:uid="{A5F06220-7121-4FBA-9562-10A1799D06D1}">
      <formula1>"PASS,FAIL,N/A"</formula1>
    </dataValidation>
  </dataValidations>
  <pageMargins left="0.8" right="0.44" top="0.53" bottom="1" header="0.5" footer="0.5"/>
  <pageSetup paperSize="9" scale="55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0070C0"/>
    <pageSetUpPr fitToPage="1"/>
  </sheetPr>
  <dimension ref="A1:AF130"/>
  <sheetViews>
    <sheetView showGridLines="0" showOutlineSymbols="0" topLeftCell="D5" zoomScaleNormal="100" workbookViewId="0"/>
  </sheetViews>
  <sheetFormatPr defaultColWidth="8.7109375" defaultRowHeight="12.75"/>
  <cols>
    <col min="1" max="2" width="8.7109375" style="95"/>
    <col min="3" max="3" width="40.42578125" style="95" customWidth="1"/>
    <col min="4" max="4" width="10.5703125" style="95" customWidth="1"/>
    <col min="5" max="7" width="10.5703125" style="112" customWidth="1"/>
    <col min="8" max="12" width="8.7109375" style="95" customWidth="1"/>
    <col min="13" max="13" width="9.28515625" style="109" customWidth="1"/>
    <col min="14" max="14" width="8.7109375" style="95"/>
    <col min="15" max="15" width="10.42578125" style="95" bestFit="1" customWidth="1"/>
    <col min="16" max="16384" width="8.7109375" style="95"/>
  </cols>
  <sheetData>
    <row r="1" spans="1:13" ht="13.5" thickBot="1">
      <c r="A1" s="226">
        <v>3</v>
      </c>
    </row>
    <row r="2" spans="1:13" s="113" customFormat="1" ht="12.75" customHeight="1">
      <c r="B2" s="1364" t="s">
        <v>132</v>
      </c>
      <c r="C2" s="1365"/>
      <c r="D2" s="1368" t="s">
        <v>555</v>
      </c>
      <c r="E2" s="1369"/>
      <c r="F2" s="1372" t="s">
        <v>556</v>
      </c>
      <c r="G2" s="1373"/>
      <c r="H2" s="393"/>
      <c r="M2" s="259"/>
    </row>
    <row r="3" spans="1:13" s="113" customFormat="1" ht="15" customHeight="1">
      <c r="B3" s="1366"/>
      <c r="C3" s="1367"/>
      <c r="D3" s="1370"/>
      <c r="E3" s="1371"/>
      <c r="F3" s="1374"/>
      <c r="G3" s="1375"/>
      <c r="H3" s="393"/>
      <c r="I3" s="316"/>
      <c r="J3" s="316"/>
      <c r="K3" s="316"/>
      <c r="L3" s="316"/>
      <c r="M3" s="798"/>
    </row>
    <row r="4" spans="1:13" ht="15" customHeight="1" thickBot="1">
      <c r="B4" s="1675" t="str">
        <f>_xlfn.CONCAT('General Overview'!G4, " &amp; ",'General Overview'!G6)</f>
        <v xml:space="preserve"> &amp; </v>
      </c>
      <c r="C4" s="1676"/>
      <c r="D4" s="260" t="s">
        <v>99</v>
      </c>
      <c r="E4" s="261" t="s">
        <v>40</v>
      </c>
      <c r="F4" s="262" t="s">
        <v>99</v>
      </c>
      <c r="G4" s="263" t="s">
        <v>40</v>
      </c>
      <c r="H4" s="98"/>
      <c r="I4" s="145"/>
      <c r="J4" s="145"/>
      <c r="K4" s="145"/>
      <c r="L4" s="145"/>
      <c r="M4" s="288"/>
    </row>
    <row r="5" spans="1:13" ht="15" customHeight="1">
      <c r="B5" s="152" t="s">
        <v>581</v>
      </c>
      <c r="C5" s="104"/>
      <c r="D5" s="1585"/>
      <c r="E5" s="1586"/>
      <c r="F5" s="1646"/>
      <c r="G5" s="1641"/>
      <c r="H5" s="98"/>
      <c r="I5" s="145"/>
      <c r="J5" s="145"/>
      <c r="K5" s="145"/>
      <c r="L5" s="145"/>
      <c r="M5" s="288"/>
    </row>
    <row r="6" spans="1:13" ht="15" customHeight="1">
      <c r="B6" s="106"/>
      <c r="C6" s="104" t="s">
        <v>133</v>
      </c>
      <c r="D6" s="1677"/>
      <c r="E6" s="1678"/>
      <c r="F6" s="1587"/>
      <c r="G6" s="1588"/>
      <c r="H6" s="98"/>
    </row>
    <row r="7" spans="1:13" ht="15" customHeight="1">
      <c r="B7" s="106"/>
      <c r="C7" s="254" t="s">
        <v>579</v>
      </c>
      <c r="D7" s="1508" t="str">
        <f>IF('General Overview'!G41="","",'General Overview'!G41)</f>
        <v/>
      </c>
      <c r="E7" s="1509"/>
      <c r="F7" s="1501" t="str">
        <f>IF('General Overview'!G42="","",'General Overview'!G42)</f>
        <v/>
      </c>
      <c r="G7" s="1502"/>
      <c r="H7" s="98"/>
    </row>
    <row r="8" spans="1:13" ht="15" customHeight="1">
      <c r="B8" s="106"/>
      <c r="C8" s="254" t="s">
        <v>136</v>
      </c>
      <c r="D8" s="1659"/>
      <c r="E8" s="1660"/>
      <c r="F8" s="1661"/>
      <c r="G8" s="1662"/>
      <c r="H8" s="98"/>
    </row>
    <row r="9" spans="1:13" ht="15" customHeight="1">
      <c r="B9" s="106"/>
      <c r="C9" s="254" t="s">
        <v>580</v>
      </c>
      <c r="D9" s="1659"/>
      <c r="E9" s="1660"/>
      <c r="F9" s="1667" t="s">
        <v>862</v>
      </c>
      <c r="G9" s="1668"/>
      <c r="H9" s="98"/>
    </row>
    <row r="10" spans="1:13" ht="15" customHeight="1" thickBot="1">
      <c r="B10" s="170"/>
      <c r="C10" s="361" t="s">
        <v>134</v>
      </c>
      <c r="D10" s="1671"/>
      <c r="E10" s="1672"/>
      <c r="F10" s="1669"/>
      <c r="G10" s="1670"/>
      <c r="H10" s="98"/>
      <c r="K10" s="109"/>
    </row>
    <row r="11" spans="1:13" ht="15" customHeight="1" thickBot="1">
      <c r="E11" s="122"/>
      <c r="F11" s="265"/>
      <c r="G11" s="122"/>
    </row>
    <row r="12" spans="1:13" ht="15" customHeight="1">
      <c r="B12" s="164" t="s">
        <v>58</v>
      </c>
      <c r="C12" s="173"/>
      <c r="D12" s="1585"/>
      <c r="E12" s="1586"/>
      <c r="F12" s="1673"/>
      <c r="G12" s="1674"/>
      <c r="H12" s="98"/>
    </row>
    <row r="13" spans="1:13" ht="15" customHeight="1">
      <c r="B13" s="152"/>
      <c r="C13" s="558" t="s">
        <v>621</v>
      </c>
      <c r="D13" s="1663"/>
      <c r="E13" s="1664"/>
      <c r="F13" s="1665"/>
      <c r="G13" s="1666"/>
      <c r="H13" s="98"/>
    </row>
    <row r="14" spans="1:13" ht="15" customHeight="1">
      <c r="B14" s="152"/>
      <c r="C14" s="254" t="s">
        <v>988</v>
      </c>
      <c r="D14" s="1659"/>
      <c r="E14" s="1660"/>
      <c r="F14" s="1661"/>
      <c r="G14" s="1662"/>
      <c r="H14" s="106"/>
    </row>
    <row r="15" spans="1:13" ht="15" customHeight="1">
      <c r="B15" s="152"/>
      <c r="C15" s="254" t="s">
        <v>989</v>
      </c>
      <c r="D15" s="1659"/>
      <c r="E15" s="1660"/>
      <c r="F15" s="1661"/>
      <c r="G15" s="1662"/>
      <c r="H15" s="106"/>
    </row>
    <row r="16" spans="1:13" ht="15" customHeight="1">
      <c r="B16" s="152"/>
      <c r="C16" s="254" t="s">
        <v>557</v>
      </c>
      <c r="D16" s="1659"/>
      <c r="E16" s="1660"/>
      <c r="F16" s="1661"/>
      <c r="G16" s="1662"/>
      <c r="H16" s="98"/>
    </row>
    <row r="17" spans="2:32" ht="15" customHeight="1">
      <c r="B17" s="106"/>
      <c r="C17" s="104" t="s">
        <v>363</v>
      </c>
      <c r="D17" s="1677"/>
      <c r="E17" s="1678"/>
      <c r="F17" s="1587"/>
      <c r="G17" s="1588"/>
      <c r="H17" s="98"/>
    </row>
    <row r="18" spans="2:32" ht="15" customHeight="1">
      <c r="B18" s="106"/>
      <c r="C18" s="254" t="s">
        <v>558</v>
      </c>
      <c r="D18" s="923"/>
      <c r="E18" s="266"/>
      <c r="F18" s="924"/>
      <c r="G18" s="159"/>
      <c r="H18" s="98"/>
    </row>
    <row r="19" spans="2:32" ht="15" customHeight="1">
      <c r="B19" s="106"/>
      <c r="C19" s="254" t="s">
        <v>368</v>
      </c>
      <c r="D19" s="866"/>
      <c r="E19" s="158" t="str">
        <f>IF(D18="Yes",Sliding_Scale(D19,500,700,4*IF('General Overview'!C17=0,2,1),0),"")</f>
        <v/>
      </c>
      <c r="F19" s="867"/>
      <c r="G19" s="159" t="str">
        <f>IF(F18="Yes",Sliding_Scale(F19,500,700,4,0),"")</f>
        <v/>
      </c>
      <c r="H19" s="98"/>
    </row>
    <row r="20" spans="2:32" ht="15" customHeight="1">
      <c r="B20" s="106"/>
      <c r="C20" s="254" t="s">
        <v>559</v>
      </c>
      <c r="D20" s="866"/>
      <c r="E20" s="158">
        <f>ROUND(Sliding_Scale(D20,60,80,4,0),Round)</f>
        <v>0</v>
      </c>
      <c r="F20" s="867"/>
      <c r="G20" s="159">
        <f>ROUND(Sliding_Scale(F20,60,80,4,0),Round)</f>
        <v>0</v>
      </c>
      <c r="H20" s="98"/>
    </row>
    <row r="21" spans="2:32" ht="15" customHeight="1" thickBot="1">
      <c r="B21" s="106"/>
      <c r="C21" s="254" t="s">
        <v>560</v>
      </c>
      <c r="D21" s="947"/>
      <c r="E21" s="158">
        <f>IF(D21&gt;=550,-4,0)</f>
        <v>0</v>
      </c>
      <c r="F21" s="948"/>
      <c r="G21" s="159">
        <f>IF(F21&gt;=550,-4,IF(F21&gt;=450,-2,0))</f>
        <v>0</v>
      </c>
      <c r="H21" s="98"/>
    </row>
    <row r="22" spans="2:32" ht="15" customHeight="1" thickBot="1">
      <c r="B22" s="1466" t="s">
        <v>45</v>
      </c>
      <c r="C22" s="1467"/>
      <c r="D22" s="345"/>
      <c r="E22" s="175">
        <f>MAX(MIN(E19:E20)+E21,0)</f>
        <v>0</v>
      </c>
      <c r="F22" s="345"/>
      <c r="G22" s="174">
        <f>MAX(MIN(G19:G20)+G21,0)</f>
        <v>0</v>
      </c>
      <c r="H22" s="98"/>
    </row>
    <row r="23" spans="2:32" ht="15" customHeight="1">
      <c r="B23" s="106"/>
      <c r="C23" s="104"/>
      <c r="D23" s="1638"/>
      <c r="E23" s="1639"/>
      <c r="F23" s="1646"/>
      <c r="G23" s="1641"/>
      <c r="H23" s="98"/>
    </row>
    <row r="24" spans="2:32" ht="15" customHeight="1">
      <c r="B24" s="106"/>
      <c r="C24" s="104" t="s">
        <v>667</v>
      </c>
      <c r="D24" s="1644"/>
      <c r="E24" s="1645"/>
      <c r="F24" s="1647"/>
      <c r="G24" s="1648"/>
      <c r="H24" s="98"/>
    </row>
    <row r="25" spans="2:32" ht="15" customHeight="1">
      <c r="B25" s="106"/>
      <c r="C25" s="254" t="s">
        <v>990</v>
      </c>
      <c r="D25" s="923"/>
      <c r="E25" s="266"/>
      <c r="F25" s="924"/>
      <c r="G25" s="159"/>
      <c r="H25" s="106"/>
    </row>
    <row r="26" spans="2:32" ht="15" customHeight="1">
      <c r="B26" s="106"/>
      <c r="C26" s="254" t="s">
        <v>355</v>
      </c>
      <c r="D26" s="866"/>
      <c r="E26" s="158">
        <f>ROUND(Sliding_Scale(D26,1.7,2.62,2,0),Round)</f>
        <v>0</v>
      </c>
      <c r="F26" s="867"/>
      <c r="G26" s="159">
        <f>ROUND(Sliding_Scale(F26,1.7,2.62,2,0),Round)</f>
        <v>0</v>
      </c>
      <c r="H26" s="98"/>
    </row>
    <row r="27" spans="2:32" ht="15" customHeight="1" thickBot="1">
      <c r="B27" s="106"/>
      <c r="C27" s="254" t="s">
        <v>666</v>
      </c>
      <c r="D27" s="866"/>
      <c r="E27" s="158" t="str">
        <f>IF(D18="Yes",IF(D27&lt;36,2,0),"")</f>
        <v/>
      </c>
      <c r="F27" s="867"/>
      <c r="G27" s="159" t="str">
        <f>IF(F18="Yes",IF(F27&lt;49,2,0),"")</f>
        <v/>
      </c>
      <c r="H27" s="98"/>
    </row>
    <row r="28" spans="2:32" ht="15" customHeight="1" thickBot="1">
      <c r="B28" s="1466" t="s">
        <v>668</v>
      </c>
      <c r="C28" s="1467"/>
      <c r="D28" s="345"/>
      <c r="E28" s="175">
        <f>MAX(MIN(E26:E27),0)</f>
        <v>0</v>
      </c>
      <c r="F28" s="345"/>
      <c r="G28" s="174">
        <f>MAX(MIN(G26:G27),0)</f>
        <v>0</v>
      </c>
      <c r="H28" s="98"/>
    </row>
    <row r="29" spans="2:32" ht="15" customHeight="1">
      <c r="B29" s="166"/>
      <c r="C29" s="165"/>
      <c r="D29" s="1638"/>
      <c r="E29" s="1639"/>
      <c r="F29" s="1640"/>
      <c r="G29" s="1641"/>
      <c r="H29" s="106"/>
      <c r="I29" s="104"/>
      <c r="J29" s="104"/>
      <c r="K29" s="104"/>
      <c r="L29" s="104"/>
      <c r="M29" s="382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</row>
    <row r="30" spans="2:32" ht="15" customHeight="1">
      <c r="B30" s="267"/>
      <c r="C30" s="424" t="s">
        <v>669</v>
      </c>
      <c r="D30" s="1649"/>
      <c r="E30" s="1650"/>
      <c r="F30" s="1679"/>
      <c r="G30" s="1652"/>
      <c r="H30" s="106"/>
      <c r="I30" s="104"/>
      <c r="J30" s="104"/>
      <c r="K30" s="104"/>
      <c r="L30" s="104"/>
      <c r="M30" s="382"/>
      <c r="N30" s="104"/>
      <c r="O30" s="832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</row>
    <row r="31" spans="2:32" ht="15" customHeight="1">
      <c r="B31" s="106"/>
      <c r="C31" s="325" t="s">
        <v>561</v>
      </c>
      <c r="D31" s="866"/>
      <c r="E31" s="158"/>
      <c r="F31" s="867"/>
      <c r="G31" s="159">
        <f>ROUND(Sliding_Scale(F31,41,55,2,0),Round)</f>
        <v>0</v>
      </c>
      <c r="H31" s="106"/>
      <c r="I31" s="104"/>
      <c r="J31" s="104"/>
      <c r="K31" s="104"/>
      <c r="L31" s="104"/>
      <c r="M31" s="382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</row>
    <row r="32" spans="2:32" ht="15" customHeight="1">
      <c r="B32" s="106"/>
      <c r="C32" s="325" t="s">
        <v>2468</v>
      </c>
      <c r="D32" s="161"/>
      <c r="E32" s="158"/>
      <c r="F32" s="1039"/>
      <c r="G32" s="159"/>
      <c r="H32" s="106"/>
      <c r="I32" s="104"/>
      <c r="J32" s="104"/>
      <c r="K32" s="104"/>
      <c r="L32" s="104"/>
      <c r="M32" s="382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</row>
    <row r="33" spans="2:32" ht="15" customHeight="1">
      <c r="B33" s="106"/>
      <c r="C33" s="325" t="s">
        <v>2469</v>
      </c>
      <c r="D33" s="161"/>
      <c r="E33" s="158"/>
      <c r="F33" s="1039"/>
      <c r="G33" s="159"/>
      <c r="H33" s="106"/>
      <c r="I33" s="104"/>
      <c r="J33" s="104"/>
      <c r="K33" s="104"/>
      <c r="L33" s="104"/>
      <c r="M33" s="382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</row>
    <row r="34" spans="2:32" ht="15" customHeight="1" thickBot="1">
      <c r="B34" s="170"/>
      <c r="C34" s="326" t="s">
        <v>670</v>
      </c>
      <c r="D34" s="910"/>
      <c r="E34" s="241">
        <f>ROUND(Sliding_Scale(D34,30,42,2,0),Round)</f>
        <v>0</v>
      </c>
      <c r="F34" s="867"/>
      <c r="G34" s="159">
        <f>IF(F34&gt;=56,-2,0)</f>
        <v>0</v>
      </c>
      <c r="H34" s="106"/>
      <c r="I34" s="104"/>
      <c r="J34" s="104"/>
      <c r="K34" s="104"/>
      <c r="L34" s="104"/>
      <c r="M34" s="382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</row>
    <row r="35" spans="2:32" ht="15" customHeight="1" thickBot="1">
      <c r="B35" s="1466" t="s">
        <v>51</v>
      </c>
      <c r="C35" s="1467"/>
      <c r="D35" s="345"/>
      <c r="E35" s="175">
        <f>E34</f>
        <v>0</v>
      </c>
      <c r="F35" s="345"/>
      <c r="G35" s="174">
        <f>MAX(MIN(SUM(G31:G34)),0)</f>
        <v>0</v>
      </c>
      <c r="H35" s="106"/>
      <c r="I35" s="104"/>
      <c r="J35" s="104"/>
      <c r="K35" s="104"/>
      <c r="L35" s="104"/>
      <c r="M35" s="382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</row>
    <row r="36" spans="2:32" ht="15" customHeight="1" thickBot="1">
      <c r="B36" s="1387" t="s">
        <v>138</v>
      </c>
      <c r="C36" s="1388"/>
      <c r="D36" s="1540">
        <f>IF(OR(D14="Yes",D15="Yes",D16="Yes",D19&gt;800,D20&gt;80),0,MAX(SUM(E22,E28,E35)+IF(D14="Partial",-4,0),0))</f>
        <v>0</v>
      </c>
      <c r="E36" s="1657"/>
      <c r="F36" s="1658">
        <f>IF(OR(F14="Yes",F15="Yes",F16="Yes",F19&gt;800,F20&gt;80),0,MAX(SUM(G22,G28,G35)+IF(F14="Partial",-4,0),0))</f>
        <v>0</v>
      </c>
      <c r="G36" s="1542"/>
      <c r="H36" s="106"/>
      <c r="I36" s="104"/>
      <c r="J36" s="104"/>
      <c r="K36" s="104"/>
      <c r="L36" s="104"/>
      <c r="M36" s="382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</row>
    <row r="37" spans="2:32" ht="15" customHeight="1" thickBot="1">
      <c r="E37" s="122"/>
      <c r="F37" s="97"/>
      <c r="G37" s="122"/>
      <c r="H37" s="104"/>
      <c r="I37" s="104"/>
      <c r="J37" s="104"/>
      <c r="K37" s="104"/>
      <c r="L37" s="104"/>
      <c r="M37" s="382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</row>
    <row r="38" spans="2:32" ht="15" customHeight="1">
      <c r="B38" s="164" t="s">
        <v>46</v>
      </c>
      <c r="C38" s="173"/>
      <c r="D38" s="1585"/>
      <c r="E38" s="1586"/>
      <c r="F38" s="1673"/>
      <c r="G38" s="1674"/>
      <c r="H38" s="98"/>
    </row>
    <row r="39" spans="2:32" ht="15" customHeight="1">
      <c r="B39" s="152"/>
      <c r="C39" s="254" t="s">
        <v>621</v>
      </c>
      <c r="D39" s="1659"/>
      <c r="E39" s="1660"/>
      <c r="F39" s="1661"/>
      <c r="G39" s="1662"/>
      <c r="H39" s="98"/>
    </row>
    <row r="40" spans="2:32" ht="15" customHeight="1">
      <c r="B40" s="152"/>
      <c r="C40" s="254" t="s">
        <v>557</v>
      </c>
      <c r="D40" s="1659"/>
      <c r="E40" s="1660"/>
      <c r="F40" s="1661"/>
      <c r="G40" s="1662"/>
      <c r="H40" s="98"/>
    </row>
    <row r="41" spans="2:32" ht="15" customHeight="1">
      <c r="B41" s="106"/>
      <c r="C41" s="104" t="s">
        <v>363</v>
      </c>
      <c r="D41" s="1644"/>
      <c r="E41" s="1645"/>
      <c r="F41" s="1647"/>
      <c r="G41" s="1648"/>
      <c r="H41" s="98"/>
    </row>
    <row r="42" spans="2:32" ht="15" customHeight="1">
      <c r="B42" s="106"/>
      <c r="C42" s="254" t="s">
        <v>991</v>
      </c>
      <c r="D42" s="923"/>
      <c r="E42" s="266"/>
      <c r="F42" s="924"/>
      <c r="G42" s="159"/>
      <c r="H42" s="98"/>
    </row>
    <row r="43" spans="2:32" ht="15" customHeight="1">
      <c r="B43" s="106"/>
      <c r="C43" s="254" t="s">
        <v>368</v>
      </c>
      <c r="D43" s="866"/>
      <c r="E43" s="158" t="str">
        <f>IF(D42="Yes",Sliding_Scale(D43,500,700,2,0),"")</f>
        <v/>
      </c>
      <c r="F43" s="867"/>
      <c r="G43" s="159" t="str">
        <f>IF(F42="Yes",Sliding_Scale(F43,500,700,2,0),"")</f>
        <v/>
      </c>
      <c r="H43" s="98"/>
    </row>
    <row r="44" spans="2:32" ht="15" customHeight="1" thickBot="1">
      <c r="B44" s="106"/>
      <c r="C44" s="254" t="s">
        <v>559</v>
      </c>
      <c r="D44" s="866"/>
      <c r="E44" s="158">
        <f>ROUND(Sliding_Scale(D44,60,80,2,0),Round)</f>
        <v>0</v>
      </c>
      <c r="F44" s="867"/>
      <c r="G44" s="159">
        <f>ROUND(Sliding_Scale(F44,60,80,2,0),Round)</f>
        <v>0</v>
      </c>
      <c r="H44" s="98"/>
    </row>
    <row r="45" spans="2:32" ht="15" customHeight="1" thickBot="1">
      <c r="B45" s="1466" t="s">
        <v>45</v>
      </c>
      <c r="C45" s="1467"/>
      <c r="D45" s="345"/>
      <c r="E45" s="175">
        <f>MAX(MIN(E43:E44),0)</f>
        <v>0</v>
      </c>
      <c r="F45" s="345"/>
      <c r="G45" s="174">
        <f>MAX(MIN(G43:G44),0)</f>
        <v>0</v>
      </c>
      <c r="H45" s="98"/>
    </row>
    <row r="46" spans="2:32" ht="15" customHeight="1">
      <c r="B46" s="106"/>
      <c r="C46" s="104"/>
      <c r="D46" s="1638"/>
      <c r="E46" s="1639"/>
      <c r="F46" s="1646"/>
      <c r="G46" s="1641"/>
      <c r="H46" s="98"/>
    </row>
    <row r="47" spans="2:32" ht="15" customHeight="1">
      <c r="B47" s="106"/>
      <c r="C47" s="104" t="s">
        <v>354</v>
      </c>
      <c r="D47" s="1644"/>
      <c r="E47" s="1645"/>
      <c r="F47" s="1647"/>
      <c r="G47" s="1648"/>
      <c r="H47" s="98"/>
    </row>
    <row r="48" spans="2:32" ht="15" customHeight="1">
      <c r="B48" s="106"/>
      <c r="C48" s="254" t="s">
        <v>593</v>
      </c>
      <c r="D48" s="866"/>
      <c r="E48" s="158">
        <f>IF(D48="",0,IF(D48&gt;=2.4,0,1))</f>
        <v>0</v>
      </c>
      <c r="F48" s="908"/>
      <c r="G48" s="159">
        <f>IF(F48="",0,IF(F48&gt;=2.2,0,1))</f>
        <v>0</v>
      </c>
      <c r="H48" s="98"/>
    </row>
    <row r="49" spans="2:9" ht="15" customHeight="1">
      <c r="B49" s="267"/>
      <c r="C49" s="149" t="s">
        <v>391</v>
      </c>
      <c r="D49" s="1649"/>
      <c r="E49" s="1650"/>
      <c r="F49" s="1651"/>
      <c r="G49" s="1652"/>
      <c r="H49" s="98"/>
    </row>
    <row r="50" spans="2:9" ht="15" customHeight="1" thickBot="1">
      <c r="B50" s="106"/>
      <c r="C50" s="254" t="s">
        <v>561</v>
      </c>
      <c r="D50" s="910"/>
      <c r="E50" s="171">
        <f>IF(D50="",0,IF(D50&gt;=67,0,1))</f>
        <v>0</v>
      </c>
      <c r="F50" s="912"/>
      <c r="G50" s="172">
        <f>IF(F50="",0,IF(F50&gt;=67,0,1))</f>
        <v>0</v>
      </c>
      <c r="H50" s="98"/>
    </row>
    <row r="51" spans="2:9" ht="15" customHeight="1" thickBot="1">
      <c r="B51" s="1387" t="s">
        <v>137</v>
      </c>
      <c r="C51" s="1388"/>
      <c r="D51" s="1540">
        <f>IF(OR(D39="No",D40="Yes",D43&gt;800,D44&gt;80),0,SUM(E45,E48,E50))</f>
        <v>0</v>
      </c>
      <c r="E51" s="1657"/>
      <c r="F51" s="1541">
        <f>IF(OR(F39="No",F40="Yes",F43&gt;800,F44&gt;80),0,SUM(G45,G48,G50))</f>
        <v>0</v>
      </c>
      <c r="G51" s="1542"/>
      <c r="H51" s="98"/>
    </row>
    <row r="52" spans="2:9" ht="15" customHeight="1" thickBot="1">
      <c r="B52" s="97"/>
      <c r="C52" s="177"/>
      <c r="D52" s="97"/>
      <c r="E52" s="178"/>
      <c r="F52" s="97"/>
      <c r="G52" s="178"/>
    </row>
    <row r="53" spans="2:9" ht="15" customHeight="1" thickBot="1">
      <c r="B53" s="1387" t="s">
        <v>37</v>
      </c>
      <c r="C53" s="1388"/>
      <c r="D53" s="268"/>
      <c r="E53" s="346"/>
      <c r="F53" s="268"/>
      <c r="G53" s="269"/>
      <c r="H53" s="98"/>
    </row>
    <row r="54" spans="2:9" ht="15" customHeight="1">
      <c r="B54" s="166"/>
      <c r="C54" s="270" t="s">
        <v>138</v>
      </c>
      <c r="D54" s="1573">
        <f>D36</f>
        <v>0</v>
      </c>
      <c r="E54" s="1642"/>
      <c r="F54" s="1643">
        <f>F36</f>
        <v>0</v>
      </c>
      <c r="G54" s="1575"/>
      <c r="H54" s="436"/>
      <c r="I54" s="315"/>
    </row>
    <row r="55" spans="2:9" ht="15" customHeight="1" thickBot="1">
      <c r="B55" s="170"/>
      <c r="C55" s="179" t="s">
        <v>137</v>
      </c>
      <c r="D55" s="1653">
        <f>D51</f>
        <v>0</v>
      </c>
      <c r="E55" s="1654"/>
      <c r="F55" s="1468">
        <f>F51</f>
        <v>0</v>
      </c>
      <c r="G55" s="1469"/>
      <c r="H55" s="436"/>
      <c r="I55" s="315"/>
    </row>
    <row r="56" spans="2:9" ht="15" customHeight="1" thickBot="1">
      <c r="B56" s="107"/>
      <c r="C56" s="271"/>
      <c r="D56" s="272"/>
      <c r="E56" s="272"/>
      <c r="F56" s="272"/>
      <c r="G56" s="272"/>
    </row>
    <row r="57" spans="2:9" ht="15" customHeight="1" thickBot="1">
      <c r="B57" s="1387" t="s">
        <v>62</v>
      </c>
      <c r="C57" s="1655"/>
      <c r="D57" s="1537">
        <f>ROUND(SUM(D54:E55),Round)</f>
        <v>0</v>
      </c>
      <c r="E57" s="1545"/>
      <c r="F57" s="1538">
        <f>ROUND(SUM(F54:G55),Round)</f>
        <v>0</v>
      </c>
      <c r="G57" s="1539"/>
      <c r="H57" s="98"/>
    </row>
    <row r="58" spans="2:9" ht="15" customHeight="1" thickBot="1">
      <c r="D58" s="273"/>
      <c r="E58" s="315"/>
      <c r="F58" s="273"/>
      <c r="G58" s="315"/>
    </row>
    <row r="59" spans="2:9" ht="21.75" thickBot="1">
      <c r="B59" s="1549" t="s">
        <v>2</v>
      </c>
      <c r="C59" s="1550"/>
      <c r="D59" s="1561">
        <f>ROUND(SUM(D57:G57)*IF('General Overview'!C17=0,2,1),Round)</f>
        <v>0</v>
      </c>
      <c r="E59" s="1562"/>
      <c r="F59" s="1562"/>
      <c r="G59" s="1563"/>
      <c r="H59" s="98"/>
    </row>
    <row r="64" spans="2:9" ht="13.5" thickBot="1"/>
    <row r="65" spans="2:8" ht="16.5" thickBot="1">
      <c r="B65" s="1551" t="s">
        <v>390</v>
      </c>
      <c r="C65" s="1656"/>
      <c r="D65" s="386" t="s">
        <v>595</v>
      </c>
      <c r="E65" s="384" t="s">
        <v>594</v>
      </c>
      <c r="F65" s="389" t="s">
        <v>595</v>
      </c>
      <c r="G65" s="385" t="s">
        <v>594</v>
      </c>
      <c r="H65" s="98"/>
    </row>
    <row r="66" spans="2:8">
      <c r="B66" s="164" t="s">
        <v>363</v>
      </c>
      <c r="C66" s="165"/>
      <c r="D66" s="387"/>
      <c r="E66" s="264"/>
      <c r="F66" s="387"/>
      <c r="G66" s="264"/>
      <c r="H66" s="98"/>
    </row>
    <row r="67" spans="2:8">
      <c r="B67" s="274" t="s">
        <v>387</v>
      </c>
      <c r="C67" s="275" t="s">
        <v>380</v>
      </c>
      <c r="D67" s="949"/>
      <c r="E67" s="950"/>
      <c r="F67" s="949"/>
      <c r="G67" s="950"/>
      <c r="H67" s="98"/>
    </row>
    <row r="68" spans="2:8">
      <c r="B68" s="274"/>
      <c r="C68" s="275" t="s">
        <v>381</v>
      </c>
      <c r="D68" s="949"/>
      <c r="E68" s="950"/>
      <c r="F68" s="949"/>
      <c r="G68" s="950"/>
      <c r="H68" s="98"/>
    </row>
    <row r="69" spans="2:8">
      <c r="B69" s="274" t="s">
        <v>388</v>
      </c>
      <c r="C69" s="275" t="s">
        <v>380</v>
      </c>
      <c r="D69" s="949"/>
      <c r="E69" s="950"/>
      <c r="F69" s="949"/>
      <c r="G69" s="950"/>
      <c r="H69" s="98"/>
    </row>
    <row r="70" spans="2:8">
      <c r="B70" s="274"/>
      <c r="C70" s="275" t="s">
        <v>381</v>
      </c>
      <c r="D70" s="949"/>
      <c r="E70" s="950"/>
      <c r="F70" s="949"/>
      <c r="G70" s="950"/>
      <c r="H70" s="98"/>
    </row>
    <row r="71" spans="2:8">
      <c r="B71" s="274" t="s">
        <v>389</v>
      </c>
      <c r="C71" s="275" t="s">
        <v>380</v>
      </c>
      <c r="D71" s="949"/>
      <c r="E71" s="950"/>
      <c r="F71" s="949"/>
      <c r="G71" s="950"/>
      <c r="H71" s="98"/>
    </row>
    <row r="72" spans="2:8" ht="13.5" thickBot="1">
      <c r="B72" s="274"/>
      <c r="C72" s="275" t="s">
        <v>381</v>
      </c>
      <c r="D72" s="949"/>
      <c r="E72" s="950"/>
      <c r="F72" s="949"/>
      <c r="G72" s="950"/>
      <c r="H72" s="98"/>
    </row>
    <row r="73" spans="2:8">
      <c r="B73" s="164" t="s">
        <v>354</v>
      </c>
      <c r="C73" s="276"/>
      <c r="D73" s="951"/>
      <c r="E73" s="952"/>
      <c r="F73" s="951"/>
      <c r="G73" s="952"/>
      <c r="H73" s="98"/>
    </row>
    <row r="74" spans="2:8">
      <c r="B74" s="274" t="s">
        <v>379</v>
      </c>
      <c r="C74" s="275" t="s">
        <v>380</v>
      </c>
      <c r="D74" s="949"/>
      <c r="E74" s="950"/>
      <c r="F74" s="949"/>
      <c r="G74" s="950"/>
      <c r="H74" s="98"/>
    </row>
    <row r="75" spans="2:8">
      <c r="B75" s="274"/>
      <c r="C75" s="275" t="s">
        <v>381</v>
      </c>
      <c r="D75" s="949"/>
      <c r="E75" s="950"/>
      <c r="F75" s="949"/>
      <c r="G75" s="950"/>
      <c r="H75" s="98"/>
    </row>
    <row r="76" spans="2:8">
      <c r="B76" s="274" t="s">
        <v>382</v>
      </c>
      <c r="C76" s="275" t="s">
        <v>380</v>
      </c>
      <c r="D76" s="949"/>
      <c r="E76" s="950"/>
      <c r="F76" s="949"/>
      <c r="G76" s="950"/>
      <c r="H76" s="98"/>
    </row>
    <row r="77" spans="2:8">
      <c r="B77" s="274"/>
      <c r="C77" s="275" t="s">
        <v>381</v>
      </c>
      <c r="D77" s="949"/>
      <c r="E77" s="950"/>
      <c r="F77" s="949"/>
      <c r="G77" s="950"/>
      <c r="H77" s="98"/>
    </row>
    <row r="78" spans="2:8">
      <c r="B78" s="274" t="s">
        <v>386</v>
      </c>
      <c r="C78" s="275" t="s">
        <v>380</v>
      </c>
      <c r="D78" s="949"/>
      <c r="E78" s="950"/>
      <c r="F78" s="949"/>
      <c r="G78" s="950"/>
      <c r="H78" s="98"/>
    </row>
    <row r="79" spans="2:8">
      <c r="B79" s="274"/>
      <c r="C79" s="275" t="s">
        <v>381</v>
      </c>
      <c r="D79" s="949"/>
      <c r="E79" s="950"/>
      <c r="F79" s="949"/>
      <c r="G79" s="950"/>
      <c r="H79" s="98"/>
    </row>
    <row r="80" spans="2:8">
      <c r="B80" s="274" t="s">
        <v>385</v>
      </c>
      <c r="C80" s="275" t="s">
        <v>380</v>
      </c>
      <c r="D80" s="949"/>
      <c r="E80" s="950"/>
      <c r="F80" s="949"/>
      <c r="G80" s="950"/>
      <c r="H80" s="98"/>
    </row>
    <row r="81" spans="2:8">
      <c r="B81" s="274"/>
      <c r="C81" s="275" t="s">
        <v>381</v>
      </c>
      <c r="D81" s="949"/>
      <c r="E81" s="950"/>
      <c r="F81" s="949"/>
      <c r="G81" s="950"/>
      <c r="H81" s="98"/>
    </row>
    <row r="82" spans="2:8">
      <c r="B82" s="274" t="s">
        <v>383</v>
      </c>
      <c r="C82" s="275" t="s">
        <v>380</v>
      </c>
      <c r="D82" s="949"/>
      <c r="E82" s="950"/>
      <c r="F82" s="949"/>
      <c r="G82" s="950"/>
      <c r="H82" s="98"/>
    </row>
    <row r="83" spans="2:8">
      <c r="B83" s="274"/>
      <c r="C83" s="275" t="s">
        <v>381</v>
      </c>
      <c r="D83" s="949"/>
      <c r="E83" s="950"/>
      <c r="F83" s="949"/>
      <c r="G83" s="950"/>
      <c r="H83" s="98"/>
    </row>
    <row r="84" spans="2:8">
      <c r="B84" s="274" t="s">
        <v>384</v>
      </c>
      <c r="C84" s="275" t="s">
        <v>380</v>
      </c>
      <c r="D84" s="949"/>
      <c r="E84" s="950"/>
      <c r="F84" s="949"/>
      <c r="G84" s="950"/>
      <c r="H84" s="98"/>
    </row>
    <row r="85" spans="2:8" ht="13.5" thickBot="1">
      <c r="B85" s="277"/>
      <c r="C85" s="275" t="s">
        <v>381</v>
      </c>
      <c r="D85" s="949"/>
      <c r="E85" s="953"/>
      <c r="F85" s="954"/>
      <c r="G85" s="953"/>
      <c r="H85" s="98"/>
    </row>
    <row r="86" spans="2:8">
      <c r="B86" s="164" t="s">
        <v>406</v>
      </c>
      <c r="C86" s="165"/>
      <c r="D86" s="387"/>
      <c r="E86" s="264"/>
      <c r="F86" s="387"/>
      <c r="G86" s="264"/>
      <c r="H86" s="98"/>
    </row>
    <row r="87" spans="2:8">
      <c r="B87" s="274" t="s">
        <v>379</v>
      </c>
      <c r="C87" s="275" t="s">
        <v>380</v>
      </c>
      <c r="D87" s="388"/>
      <c r="E87" s="155"/>
      <c r="F87" s="388"/>
      <c r="G87" s="950"/>
      <c r="H87" s="98"/>
    </row>
    <row r="88" spans="2:8">
      <c r="B88" s="274"/>
      <c r="C88" s="275" t="s">
        <v>381</v>
      </c>
      <c r="D88" s="388"/>
      <c r="E88" s="155"/>
      <c r="F88" s="388"/>
      <c r="G88" s="950"/>
      <c r="H88" s="98"/>
    </row>
    <row r="89" spans="2:8">
      <c r="B89" s="274" t="s">
        <v>382</v>
      </c>
      <c r="C89" s="275" t="s">
        <v>380</v>
      </c>
      <c r="D89" s="388"/>
      <c r="E89" s="155"/>
      <c r="F89" s="388"/>
      <c r="G89" s="950"/>
      <c r="H89" s="98"/>
    </row>
    <row r="90" spans="2:8">
      <c r="B90" s="274"/>
      <c r="C90" s="275" t="s">
        <v>381</v>
      </c>
      <c r="D90" s="388"/>
      <c r="E90" s="155"/>
      <c r="F90" s="388"/>
      <c r="G90" s="950"/>
      <c r="H90" s="98"/>
    </row>
    <row r="91" spans="2:8">
      <c r="B91" s="274" t="s">
        <v>386</v>
      </c>
      <c r="C91" s="275" t="s">
        <v>380</v>
      </c>
      <c r="D91" s="388"/>
      <c r="E91" s="155"/>
      <c r="F91" s="388"/>
      <c r="G91" s="950"/>
      <c r="H91" s="98"/>
    </row>
    <row r="92" spans="2:8" ht="13.5" thickBot="1">
      <c r="B92" s="274"/>
      <c r="C92" s="275" t="s">
        <v>381</v>
      </c>
      <c r="D92" s="388"/>
      <c r="E92" s="155"/>
      <c r="F92" s="388"/>
      <c r="G92" s="950"/>
      <c r="H92" s="98"/>
    </row>
    <row r="93" spans="2:8">
      <c r="B93" s="164" t="s">
        <v>326</v>
      </c>
      <c r="C93" s="165"/>
      <c r="D93" s="387"/>
      <c r="E93" s="264"/>
      <c r="F93" s="387"/>
      <c r="G93" s="264"/>
      <c r="H93" s="98"/>
    </row>
    <row r="94" spans="2:8" ht="13.5" thickBot="1">
      <c r="B94" s="274" t="s">
        <v>388</v>
      </c>
      <c r="C94" s="275" t="s">
        <v>380</v>
      </c>
      <c r="D94" s="388"/>
      <c r="E94" s="155"/>
      <c r="F94" s="388"/>
      <c r="G94" s="950"/>
      <c r="H94" s="98"/>
    </row>
    <row r="95" spans="2:8">
      <c r="B95" s="164" t="s">
        <v>391</v>
      </c>
      <c r="C95" s="165"/>
      <c r="D95" s="387"/>
      <c r="E95" s="264"/>
      <c r="F95" s="387"/>
      <c r="G95" s="264"/>
      <c r="H95" s="98"/>
    </row>
    <row r="96" spans="2:8">
      <c r="B96" s="274" t="s">
        <v>387</v>
      </c>
      <c r="C96" s="275" t="s">
        <v>380</v>
      </c>
      <c r="D96" s="949"/>
      <c r="E96" s="950"/>
      <c r="F96" s="949"/>
      <c r="G96" s="950"/>
      <c r="H96" s="98"/>
    </row>
    <row r="97" spans="2:8">
      <c r="B97" s="274"/>
      <c r="C97" s="275" t="s">
        <v>381</v>
      </c>
      <c r="D97" s="949"/>
      <c r="E97" s="950"/>
      <c r="F97" s="949"/>
      <c r="G97" s="950"/>
      <c r="H97" s="98"/>
    </row>
    <row r="98" spans="2:8">
      <c r="B98" s="274" t="s">
        <v>388</v>
      </c>
      <c r="C98" s="275" t="s">
        <v>380</v>
      </c>
      <c r="D98" s="949"/>
      <c r="E98" s="950"/>
      <c r="F98" s="949"/>
      <c r="G98" s="950"/>
      <c r="H98" s="98"/>
    </row>
    <row r="99" spans="2:8">
      <c r="B99" s="274"/>
      <c r="C99" s="275" t="s">
        <v>381</v>
      </c>
      <c r="D99" s="949"/>
      <c r="E99" s="950"/>
      <c r="F99" s="949"/>
      <c r="G99" s="950"/>
      <c r="H99" s="98"/>
    </row>
    <row r="100" spans="2:8">
      <c r="B100" s="274" t="s">
        <v>389</v>
      </c>
      <c r="C100" s="275" t="s">
        <v>380</v>
      </c>
      <c r="D100" s="949"/>
      <c r="E100" s="950"/>
      <c r="F100" s="949"/>
      <c r="G100" s="950"/>
      <c r="H100" s="98"/>
    </row>
    <row r="101" spans="2:8">
      <c r="B101" s="274"/>
      <c r="C101" s="275" t="s">
        <v>381</v>
      </c>
      <c r="D101" s="949"/>
      <c r="E101" s="950"/>
      <c r="F101" s="949"/>
      <c r="G101" s="950"/>
      <c r="H101" s="98"/>
    </row>
    <row r="102" spans="2:8">
      <c r="B102" s="274" t="s">
        <v>392</v>
      </c>
      <c r="C102" s="275" t="s">
        <v>380</v>
      </c>
      <c r="D102" s="949"/>
      <c r="E102" s="950"/>
      <c r="F102" s="388"/>
      <c r="G102" s="155"/>
      <c r="H102" s="98"/>
    </row>
    <row r="103" spans="2:8">
      <c r="B103" s="274"/>
      <c r="C103" s="275" t="s">
        <v>381</v>
      </c>
      <c r="D103" s="949"/>
      <c r="E103" s="950"/>
      <c r="F103" s="388"/>
      <c r="G103" s="155"/>
      <c r="H103" s="98"/>
    </row>
    <row r="104" spans="2:8">
      <c r="B104" s="274" t="s">
        <v>596</v>
      </c>
      <c r="C104" s="275" t="s">
        <v>380</v>
      </c>
      <c r="D104" s="388"/>
      <c r="E104" s="155"/>
      <c r="F104" s="949"/>
      <c r="G104" s="950"/>
      <c r="H104" s="98"/>
    </row>
    <row r="105" spans="2:8">
      <c r="B105" s="274"/>
      <c r="C105" s="275" t="s">
        <v>381</v>
      </c>
      <c r="D105" s="388"/>
      <c r="E105" s="155"/>
      <c r="F105" s="949"/>
      <c r="G105" s="950"/>
      <c r="H105" s="98"/>
    </row>
    <row r="106" spans="2:8">
      <c r="B106" s="274" t="s">
        <v>597</v>
      </c>
      <c r="C106" s="275" t="s">
        <v>380</v>
      </c>
      <c r="D106" s="391"/>
      <c r="E106" s="155"/>
      <c r="F106" s="955"/>
      <c r="G106" s="950"/>
      <c r="H106" s="98"/>
    </row>
    <row r="107" spans="2:8" ht="13.5" thickBot="1">
      <c r="B107" s="277"/>
      <c r="C107" s="279" t="s">
        <v>381</v>
      </c>
      <c r="D107" s="392"/>
      <c r="E107" s="278"/>
      <c r="F107" s="956"/>
      <c r="G107" s="953"/>
      <c r="H107" s="98"/>
    </row>
    <row r="108" spans="2:8">
      <c r="B108" s="164" t="s">
        <v>598</v>
      </c>
      <c r="C108" s="165"/>
      <c r="D108" s="387"/>
      <c r="E108" s="264"/>
      <c r="F108" s="387"/>
      <c r="G108" s="264"/>
      <c r="H108" s="98"/>
    </row>
    <row r="109" spans="2:8">
      <c r="B109" s="274" t="s">
        <v>379</v>
      </c>
      <c r="C109" s="275" t="s">
        <v>380</v>
      </c>
      <c r="D109" s="388"/>
      <c r="E109" s="155"/>
      <c r="F109" s="949"/>
      <c r="G109" s="950"/>
      <c r="H109" s="98"/>
    </row>
    <row r="110" spans="2:8">
      <c r="B110" s="274"/>
      <c r="C110" s="275" t="s">
        <v>381</v>
      </c>
      <c r="D110" s="388"/>
      <c r="E110" s="155"/>
      <c r="F110" s="949"/>
      <c r="G110" s="950"/>
      <c r="H110" s="98"/>
    </row>
    <row r="111" spans="2:8">
      <c r="B111" s="274" t="s">
        <v>382</v>
      </c>
      <c r="C111" s="275" t="s">
        <v>380</v>
      </c>
      <c r="D111" s="388"/>
      <c r="E111" s="155"/>
      <c r="F111" s="949"/>
      <c r="G111" s="950"/>
      <c r="H111" s="98"/>
    </row>
    <row r="112" spans="2:8">
      <c r="B112" s="274"/>
      <c r="C112" s="275" t="s">
        <v>381</v>
      </c>
      <c r="D112" s="388"/>
      <c r="E112" s="155"/>
      <c r="F112" s="949"/>
      <c r="G112" s="950"/>
      <c r="H112" s="98"/>
    </row>
    <row r="113" spans="2:8">
      <c r="B113" s="274" t="s">
        <v>386</v>
      </c>
      <c r="C113" s="275" t="s">
        <v>380</v>
      </c>
      <c r="D113" s="388"/>
      <c r="E113" s="155"/>
      <c r="F113" s="949"/>
      <c r="G113" s="950"/>
      <c r="H113" s="98"/>
    </row>
    <row r="114" spans="2:8">
      <c r="B114" s="274"/>
      <c r="C114" s="275" t="s">
        <v>381</v>
      </c>
      <c r="D114" s="388"/>
      <c r="E114" s="155"/>
      <c r="F114" s="949"/>
      <c r="G114" s="950"/>
      <c r="H114" s="98"/>
    </row>
    <row r="115" spans="2:8">
      <c r="B115" s="274" t="s">
        <v>385</v>
      </c>
      <c r="C115" s="275" t="s">
        <v>380</v>
      </c>
      <c r="D115" s="388"/>
      <c r="E115" s="155"/>
      <c r="F115" s="949"/>
      <c r="G115" s="950"/>
      <c r="H115" s="98"/>
    </row>
    <row r="116" spans="2:8">
      <c r="B116" s="274"/>
      <c r="C116" s="275" t="s">
        <v>381</v>
      </c>
      <c r="D116" s="388"/>
      <c r="E116" s="155"/>
      <c r="F116" s="949"/>
      <c r="G116" s="950"/>
      <c r="H116" s="98"/>
    </row>
    <row r="117" spans="2:8">
      <c r="B117" s="274" t="s">
        <v>383</v>
      </c>
      <c r="C117" s="275" t="s">
        <v>380</v>
      </c>
      <c r="D117" s="388"/>
      <c r="E117" s="155"/>
      <c r="F117" s="949"/>
      <c r="G117" s="950"/>
      <c r="H117" s="98"/>
    </row>
    <row r="118" spans="2:8">
      <c r="B118" s="274"/>
      <c r="C118" s="275" t="s">
        <v>381</v>
      </c>
      <c r="D118" s="388"/>
      <c r="E118" s="155"/>
      <c r="F118" s="949"/>
      <c r="G118" s="950"/>
      <c r="H118" s="98"/>
    </row>
    <row r="119" spans="2:8">
      <c r="B119" s="274" t="s">
        <v>384</v>
      </c>
      <c r="C119" s="275" t="s">
        <v>380</v>
      </c>
      <c r="D119" s="388"/>
      <c r="E119" s="155"/>
      <c r="F119" s="949"/>
      <c r="G119" s="950"/>
      <c r="H119" s="98"/>
    </row>
    <row r="120" spans="2:8" ht="13.5" thickBot="1">
      <c r="B120" s="277"/>
      <c r="C120" s="279" t="s">
        <v>381</v>
      </c>
      <c r="D120" s="390"/>
      <c r="E120" s="278"/>
      <c r="F120" s="957"/>
      <c r="G120" s="953"/>
      <c r="H120" s="98"/>
    </row>
    <row r="121" spans="2:8">
      <c r="B121" s="164" t="s">
        <v>599</v>
      </c>
      <c r="C121" s="165"/>
      <c r="D121" s="387"/>
      <c r="E121" s="264"/>
      <c r="F121" s="951"/>
      <c r="G121" s="952"/>
      <c r="H121" s="98"/>
    </row>
    <row r="122" spans="2:8">
      <c r="B122" s="274" t="s">
        <v>387</v>
      </c>
      <c r="C122" s="275" t="s">
        <v>380</v>
      </c>
      <c r="D122" s="388"/>
      <c r="E122" s="155"/>
      <c r="F122" s="949"/>
      <c r="G122" s="950"/>
      <c r="H122" s="98"/>
    </row>
    <row r="123" spans="2:8">
      <c r="B123" s="274"/>
      <c r="C123" s="275" t="s">
        <v>381</v>
      </c>
      <c r="D123" s="388"/>
      <c r="E123" s="155"/>
      <c r="F123" s="949"/>
      <c r="G123" s="950"/>
      <c r="H123" s="98"/>
    </row>
    <row r="124" spans="2:8">
      <c r="B124" s="274" t="s">
        <v>388</v>
      </c>
      <c r="C124" s="275" t="s">
        <v>380</v>
      </c>
      <c r="D124" s="388"/>
      <c r="E124" s="155"/>
      <c r="F124" s="949"/>
      <c r="G124" s="950"/>
      <c r="H124" s="98"/>
    </row>
    <row r="125" spans="2:8">
      <c r="B125" s="274"/>
      <c r="C125" s="275" t="s">
        <v>381</v>
      </c>
      <c r="D125" s="388"/>
      <c r="E125" s="155"/>
      <c r="F125" s="949"/>
      <c r="G125" s="950"/>
      <c r="H125" s="98"/>
    </row>
    <row r="126" spans="2:8">
      <c r="B126" s="274" t="s">
        <v>389</v>
      </c>
      <c r="C126" s="275" t="s">
        <v>380</v>
      </c>
      <c r="D126" s="388"/>
      <c r="E126" s="155"/>
      <c r="F126" s="949"/>
      <c r="G126" s="950"/>
      <c r="H126" s="98"/>
    </row>
    <row r="127" spans="2:8" ht="13.5" thickBot="1">
      <c r="B127" s="274"/>
      <c r="C127" s="275" t="s">
        <v>381</v>
      </c>
      <c r="D127" s="388"/>
      <c r="E127" s="155"/>
      <c r="F127" s="949"/>
      <c r="G127" s="950"/>
      <c r="H127" s="98"/>
    </row>
    <row r="128" spans="2:8">
      <c r="B128" s="164" t="s">
        <v>600</v>
      </c>
      <c r="C128" s="165"/>
      <c r="D128" s="387"/>
      <c r="E128" s="264"/>
      <c r="F128" s="951"/>
      <c r="G128" s="952"/>
      <c r="H128" s="98"/>
    </row>
    <row r="129" spans="2:8">
      <c r="B129" s="274" t="s">
        <v>382</v>
      </c>
      <c r="C129" s="275" t="s">
        <v>380</v>
      </c>
      <c r="D129" s="388"/>
      <c r="E129" s="155"/>
      <c r="F129" s="958"/>
      <c r="G129" s="950"/>
      <c r="H129" s="98"/>
    </row>
    <row r="130" spans="2:8" ht="13.5" thickBot="1">
      <c r="B130" s="277"/>
      <c r="C130" s="279" t="s">
        <v>381</v>
      </c>
      <c r="D130" s="390"/>
      <c r="E130" s="278"/>
      <c r="F130" s="959"/>
      <c r="G130" s="953"/>
      <c r="H130" s="98"/>
    </row>
  </sheetData>
  <mergeCells count="71">
    <mergeCell ref="D17:E17"/>
    <mergeCell ref="F17:G17"/>
    <mergeCell ref="D38:E38"/>
    <mergeCell ref="F38:G38"/>
    <mergeCell ref="D41:E41"/>
    <mergeCell ref="F41:G41"/>
    <mergeCell ref="D23:E23"/>
    <mergeCell ref="D24:E24"/>
    <mergeCell ref="D30:E30"/>
    <mergeCell ref="F23:G23"/>
    <mergeCell ref="F24:G24"/>
    <mergeCell ref="F30:G30"/>
    <mergeCell ref="D8:E8"/>
    <mergeCell ref="F8:G8"/>
    <mergeCell ref="B2:C3"/>
    <mergeCell ref="D2:E3"/>
    <mergeCell ref="F2:G3"/>
    <mergeCell ref="B4:C4"/>
    <mergeCell ref="D6:E6"/>
    <mergeCell ref="F6:G6"/>
    <mergeCell ref="D7:E7"/>
    <mergeCell ref="F7:G7"/>
    <mergeCell ref="D5:E5"/>
    <mergeCell ref="F5:G5"/>
    <mergeCell ref="D13:E13"/>
    <mergeCell ref="F13:G13"/>
    <mergeCell ref="D16:E16"/>
    <mergeCell ref="F16:G16"/>
    <mergeCell ref="F9:G9"/>
    <mergeCell ref="D9:E9"/>
    <mergeCell ref="F10:G10"/>
    <mergeCell ref="D10:E10"/>
    <mergeCell ref="D12:E12"/>
    <mergeCell ref="F12:G12"/>
    <mergeCell ref="D15:E15"/>
    <mergeCell ref="F15:G15"/>
    <mergeCell ref="D14:E14"/>
    <mergeCell ref="F14:G14"/>
    <mergeCell ref="B65:C65"/>
    <mergeCell ref="B22:C22"/>
    <mergeCell ref="B36:C36"/>
    <mergeCell ref="D36:E36"/>
    <mergeCell ref="F36:G36"/>
    <mergeCell ref="B45:C45"/>
    <mergeCell ref="D40:E40"/>
    <mergeCell ref="F40:G40"/>
    <mergeCell ref="D39:E39"/>
    <mergeCell ref="F39:G39"/>
    <mergeCell ref="B51:C51"/>
    <mergeCell ref="D51:E51"/>
    <mergeCell ref="F51:G51"/>
    <mergeCell ref="B59:C59"/>
    <mergeCell ref="D59:G59"/>
    <mergeCell ref="B53:C53"/>
    <mergeCell ref="D55:E55"/>
    <mergeCell ref="F55:G55"/>
    <mergeCell ref="B57:C57"/>
    <mergeCell ref="D57:E57"/>
    <mergeCell ref="F57:G57"/>
    <mergeCell ref="B28:C28"/>
    <mergeCell ref="D29:E29"/>
    <mergeCell ref="F29:G29"/>
    <mergeCell ref="B35:C35"/>
    <mergeCell ref="D54:E54"/>
    <mergeCell ref="F54:G54"/>
    <mergeCell ref="D46:E46"/>
    <mergeCell ref="D47:E47"/>
    <mergeCell ref="F46:G46"/>
    <mergeCell ref="F47:G47"/>
    <mergeCell ref="D49:E49"/>
    <mergeCell ref="F49:G49"/>
  </mergeCells>
  <conditionalFormatting sqref="G22 E22">
    <cfRule type="cellIs" dxfId="1559" priority="65" stopIfTrue="1" operator="equal">
      <formula>4</formula>
    </cfRule>
  </conditionalFormatting>
  <conditionalFormatting sqref="E22 G22">
    <cfRule type="cellIs" dxfId="1558" priority="66" stopIfTrue="1" operator="greaterThanOrEqual">
      <formula>2.667</formula>
    </cfRule>
    <cfRule type="cellIs" dxfId="1557" priority="94" stopIfTrue="1" operator="greaterThan">
      <formula>1.333</formula>
    </cfRule>
    <cfRule type="cellIs" dxfId="1556" priority="95" stopIfTrue="1" operator="greaterThan">
      <formula>0</formula>
    </cfRule>
    <cfRule type="cellIs" dxfId="1555" priority="96" stopIfTrue="1" operator="equal">
      <formula>0</formula>
    </cfRule>
  </conditionalFormatting>
  <conditionalFormatting sqref="E45 G45">
    <cfRule type="cellIs" dxfId="1554" priority="60" stopIfTrue="1" operator="equal">
      <formula>2</formula>
    </cfRule>
  </conditionalFormatting>
  <conditionalFormatting sqref="E21 G21">
    <cfRule type="cellIs" priority="77" operator="equal">
      <formula>0</formula>
    </cfRule>
    <cfRule type="cellIs" dxfId="1553" priority="78" operator="equal">
      <formula>-2</formula>
    </cfRule>
    <cfRule type="cellIs" dxfId="1552" priority="79" operator="equal">
      <formula>-4</formula>
    </cfRule>
  </conditionalFormatting>
  <conditionalFormatting sqref="E48 G48 E50 G50">
    <cfRule type="cellIs" dxfId="1551" priority="58" stopIfTrue="1" operator="greaterThanOrEqual">
      <formula>0.667</formula>
    </cfRule>
    <cfRule type="cellIs" dxfId="1550" priority="59" stopIfTrue="1" operator="greaterThanOrEqual">
      <formula>0.333</formula>
    </cfRule>
    <cfRule type="cellIs" dxfId="1549" priority="67" stopIfTrue="1" operator="greaterThan">
      <formula>0</formula>
    </cfRule>
    <cfRule type="cellIs" dxfId="1548" priority="69" stopIfTrue="1" operator="equal">
      <formula>0</formula>
    </cfRule>
  </conditionalFormatting>
  <conditionalFormatting sqref="E48 G48 E50 G50">
    <cfRule type="cellIs" dxfId="1547" priority="57" stopIfTrue="1" operator="equal">
      <formula>1</formula>
    </cfRule>
  </conditionalFormatting>
  <conditionalFormatting sqref="E45 G45">
    <cfRule type="cellIs" dxfId="1546" priority="61" stopIfTrue="1" operator="greaterThanOrEqual">
      <formula>1.333</formula>
    </cfRule>
    <cfRule type="cellIs" dxfId="1545" priority="62" stopIfTrue="1" operator="greaterThanOrEqual">
      <formula>0.667</formula>
    </cfRule>
  </conditionalFormatting>
  <conditionalFormatting sqref="E45 G45">
    <cfRule type="cellIs" dxfId="1544" priority="63" stopIfTrue="1" operator="greaterThan">
      <formula>0</formula>
    </cfRule>
    <cfRule type="cellIs" dxfId="1543" priority="90" stopIfTrue="1" operator="equal">
      <formula>0</formula>
    </cfRule>
  </conditionalFormatting>
  <conditionalFormatting sqref="E28 G28">
    <cfRule type="cellIs" dxfId="1542" priority="46" stopIfTrue="1" operator="equal">
      <formula>2</formula>
    </cfRule>
  </conditionalFormatting>
  <conditionalFormatting sqref="E28 G28">
    <cfRule type="cellIs" dxfId="1541" priority="47" stopIfTrue="1" operator="greaterThanOrEqual">
      <formula>1.335</formula>
    </cfRule>
    <cfRule type="cellIs" dxfId="1540" priority="48" stopIfTrue="1" operator="greaterThanOrEqual">
      <formula>0.665</formula>
    </cfRule>
    <cfRule type="cellIs" dxfId="1539" priority="49" stopIfTrue="1" operator="greaterThan">
      <formula>0</formula>
    </cfRule>
    <cfRule type="cellIs" dxfId="1538" priority="50" stopIfTrue="1" operator="equal">
      <formula>0</formula>
    </cfRule>
  </conditionalFormatting>
  <conditionalFormatting sqref="E27">
    <cfRule type="cellIs" priority="43" operator="equal">
      <formula>0</formula>
    </cfRule>
    <cfRule type="cellIs" dxfId="1537" priority="44" operator="equal">
      <formula>-2</formula>
    </cfRule>
    <cfRule type="cellIs" dxfId="1536" priority="45" operator="equal">
      <formula>-4</formula>
    </cfRule>
  </conditionalFormatting>
  <conditionalFormatting sqref="G27">
    <cfRule type="cellIs" priority="37" operator="equal">
      <formula>0</formula>
    </cfRule>
    <cfRule type="cellIs" dxfId="1535" priority="38" operator="equal">
      <formula>-2</formula>
    </cfRule>
    <cfRule type="cellIs" dxfId="1534" priority="39" operator="equal">
      <formula>-4</formula>
    </cfRule>
  </conditionalFormatting>
  <conditionalFormatting sqref="E35 G35">
    <cfRule type="cellIs" dxfId="1533" priority="22" stopIfTrue="1" operator="equal">
      <formula>2</formula>
    </cfRule>
  </conditionalFormatting>
  <conditionalFormatting sqref="E35 G35">
    <cfRule type="cellIs" dxfId="1532" priority="23" stopIfTrue="1" operator="greaterThanOrEqual">
      <formula>1.335</formula>
    </cfRule>
    <cfRule type="cellIs" dxfId="1531" priority="24" stopIfTrue="1" operator="greaterThanOrEqual">
      <formula>0.665</formula>
    </cfRule>
    <cfRule type="cellIs" dxfId="1530" priority="25" stopIfTrue="1" operator="greaterThan">
      <formula>0</formula>
    </cfRule>
    <cfRule type="cellIs" dxfId="1529" priority="26" stopIfTrue="1" operator="equal">
      <formula>0</formula>
    </cfRule>
  </conditionalFormatting>
  <conditionalFormatting sqref="D16:G16">
    <cfRule type="cellIs" dxfId="1528" priority="14" stopIfTrue="1" operator="equal">
      <formula>"Yes"</formula>
    </cfRule>
    <cfRule type="cellIs" dxfId="1527" priority="15" stopIfTrue="1" operator="equal">
      <formula>"No"</formula>
    </cfRule>
  </conditionalFormatting>
  <conditionalFormatting sqref="D15:G15">
    <cfRule type="cellIs" dxfId="1526" priority="12" stopIfTrue="1" operator="equal">
      <formula>"No"</formula>
    </cfRule>
    <cfRule type="cellIs" dxfId="1525" priority="13" stopIfTrue="1" operator="equal">
      <formula>"Yes"</formula>
    </cfRule>
  </conditionalFormatting>
  <conditionalFormatting sqref="D14:G14">
    <cfRule type="cellIs" dxfId="1524" priority="9" stopIfTrue="1" operator="equal">
      <formula>"No"</formula>
    </cfRule>
    <cfRule type="cellIs" dxfId="1523" priority="10" stopIfTrue="1" operator="equal">
      <formula>"Partial"</formula>
    </cfRule>
    <cfRule type="cellIs" dxfId="1522" priority="11" stopIfTrue="1" operator="equal">
      <formula>"Yes"</formula>
    </cfRule>
  </conditionalFormatting>
  <conditionalFormatting sqref="D21">
    <cfRule type="expression" dxfId="1521" priority="7" stopIfTrue="1">
      <formula>#REF!="Forward Facing"</formula>
    </cfRule>
    <cfRule type="expression" dxfId="1520" priority="8" stopIfTrue="1">
      <formula>#REF!="Rearward Facing"</formula>
    </cfRule>
  </conditionalFormatting>
  <conditionalFormatting sqref="F21">
    <cfRule type="expression" dxfId="1519" priority="5" stopIfTrue="1">
      <formula>#REF!="Rearward Facing"</formula>
    </cfRule>
    <cfRule type="expression" dxfId="1518" priority="6" stopIfTrue="1">
      <formula>#REF!="Forward Facing"</formula>
    </cfRule>
  </conditionalFormatting>
  <conditionalFormatting sqref="D39:G39">
    <cfRule type="cellIs" dxfId="1517" priority="3" stopIfTrue="1" operator="equal">
      <formula>"Yes"</formula>
    </cfRule>
    <cfRule type="cellIs" dxfId="1516" priority="4" stopIfTrue="1" operator="equal">
      <formula>"No"</formula>
    </cfRule>
  </conditionalFormatting>
  <conditionalFormatting sqref="D40:G40">
    <cfRule type="cellIs" dxfId="1515" priority="1" stopIfTrue="1" operator="equal">
      <formula>"Yes"</formula>
    </cfRule>
    <cfRule type="cellIs" dxfId="1514" priority="2" stopIfTrue="1" operator="equal">
      <formula>"No"</formula>
    </cfRule>
  </conditionalFormatting>
  <dataValidations count="4">
    <dataValidation type="list" allowBlank="1" showInputMessage="1" showErrorMessage="1" sqref="D8:G8" xr:uid="{00000000-0002-0000-0A00-000000000000}">
      <formula1>"Adult seatbelt,ISOFIX"</formula1>
    </dataValidation>
    <dataValidation type="list" allowBlank="1" showInputMessage="1" showErrorMessage="1" sqref="F39:F40 D42 D15:G15 D25 F16 F25 D10:G10 F18 D18 D16 D39:D40 F42" xr:uid="{00000000-0002-0000-0A00-000001000000}">
      <formula1>"Yes,No"</formula1>
    </dataValidation>
    <dataValidation type="list" allowBlank="1" showInputMessage="1" showErrorMessage="1" sqref="D9:E9" xr:uid="{4E531D84-8A03-46B6-B415-F1BA434B4F47}">
      <formula1>"Highback booster,Booster cushion"</formula1>
    </dataValidation>
    <dataValidation type="list" allowBlank="1" showInputMessage="1" showErrorMessage="1" sqref="D14:G14" xr:uid="{B2391940-7BBF-4C4A-BBF9-F08EF7A05180}">
      <formula1>"Yes,Partial,No"</formula1>
    </dataValidation>
  </dataValidations>
  <pageMargins left="0.8" right="0.44" top="0.53" bottom="1" header="0.5" footer="0.5"/>
  <pageSetup paperSize="9" scale="5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0">
    <tabColor rgb="FF0070C0"/>
    <pageSetUpPr fitToPage="1"/>
  </sheetPr>
  <dimension ref="B1:Z61"/>
  <sheetViews>
    <sheetView showGridLines="0" showOutlineSymbols="0" topLeftCell="A5" zoomScaleNormal="100" workbookViewId="0"/>
  </sheetViews>
  <sheetFormatPr defaultColWidth="8.7109375" defaultRowHeight="12.75"/>
  <cols>
    <col min="1" max="2" width="8.7109375" style="95"/>
    <col min="3" max="3" width="40.42578125" style="95" customWidth="1"/>
    <col min="4" max="7" width="11.42578125" style="95" customWidth="1"/>
    <col min="8" max="8" width="11.85546875" style="95" hidden="1" customWidth="1"/>
    <col min="9" max="9" width="12.140625" style="95" hidden="1" customWidth="1"/>
    <col min="10" max="10" width="11.28515625" style="95" hidden="1" customWidth="1"/>
    <col min="11" max="11" width="18" style="95" customWidth="1"/>
    <col min="12" max="13" width="8.7109375" style="95" customWidth="1"/>
    <col min="14" max="14" width="9.28515625" style="109" customWidth="1"/>
    <col min="15" max="15" width="10.42578125" style="95" bestFit="1" customWidth="1"/>
    <col min="16" max="16384" width="8.7109375" style="95"/>
  </cols>
  <sheetData>
    <row r="1" spans="2:25" ht="13.5" thickBot="1">
      <c r="D1" s="104"/>
      <c r="E1" s="104"/>
      <c r="F1" s="104"/>
    </row>
    <row r="2" spans="2:25" s="113" customFormat="1" ht="12.75" customHeight="1">
      <c r="B2" s="1364" t="s">
        <v>139</v>
      </c>
      <c r="C2" s="1365"/>
      <c r="D2" s="1368" t="s">
        <v>81</v>
      </c>
      <c r="E2" s="1690" t="s">
        <v>178</v>
      </c>
      <c r="F2" s="1691"/>
      <c r="G2" s="1369"/>
      <c r="H2" s="1690" t="s">
        <v>179</v>
      </c>
      <c r="I2" s="1691"/>
      <c r="J2" s="1694"/>
      <c r="K2" s="393"/>
      <c r="N2" s="259"/>
    </row>
    <row r="3" spans="2:25" s="113" customFormat="1" ht="15" customHeight="1">
      <c r="B3" s="1366"/>
      <c r="C3" s="1367"/>
      <c r="D3" s="1370"/>
      <c r="E3" s="1692"/>
      <c r="F3" s="1693"/>
      <c r="G3" s="1371"/>
      <c r="H3" s="1692"/>
      <c r="I3" s="1693"/>
      <c r="J3" s="1695"/>
      <c r="K3" s="393"/>
      <c r="L3" s="316"/>
      <c r="M3" s="316"/>
      <c r="N3" s="798"/>
    </row>
    <row r="4" spans="2:25" ht="15" customHeight="1" thickBot="1">
      <c r="B4" s="1696"/>
      <c r="C4" s="1697"/>
      <c r="D4" s="380" t="s">
        <v>2684</v>
      </c>
      <c r="E4" s="381" t="s">
        <v>180</v>
      </c>
      <c r="F4" s="382" t="s">
        <v>181</v>
      </c>
      <c r="G4" s="394" t="s">
        <v>182</v>
      </c>
      <c r="H4" s="206" t="s">
        <v>180</v>
      </c>
      <c r="I4" s="382" t="s">
        <v>181</v>
      </c>
      <c r="J4" s="383" t="s">
        <v>182</v>
      </c>
      <c r="K4" s="98"/>
      <c r="L4" s="316"/>
      <c r="M4" s="145"/>
      <c r="N4" s="288"/>
    </row>
    <row r="5" spans="2:25" ht="15" customHeight="1">
      <c r="B5" s="164" t="s">
        <v>489</v>
      </c>
      <c r="C5" s="173"/>
      <c r="D5" s="280"/>
      <c r="E5" s="281"/>
      <c r="F5" s="281"/>
      <c r="G5" s="281"/>
      <c r="H5" s="282"/>
      <c r="I5" s="282"/>
      <c r="J5" s="283"/>
      <c r="K5" s="98"/>
    </row>
    <row r="6" spans="2:25" ht="15" customHeight="1">
      <c r="B6" s="152"/>
      <c r="C6" s="105" t="s">
        <v>485</v>
      </c>
      <c r="D6" s="960"/>
      <c r="E6" s="961"/>
      <c r="F6" s="961"/>
      <c r="G6" s="857"/>
      <c r="H6" s="857"/>
      <c r="I6" s="857"/>
      <c r="J6" s="858"/>
      <c r="K6" s="1047"/>
      <c r="L6" s="1048"/>
      <c r="M6" s="1048"/>
      <c r="N6" s="382"/>
      <c r="O6" s="104"/>
      <c r="P6" s="104"/>
      <c r="Q6" s="104"/>
      <c r="R6" s="104"/>
      <c r="S6" s="104"/>
      <c r="T6" s="104"/>
      <c r="U6" s="104"/>
      <c r="V6" s="104"/>
      <c r="W6" s="104"/>
      <c r="X6" s="104"/>
      <c r="Y6" s="104"/>
    </row>
    <row r="7" spans="2:25" ht="15" customHeight="1">
      <c r="B7" s="152"/>
      <c r="C7" s="104" t="s">
        <v>2679</v>
      </c>
      <c r="D7" s="960"/>
      <c r="E7" s="961"/>
      <c r="F7" s="961"/>
      <c r="G7" s="857"/>
      <c r="H7" s="857"/>
      <c r="I7" s="962"/>
      <c r="J7" s="858"/>
      <c r="K7" s="833"/>
      <c r="L7" s="104"/>
      <c r="M7" s="104"/>
      <c r="N7" s="382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</row>
    <row r="8" spans="2:25" ht="15" customHeight="1">
      <c r="B8" s="152"/>
      <c r="C8" s="104"/>
      <c r="D8" s="321"/>
      <c r="E8" s="322"/>
      <c r="F8" s="322"/>
      <c r="G8" s="323"/>
      <c r="H8" s="323"/>
      <c r="I8" s="323"/>
      <c r="J8" s="324"/>
      <c r="K8" s="106"/>
      <c r="L8" s="104"/>
      <c r="M8" s="149"/>
      <c r="N8" s="382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</row>
    <row r="9" spans="2:25" ht="15" customHeight="1">
      <c r="B9" s="152" t="s">
        <v>2457</v>
      </c>
      <c r="C9" s="104"/>
      <c r="D9" s="327"/>
      <c r="E9" s="288"/>
      <c r="F9" s="288"/>
      <c r="G9" s="145"/>
      <c r="H9" s="145"/>
      <c r="I9" s="145"/>
      <c r="J9" s="328"/>
      <c r="K9" s="106"/>
      <c r="L9" s="104"/>
      <c r="M9" s="149"/>
      <c r="N9" s="382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</row>
    <row r="10" spans="2:25" ht="15" customHeight="1">
      <c r="B10" s="152"/>
      <c r="C10" s="325" t="s">
        <v>2458</v>
      </c>
      <c r="D10" s="1659"/>
      <c r="E10" s="1661"/>
      <c r="F10" s="1661"/>
      <c r="G10" s="1661"/>
      <c r="H10" s="1661"/>
      <c r="I10" s="1661"/>
      <c r="J10" s="1662"/>
      <c r="K10" s="833"/>
      <c r="L10" s="104"/>
      <c r="M10" s="104"/>
      <c r="N10" s="382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</row>
    <row r="11" spans="2:25" ht="15" customHeight="1">
      <c r="B11" s="152" t="s">
        <v>569</v>
      </c>
      <c r="C11" s="325"/>
      <c r="D11" s="327"/>
      <c r="E11" s="288"/>
      <c r="F11" s="288"/>
      <c r="G11" s="145"/>
      <c r="H11" s="145"/>
      <c r="I11" s="145"/>
      <c r="J11" s="328"/>
      <c r="K11" s="106"/>
      <c r="L11" s="104"/>
      <c r="M11" s="104"/>
      <c r="N11" s="382"/>
      <c r="O11" s="104"/>
      <c r="P11" s="104"/>
      <c r="Q11" s="104"/>
      <c r="R11" s="104"/>
      <c r="S11" s="104"/>
      <c r="T11" s="104"/>
      <c r="U11" s="104"/>
      <c r="V11" s="104"/>
      <c r="W11" s="104"/>
      <c r="X11" s="104"/>
      <c r="Y11" s="104"/>
    </row>
    <row r="12" spans="2:25" ht="15" customHeight="1" thickBot="1">
      <c r="B12" s="284"/>
      <c r="C12" s="326" t="s">
        <v>2456</v>
      </c>
      <c r="D12" s="1671"/>
      <c r="E12" s="1669"/>
      <c r="F12" s="1669"/>
      <c r="G12" s="1669"/>
      <c r="H12" s="1669"/>
      <c r="I12" s="1669"/>
      <c r="J12" s="1670"/>
      <c r="K12" s="833"/>
      <c r="L12" s="104"/>
      <c r="M12" s="104"/>
      <c r="N12" s="382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</row>
    <row r="13" spans="2:25" ht="15" customHeight="1" thickBot="1">
      <c r="B13" s="1387" t="s">
        <v>135</v>
      </c>
      <c r="C13" s="1655"/>
      <c r="D13" s="1687" t="str">
        <f>IF(AND(COUNTIF(D6:J6,"Yes")=(1+SUM('General Overview'!C17:D18)),D10="OK",D12="OK"),"Yes","No")</f>
        <v>No</v>
      </c>
      <c r="E13" s="1688"/>
      <c r="F13" s="1688"/>
      <c r="G13" s="1688"/>
      <c r="H13" s="1688"/>
      <c r="I13" s="1688"/>
      <c r="J13" s="1689"/>
      <c r="K13" s="106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</row>
    <row r="14" spans="2:25" s="145" customFormat="1" ht="15" customHeight="1" thickBot="1">
      <c r="B14" s="285"/>
      <c r="C14" s="286"/>
      <c r="D14" s="287"/>
      <c r="E14" s="288"/>
      <c r="F14" s="288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</row>
    <row r="15" spans="2:25" ht="15" customHeight="1">
      <c r="B15" s="164" t="s">
        <v>482</v>
      </c>
      <c r="C15" s="173"/>
      <c r="D15" s="280"/>
      <c r="E15" s="281"/>
      <c r="F15" s="281"/>
      <c r="G15" s="281"/>
      <c r="H15" s="282"/>
      <c r="I15" s="282"/>
      <c r="J15" s="283"/>
      <c r="K15" s="106"/>
      <c r="L15" s="104"/>
      <c r="M15" s="104"/>
      <c r="N15" s="382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</row>
    <row r="16" spans="2:25" ht="15" customHeight="1" thickBot="1">
      <c r="B16" s="106"/>
      <c r="C16" s="104" t="s">
        <v>2478</v>
      </c>
      <c r="D16" s="919"/>
      <c r="E16" s="963"/>
      <c r="F16" s="963"/>
      <c r="G16" s="963"/>
      <c r="H16" s="862"/>
      <c r="I16" s="862"/>
      <c r="J16" s="858"/>
      <c r="K16" s="833"/>
      <c r="L16" s="104"/>
      <c r="M16" s="104"/>
      <c r="N16" s="382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</row>
    <row r="17" spans="2:26" ht="15" customHeight="1" thickBot="1">
      <c r="B17" s="1387" t="s">
        <v>486</v>
      </c>
      <c r="C17" s="1655"/>
      <c r="D17" s="1537">
        <f>IF(AND(E16="Pass",G16="Pass"),1,0)+IF(COUNTIF(D16:J16,"Pass")=(1+SUM('General Overview'!C17:D18)),1,0)</f>
        <v>0</v>
      </c>
      <c r="E17" s="1538"/>
      <c r="F17" s="1538"/>
      <c r="G17" s="1538"/>
      <c r="H17" s="1538"/>
      <c r="I17" s="1538"/>
      <c r="J17" s="1539"/>
      <c r="K17" s="106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</row>
    <row r="18" spans="2:26" s="145" customFormat="1" ht="15" customHeight="1" thickBot="1">
      <c r="B18" s="289"/>
      <c r="C18" s="290"/>
      <c r="D18" s="289"/>
      <c r="E18" s="289"/>
      <c r="F18" s="289"/>
      <c r="G18" s="289"/>
      <c r="H18" s="289"/>
      <c r="K18" s="104"/>
      <c r="L18" s="104"/>
      <c r="M18" s="104"/>
      <c r="N18" s="382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</row>
    <row r="19" spans="2:26" ht="15" customHeight="1">
      <c r="B19" s="164" t="s">
        <v>562</v>
      </c>
      <c r="C19" s="291"/>
      <c r="D19" s="166"/>
      <c r="E19" s="168"/>
      <c r="F19" s="168"/>
      <c r="G19" s="168"/>
      <c r="H19" s="200"/>
      <c r="I19" s="200"/>
      <c r="J19" s="165"/>
      <c r="K19" s="106"/>
      <c r="L19" s="104"/>
      <c r="M19" s="104"/>
      <c r="N19" s="382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</row>
    <row r="20" spans="2:26" ht="15" customHeight="1">
      <c r="B20" s="106"/>
      <c r="C20" s="149" t="s">
        <v>563</v>
      </c>
      <c r="D20" s="930"/>
      <c r="E20" s="964"/>
      <c r="F20" s="964"/>
      <c r="G20" s="964"/>
      <c r="H20" s="965"/>
      <c r="I20" s="965"/>
      <c r="J20" s="859"/>
      <c r="K20" s="833"/>
      <c r="L20" s="104"/>
      <c r="M20" s="149"/>
      <c r="N20" s="382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</row>
    <row r="21" spans="2:26" ht="15" customHeight="1">
      <c r="B21" s="106"/>
      <c r="C21" s="104" t="s">
        <v>681</v>
      </c>
      <c r="D21" s="930"/>
      <c r="E21" s="964"/>
      <c r="F21" s="964"/>
      <c r="G21" s="964"/>
      <c r="H21" s="965"/>
      <c r="I21" s="965"/>
      <c r="J21" s="859"/>
      <c r="K21" s="833"/>
      <c r="L21" s="104"/>
      <c r="M21" s="149"/>
      <c r="N21" s="382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</row>
    <row r="22" spans="2:26" ht="12.75" hidden="1" customHeight="1">
      <c r="B22" s="106"/>
      <c r="C22" s="104"/>
      <c r="D22" s="380" t="str">
        <f t="array" ref="D22">IF(D20="","",IF(AND(D20:D21="Pass"),"Pass","Fail"))</f>
        <v/>
      </c>
      <c r="E22" s="382" t="str">
        <f t="array" ref="E22">IF(E20="","",IF(AND(E20:E21="Pass"),"Pass","Fail"))</f>
        <v/>
      </c>
      <c r="F22" s="382" t="str">
        <f t="array" ref="F22">IF(F20="","",IF(AND(F20:F21="Pass"),"Pass","Fail"))</f>
        <v/>
      </c>
      <c r="G22" s="382" t="str">
        <f t="array" ref="G22">IF(G20="","",IF(AND(G20:G21="Pass"),"Pass","Fail"))</f>
        <v/>
      </c>
      <c r="H22" s="382" t="str">
        <f t="array" ref="H22">IF(H20="","",IF(AND(H20:H21="Pass"),"Pass","Fail"))</f>
        <v/>
      </c>
      <c r="I22" s="382" t="str">
        <f t="array" ref="I22">IF(I20="","",IF(AND(I20:I21="Pass"),"Pass","Fail"))</f>
        <v/>
      </c>
      <c r="J22" s="383" t="str">
        <f t="array" ref="J22">IF(J20="","",IF(AND(J20:J21="Pass"),"Pass","Fail"))</f>
        <v/>
      </c>
      <c r="K22" s="106"/>
      <c r="L22" s="104"/>
      <c r="M22" s="149"/>
      <c r="N22" s="382"/>
      <c r="O22" s="832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</row>
    <row r="23" spans="2:26" ht="15" customHeight="1">
      <c r="B23" s="106"/>
      <c r="C23" s="160" t="s">
        <v>2471</v>
      </c>
      <c r="D23" s="1576">
        <f>IF(AND('General Overview'!C19="Roadster sports",D22="Pass"),2,IF(COUNTIF(D22:J22,"Pass")&gt;=2,2,0))</f>
        <v>0</v>
      </c>
      <c r="E23" s="1577"/>
      <c r="F23" s="1577"/>
      <c r="G23" s="1577"/>
      <c r="H23" s="1577"/>
      <c r="I23" s="1577"/>
      <c r="J23" s="1578"/>
      <c r="K23" s="833"/>
      <c r="L23" s="104"/>
      <c r="M23" s="149"/>
      <c r="N23" s="382"/>
      <c r="O23" s="832"/>
      <c r="P23" s="104"/>
      <c r="Q23" s="104"/>
      <c r="R23" s="104"/>
      <c r="S23" s="104"/>
      <c r="T23" s="104"/>
      <c r="U23" s="104"/>
      <c r="V23" s="104"/>
      <c r="W23" s="104"/>
      <c r="X23" s="104"/>
      <c r="Y23" s="104"/>
    </row>
    <row r="24" spans="2:26" ht="15" customHeight="1">
      <c r="B24" s="106"/>
      <c r="C24" s="149" t="s">
        <v>484</v>
      </c>
      <c r="D24" s="930"/>
      <c r="E24" s="964"/>
      <c r="F24" s="964"/>
      <c r="G24" s="964"/>
      <c r="H24" s="965"/>
      <c r="I24" s="965"/>
      <c r="J24" s="859"/>
      <c r="K24" s="833"/>
      <c r="L24" s="104"/>
      <c r="M24" s="149"/>
      <c r="N24" s="382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</row>
    <row r="25" spans="2:26" ht="15.75" hidden="1" customHeight="1">
      <c r="B25" s="106"/>
      <c r="C25" s="149"/>
      <c r="D25" s="380" t="str">
        <f>IF(D24="","",IF(AND(D24="Pass",D22="Pass"),"Pass","Fail"))</f>
        <v/>
      </c>
      <c r="E25" s="382" t="str">
        <f t="shared" ref="E25:J25" si="0">IF(E24="","",IF(AND(E24="Pass",E22="Pass"),"Pass","Fail"))</f>
        <v/>
      </c>
      <c r="F25" s="382" t="str">
        <f t="shared" si="0"/>
        <v/>
      </c>
      <c r="G25" s="382" t="str">
        <f t="shared" si="0"/>
        <v/>
      </c>
      <c r="H25" s="382" t="str">
        <f t="shared" si="0"/>
        <v/>
      </c>
      <c r="I25" s="382" t="str">
        <f t="shared" si="0"/>
        <v/>
      </c>
      <c r="J25" s="383" t="str">
        <f t="shared" si="0"/>
        <v/>
      </c>
      <c r="K25" s="106"/>
      <c r="L25" s="104"/>
      <c r="M25" s="149"/>
      <c r="N25" s="382"/>
      <c r="O25" s="832"/>
      <c r="P25" s="104"/>
      <c r="Q25" s="104"/>
      <c r="R25" s="104"/>
      <c r="S25" s="104"/>
      <c r="T25" s="104"/>
      <c r="U25" s="104"/>
      <c r="V25" s="104"/>
      <c r="W25" s="104"/>
      <c r="X25" s="104"/>
      <c r="Y25" s="104"/>
    </row>
    <row r="26" spans="2:26" ht="15" customHeight="1" thickBot="1">
      <c r="B26" s="106"/>
      <c r="C26" s="160" t="s">
        <v>2470</v>
      </c>
      <c r="D26" s="1653">
        <f>IF(AND('General Overview'!C19="Roadster sports",D25="Pass"),1,IF(COUNTIF(D25:J25,"Pass")&gt;=3,1,0))</f>
        <v>0</v>
      </c>
      <c r="E26" s="1681"/>
      <c r="F26" s="1681"/>
      <c r="G26" s="1681"/>
      <c r="H26" s="1681"/>
      <c r="I26" s="1681"/>
      <c r="J26" s="1469"/>
      <c r="K26" s="833"/>
      <c r="L26" s="104"/>
      <c r="M26" s="149"/>
      <c r="N26" s="382"/>
      <c r="O26" s="832"/>
      <c r="P26" s="104"/>
      <c r="Q26" s="104"/>
      <c r="R26" s="104"/>
      <c r="S26" s="104"/>
      <c r="T26" s="104"/>
      <c r="U26" s="104"/>
      <c r="V26" s="104"/>
      <c r="W26" s="104"/>
      <c r="X26" s="104"/>
      <c r="Y26" s="104"/>
    </row>
    <row r="27" spans="2:26" ht="15" customHeight="1" thickBot="1">
      <c r="B27" s="1685" t="s">
        <v>564</v>
      </c>
      <c r="C27" s="1686"/>
      <c r="D27" s="1537">
        <f>SUM(D23+D26)</f>
        <v>0</v>
      </c>
      <c r="E27" s="1538"/>
      <c r="F27" s="1538"/>
      <c r="G27" s="1538"/>
      <c r="H27" s="1538"/>
      <c r="I27" s="1538"/>
      <c r="J27" s="1539"/>
      <c r="K27" s="106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</row>
    <row r="28" spans="2:26" s="145" customFormat="1" ht="15" customHeight="1" thickBot="1">
      <c r="B28" s="289"/>
      <c r="C28" s="290"/>
      <c r="D28" s="289"/>
      <c r="E28" s="289"/>
      <c r="F28" s="289"/>
      <c r="G28" s="289"/>
      <c r="H28" s="289"/>
      <c r="K28" s="104"/>
      <c r="L28" s="104"/>
      <c r="M28" s="104"/>
      <c r="N28" s="382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</row>
    <row r="29" spans="2:26" ht="15" customHeight="1">
      <c r="B29" s="164" t="s">
        <v>483</v>
      </c>
      <c r="C29" s="291"/>
      <c r="D29" s="280"/>
      <c r="E29" s="281"/>
      <c r="F29" s="281"/>
      <c r="G29" s="281"/>
      <c r="H29" s="282"/>
      <c r="I29" s="282"/>
      <c r="J29" s="283"/>
      <c r="K29" s="106"/>
      <c r="L29" s="104"/>
      <c r="M29" s="104"/>
      <c r="N29" s="382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</row>
    <row r="30" spans="2:26" ht="15" customHeight="1">
      <c r="B30" s="106"/>
      <c r="C30" s="149" t="s">
        <v>129</v>
      </c>
      <c r="D30" s="918"/>
      <c r="E30" s="292"/>
      <c r="F30" s="292"/>
      <c r="G30" s="292"/>
      <c r="H30" s="293"/>
      <c r="I30" s="293"/>
      <c r="J30" s="294"/>
      <c r="K30" s="106"/>
      <c r="L30" s="104"/>
      <c r="M30" s="104"/>
      <c r="N30" s="382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</row>
    <row r="31" spans="2:26" ht="15" customHeight="1" thickBot="1">
      <c r="B31" s="106"/>
      <c r="C31" s="149" t="s">
        <v>130</v>
      </c>
      <c r="D31" s="918"/>
      <c r="E31" s="292"/>
      <c r="F31" s="292"/>
      <c r="G31" s="292"/>
      <c r="H31" s="295"/>
      <c r="I31" s="295"/>
      <c r="J31" s="294"/>
      <c r="K31" s="106"/>
      <c r="L31" s="104"/>
      <c r="M31" s="104"/>
      <c r="N31" s="382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</row>
    <row r="32" spans="2:26" ht="15" customHeight="1" thickBot="1">
      <c r="B32" s="1387" t="s">
        <v>488</v>
      </c>
      <c r="C32" s="1655"/>
      <c r="D32" s="1537">
        <f>IF(D31="Pass",4,IF(D30="Pass",2,0))</f>
        <v>0</v>
      </c>
      <c r="E32" s="1538"/>
      <c r="F32" s="1538"/>
      <c r="G32" s="1538"/>
      <c r="H32" s="1538"/>
      <c r="I32" s="1538"/>
      <c r="J32" s="1539"/>
      <c r="K32" s="106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</row>
    <row r="33" spans="2:25" s="145" customFormat="1" ht="15" customHeight="1" thickBot="1">
      <c r="B33" s="289"/>
      <c r="C33" s="290"/>
      <c r="D33" s="289"/>
      <c r="E33" s="289"/>
      <c r="F33" s="289"/>
      <c r="G33" s="289"/>
      <c r="H33" s="289"/>
      <c r="K33" s="104"/>
      <c r="L33" s="104"/>
      <c r="M33" s="104"/>
      <c r="N33" s="382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</row>
    <row r="34" spans="2:25" ht="15" customHeight="1">
      <c r="B34" s="164" t="s">
        <v>2454</v>
      </c>
      <c r="C34" s="173"/>
      <c r="D34" s="1708">
        <f>'General Overview'!F48</f>
        <v>0</v>
      </c>
      <c r="E34" s="1241"/>
      <c r="F34" s="1241"/>
      <c r="G34" s="1241"/>
      <c r="H34" s="1241"/>
      <c r="I34" s="1241"/>
      <c r="J34" s="1242"/>
      <c r="K34" s="106"/>
      <c r="L34" s="104"/>
      <c r="M34" s="104"/>
      <c r="N34" s="382"/>
      <c r="O34" s="832"/>
      <c r="P34" s="104"/>
      <c r="Q34" s="104"/>
      <c r="R34" s="1587"/>
      <c r="S34" s="1680"/>
      <c r="T34" s="1680"/>
      <c r="U34" s="1680"/>
      <c r="V34" s="1680"/>
      <c r="W34" s="1680"/>
      <c r="X34" s="1680"/>
      <c r="Y34" s="104"/>
    </row>
    <row r="35" spans="2:25" ht="15" customHeight="1">
      <c r="B35" s="152"/>
      <c r="C35" s="104" t="s">
        <v>2692</v>
      </c>
      <c r="D35" s="1659"/>
      <c r="E35" s="1661"/>
      <c r="F35" s="1661"/>
      <c r="G35" s="1661"/>
      <c r="H35" s="1661"/>
      <c r="I35" s="1661"/>
      <c r="J35" s="1662"/>
      <c r="K35" s="106"/>
      <c r="L35" s="104"/>
      <c r="M35" s="104"/>
      <c r="N35" s="104"/>
      <c r="O35" s="104"/>
      <c r="P35" s="104"/>
      <c r="Q35" s="104"/>
      <c r="R35" s="1587"/>
      <c r="S35" s="1587"/>
      <c r="T35" s="1587"/>
      <c r="U35" s="1587"/>
      <c r="V35" s="1587"/>
      <c r="W35" s="1587"/>
      <c r="X35" s="1587"/>
      <c r="Y35" s="104"/>
    </row>
    <row r="36" spans="2:25" ht="15" customHeight="1">
      <c r="B36" s="152"/>
      <c r="C36" s="104" t="s">
        <v>2691</v>
      </c>
      <c r="D36" s="1659"/>
      <c r="E36" s="1661"/>
      <c r="F36" s="1661"/>
      <c r="G36" s="1661"/>
      <c r="H36" s="1661"/>
      <c r="I36" s="1661"/>
      <c r="J36" s="1662"/>
      <c r="K36" s="106"/>
      <c r="L36" s="104"/>
      <c r="M36" s="104"/>
      <c r="N36" s="104"/>
      <c r="O36" s="104"/>
      <c r="P36" s="104"/>
      <c r="Q36" s="104"/>
      <c r="R36" s="1587"/>
      <c r="S36" s="1587"/>
      <c r="T36" s="1587"/>
      <c r="U36" s="1587"/>
      <c r="V36" s="1587"/>
      <c r="W36" s="1587"/>
      <c r="X36" s="1587"/>
      <c r="Y36" s="104"/>
    </row>
    <row r="37" spans="2:25" ht="15" customHeight="1">
      <c r="B37" s="152"/>
      <c r="C37" s="104" t="s">
        <v>2490</v>
      </c>
      <c r="D37" s="1659"/>
      <c r="E37" s="1661"/>
      <c r="F37" s="1661"/>
      <c r="G37" s="1661"/>
      <c r="H37" s="1661"/>
      <c r="I37" s="1661"/>
      <c r="J37" s="1662"/>
      <c r="K37" s="106"/>
      <c r="L37" s="104"/>
      <c r="M37" s="104"/>
      <c r="N37" s="104"/>
      <c r="O37" s="104"/>
      <c r="P37" s="104"/>
      <c r="Q37" s="104"/>
      <c r="R37" s="1587"/>
      <c r="S37" s="1587"/>
      <c r="T37" s="1587"/>
      <c r="U37" s="1587"/>
      <c r="V37" s="1587"/>
      <c r="W37" s="1587"/>
      <c r="X37" s="1587"/>
      <c r="Y37" s="104"/>
    </row>
    <row r="38" spans="2:25" ht="15" customHeight="1">
      <c r="B38" s="152"/>
      <c r="C38" s="104" t="s">
        <v>2491</v>
      </c>
      <c r="D38" s="1659"/>
      <c r="E38" s="1661"/>
      <c r="F38" s="1661"/>
      <c r="G38" s="1661"/>
      <c r="H38" s="1661"/>
      <c r="I38" s="1661"/>
      <c r="J38" s="1662"/>
      <c r="K38" s="106"/>
      <c r="L38" s="104"/>
      <c r="M38" s="104"/>
      <c r="N38" s="104"/>
      <c r="O38" s="104"/>
      <c r="P38" s="104"/>
      <c r="Q38" s="104"/>
      <c r="R38" s="1587"/>
      <c r="S38" s="1587"/>
      <c r="T38" s="1587"/>
      <c r="U38" s="1587"/>
      <c r="V38" s="1587"/>
      <c r="W38" s="1587"/>
      <c r="X38" s="1587"/>
      <c r="Y38" s="104"/>
    </row>
    <row r="39" spans="2:25" ht="15" customHeight="1">
      <c r="B39" s="152"/>
      <c r="C39" s="104" t="s">
        <v>2494</v>
      </c>
      <c r="D39" s="1659"/>
      <c r="E39" s="1661"/>
      <c r="F39" s="1661"/>
      <c r="G39" s="1661"/>
      <c r="H39" s="1661"/>
      <c r="I39" s="1661"/>
      <c r="J39" s="1662"/>
      <c r="K39" s="106"/>
      <c r="L39" s="104"/>
      <c r="M39" s="104"/>
      <c r="N39" s="104"/>
      <c r="O39" s="104"/>
      <c r="P39" s="104"/>
      <c r="Q39" s="104"/>
      <c r="R39" s="1587"/>
      <c r="S39" s="1587"/>
      <c r="T39" s="1587"/>
      <c r="U39" s="1587"/>
      <c r="V39" s="1587"/>
      <c r="W39" s="1587"/>
      <c r="X39" s="1587"/>
      <c r="Y39" s="104"/>
    </row>
    <row r="40" spans="2:25" ht="15" customHeight="1">
      <c r="B40" s="152"/>
      <c r="C40" s="104" t="s">
        <v>2492</v>
      </c>
      <c r="D40" s="1659"/>
      <c r="E40" s="1661"/>
      <c r="F40" s="1661"/>
      <c r="G40" s="1661"/>
      <c r="H40" s="1661"/>
      <c r="I40" s="1661"/>
      <c r="J40" s="1662"/>
      <c r="K40" s="106"/>
      <c r="L40" s="104"/>
      <c r="M40" s="104"/>
      <c r="N40" s="104"/>
      <c r="O40" s="104"/>
      <c r="P40" s="104"/>
      <c r="Q40" s="104"/>
      <c r="R40" s="1587"/>
      <c r="S40" s="1587"/>
      <c r="T40" s="1587"/>
      <c r="U40" s="1587"/>
      <c r="V40" s="1587"/>
      <c r="W40" s="1587"/>
      <c r="X40" s="1587"/>
      <c r="Y40" s="104"/>
    </row>
    <row r="41" spans="2:25" ht="15" customHeight="1" thickBot="1">
      <c r="B41" s="152"/>
      <c r="C41" s="104" t="s">
        <v>2493</v>
      </c>
      <c r="D41" s="1659"/>
      <c r="E41" s="1661"/>
      <c r="F41" s="1661"/>
      <c r="G41" s="1661"/>
      <c r="H41" s="1661"/>
      <c r="I41" s="1661"/>
      <c r="J41" s="1662"/>
      <c r="K41" s="106"/>
      <c r="L41" s="104"/>
      <c r="M41" s="104"/>
      <c r="N41" s="104"/>
      <c r="O41" s="104"/>
      <c r="P41" s="104"/>
      <c r="Q41" s="104"/>
      <c r="R41" s="1587"/>
      <c r="S41" s="1587"/>
      <c r="T41" s="1587"/>
      <c r="U41" s="1587"/>
      <c r="V41" s="1587"/>
      <c r="W41" s="1587"/>
      <c r="X41" s="1587"/>
      <c r="Y41" s="104"/>
    </row>
    <row r="42" spans="2:25" ht="12.75" hidden="1" customHeight="1" thickBot="1">
      <c r="B42" s="152"/>
      <c r="C42" s="104"/>
      <c r="D42" s="1682" t="str">
        <f>IF(AND(D34="Standard",D40="Pass",D41="Pass",ISNUMBER(SEARCH("&amp;",D38))),"Pass","Fail")</f>
        <v>Fail</v>
      </c>
      <c r="E42" s="1683"/>
      <c r="F42" s="1683"/>
      <c r="G42" s="1683"/>
      <c r="H42" s="1683"/>
      <c r="I42" s="1683"/>
      <c r="J42" s="1684"/>
      <c r="K42" s="106"/>
      <c r="L42" s="104"/>
      <c r="M42" s="104"/>
      <c r="N42" s="382"/>
      <c r="O42" s="104"/>
      <c r="P42" s="104"/>
      <c r="Q42" s="104"/>
      <c r="R42" s="1680"/>
      <c r="S42" s="1680"/>
      <c r="T42" s="1680"/>
      <c r="U42" s="1680"/>
      <c r="V42" s="1680"/>
      <c r="W42" s="1680"/>
      <c r="X42" s="1680"/>
      <c r="Y42" s="104"/>
    </row>
    <row r="43" spans="2:25" ht="15.75" thickBot="1">
      <c r="B43" s="1387" t="s">
        <v>2455</v>
      </c>
      <c r="C43" s="1655"/>
      <c r="D43" s="1653">
        <f>IF(D42="Fail",0,IF(D36="USC alert",0.25,IF(AND(D36="Initial ONLY",D35="indirect"),1,IF(AND(D36="Initial ONLY",D35="Direct"),1.5,IF(AND(D35="Direct",D36="Initial &amp; Escalation"),3,IF(AND(D35="Direct",D36="Initial Escalation &amp; Intervention"),4,0))))/IF(D37="Rear seats only",2,1)))</f>
        <v>0</v>
      </c>
      <c r="E43" s="1681"/>
      <c r="F43" s="1681"/>
      <c r="G43" s="1681"/>
      <c r="H43" s="1681"/>
      <c r="I43" s="1681"/>
      <c r="J43" s="1469"/>
      <c r="K43" s="106"/>
      <c r="L43" s="104"/>
      <c r="M43" s="104"/>
      <c r="N43" s="104"/>
      <c r="O43" s="104"/>
      <c r="P43" s="104"/>
      <c r="Q43" s="104"/>
      <c r="R43" s="1577"/>
      <c r="S43" s="1577"/>
      <c r="T43" s="1577"/>
      <c r="U43" s="1577"/>
      <c r="V43" s="1577"/>
      <c r="W43" s="1577"/>
      <c r="X43" s="1577"/>
      <c r="Y43" s="104"/>
    </row>
    <row r="44" spans="2:25" ht="15" customHeight="1" thickBot="1"/>
    <row r="45" spans="2:25" ht="21.75" thickBot="1">
      <c r="B45" s="1549" t="s">
        <v>144</v>
      </c>
      <c r="C45" s="1550"/>
      <c r="D45" s="1561">
        <f>IF(D13="Yes",SUM(D17,D27,D32,D43),0)</f>
        <v>0</v>
      </c>
      <c r="E45" s="1562"/>
      <c r="F45" s="1562"/>
      <c r="G45" s="1562"/>
      <c r="H45" s="1562"/>
      <c r="I45" s="1562"/>
      <c r="J45" s="1563"/>
      <c r="K45" s="98"/>
    </row>
    <row r="55" spans="2:8" hidden="1">
      <c r="B55" s="1450" t="s">
        <v>578</v>
      </c>
      <c r="C55" s="1451"/>
      <c r="D55" s="1454" t="s">
        <v>467</v>
      </c>
      <c r="E55" s="1704" t="s">
        <v>478</v>
      </c>
      <c r="F55" s="1704" t="s">
        <v>479</v>
      </c>
      <c r="G55" s="1706" t="s">
        <v>480</v>
      </c>
      <c r="H55" s="1486" t="s">
        <v>481</v>
      </c>
    </row>
    <row r="56" spans="2:8" hidden="1">
      <c r="B56" s="1452"/>
      <c r="C56" s="1453"/>
      <c r="D56" s="1456"/>
      <c r="E56" s="1705"/>
      <c r="F56" s="1705"/>
      <c r="G56" s="1707"/>
      <c r="H56" s="1487"/>
    </row>
    <row r="57" spans="2:8" ht="16.5" hidden="1" customHeight="1">
      <c r="B57" s="348"/>
      <c r="C57" s="349"/>
      <c r="D57" s="350"/>
      <c r="E57" s="358"/>
      <c r="F57" s="351"/>
      <c r="G57" s="359"/>
      <c r="H57" s="352"/>
    </row>
    <row r="58" spans="2:8" ht="16.5" hidden="1" thickBot="1">
      <c r="B58" s="1698"/>
      <c r="C58" s="1699"/>
      <c r="D58" s="6" t="s">
        <v>99</v>
      </c>
      <c r="E58" s="356" t="s">
        <v>99</v>
      </c>
      <c r="F58" s="238" t="s">
        <v>99</v>
      </c>
      <c r="G58" s="356" t="s">
        <v>99</v>
      </c>
      <c r="H58" s="85" t="s">
        <v>99</v>
      </c>
    </row>
    <row r="59" spans="2:8" ht="15.75" hidden="1">
      <c r="B59" s="1700" t="s">
        <v>168</v>
      </c>
      <c r="C59" s="1701"/>
      <c r="D59" s="429"/>
      <c r="E59" s="430"/>
      <c r="F59" s="430"/>
      <c r="G59" s="430"/>
      <c r="H59" s="140"/>
    </row>
    <row r="60" spans="2:8" ht="15.75" hidden="1">
      <c r="B60" s="1700" t="s">
        <v>576</v>
      </c>
      <c r="C60" s="1701"/>
      <c r="D60" s="431"/>
      <c r="E60" s="432"/>
      <c r="F60" s="432"/>
      <c r="G60" s="432"/>
      <c r="H60" s="234"/>
    </row>
    <row r="61" spans="2:8" ht="16.5" hidden="1" thickBot="1">
      <c r="B61" s="1702" t="s">
        <v>131</v>
      </c>
      <c r="C61" s="1703"/>
      <c r="D61" s="433"/>
      <c r="E61" s="434"/>
      <c r="F61" s="434"/>
      <c r="G61" s="434"/>
      <c r="H61" s="357"/>
    </row>
  </sheetData>
  <mergeCells count="50">
    <mergeCell ref="D23:J23"/>
    <mergeCell ref="D36:J36"/>
    <mergeCell ref="H55:H56"/>
    <mergeCell ref="D55:D56"/>
    <mergeCell ref="E55:E56"/>
    <mergeCell ref="F55:F56"/>
    <mergeCell ref="G55:G56"/>
    <mergeCell ref="D34:J34"/>
    <mergeCell ref="B58:C58"/>
    <mergeCell ref="B59:C59"/>
    <mergeCell ref="B60:C60"/>
    <mergeCell ref="B61:C61"/>
    <mergeCell ref="B55:C56"/>
    <mergeCell ref="B2:C3"/>
    <mergeCell ref="D2:D3"/>
    <mergeCell ref="E2:G3"/>
    <mergeCell ref="H2:J3"/>
    <mergeCell ref="B4:C4"/>
    <mergeCell ref="B13:C13"/>
    <mergeCell ref="B17:C17"/>
    <mergeCell ref="D10:J10"/>
    <mergeCell ref="D12:J12"/>
    <mergeCell ref="D13:J13"/>
    <mergeCell ref="D17:J17"/>
    <mergeCell ref="B27:C27"/>
    <mergeCell ref="D26:J26"/>
    <mergeCell ref="D27:J27"/>
    <mergeCell ref="B32:C32"/>
    <mergeCell ref="B43:C43"/>
    <mergeCell ref="B45:C45"/>
    <mergeCell ref="D32:J32"/>
    <mergeCell ref="D43:J43"/>
    <mergeCell ref="D45:J45"/>
    <mergeCell ref="D35:J35"/>
    <mergeCell ref="D39:J39"/>
    <mergeCell ref="D40:J40"/>
    <mergeCell ref="D37:J37"/>
    <mergeCell ref="D38:J38"/>
    <mergeCell ref="D41:J41"/>
    <mergeCell ref="D42:J42"/>
    <mergeCell ref="R34:X34"/>
    <mergeCell ref="R35:X35"/>
    <mergeCell ref="R36:X36"/>
    <mergeCell ref="R37:X37"/>
    <mergeCell ref="R38:X38"/>
    <mergeCell ref="R39:X39"/>
    <mergeCell ref="R40:X40"/>
    <mergeCell ref="R41:X41"/>
    <mergeCell ref="R42:X42"/>
    <mergeCell ref="R43:X43"/>
  </mergeCells>
  <conditionalFormatting sqref="D14:F14">
    <cfRule type="cellIs" dxfId="1513" priority="11" stopIfTrue="1" operator="equal">
      <formula>"Yes"</formula>
    </cfRule>
    <cfRule type="cellIs" dxfId="1512" priority="12" stopIfTrue="1" operator="equal">
      <formula>"No"</formula>
    </cfRule>
  </conditionalFormatting>
  <conditionalFormatting sqref="D8:F9">
    <cfRule type="cellIs" dxfId="1511" priority="9" stopIfTrue="1" operator="equal">
      <formula>"Yes"</formula>
    </cfRule>
    <cfRule type="cellIs" dxfId="1510" priority="10" stopIfTrue="1" operator="equal">
      <formula>"No"</formula>
    </cfRule>
  </conditionalFormatting>
  <conditionalFormatting sqref="D11:F11">
    <cfRule type="cellIs" dxfId="1509" priority="5" stopIfTrue="1" operator="equal">
      <formula>"Yes"</formula>
    </cfRule>
    <cfRule type="cellIs" dxfId="1508" priority="6" stopIfTrue="1" operator="equal">
      <formula>"No"</formula>
    </cfRule>
  </conditionalFormatting>
  <conditionalFormatting sqref="D22:J22">
    <cfRule type="cellIs" dxfId="1507" priority="3" stopIfTrue="1" operator="equal">
      <formula>"Yes"</formula>
    </cfRule>
    <cfRule type="cellIs" dxfId="1506" priority="4" stopIfTrue="1" operator="equal">
      <formula>"No"</formula>
    </cfRule>
  </conditionalFormatting>
  <conditionalFormatting sqref="D25:J25">
    <cfRule type="cellIs" dxfId="1505" priority="1" stopIfTrue="1" operator="equal">
      <formula>"Yes"</formula>
    </cfRule>
    <cfRule type="cellIs" dxfId="1504" priority="2" stopIfTrue="1" operator="equal">
      <formula>"No"</formula>
    </cfRule>
  </conditionalFormatting>
  <dataValidations count="9">
    <dataValidation type="list" allowBlank="1" showInputMessage="1" showErrorMessage="1" sqref="D20:J21 D24:J24" xr:uid="{00000000-0002-0000-0B00-000000000000}">
      <formula1>"N/A,Pass,Fail"</formula1>
    </dataValidation>
    <dataValidation type="list" allowBlank="1" showInputMessage="1" showErrorMessage="1" sqref="D10 D12" xr:uid="{00000000-0002-0000-0B00-000001000000}">
      <formula1>"OK,Not OK"</formula1>
    </dataValidation>
    <dataValidation type="list" allowBlank="1" showInputMessage="1" showErrorMessage="1" sqref="D6:J7" xr:uid="{00000000-0002-0000-0B00-000003000000}">
      <formula1>"Yes,No,N/A"</formula1>
    </dataValidation>
    <dataValidation type="list" allowBlank="1" showInputMessage="1" showErrorMessage="1" sqref="D16:J16 D30:D31 R39:X41 D39:J41" xr:uid="{00000000-0002-0000-0B00-000004000000}">
      <formula1>"Pass,Fail"</formula1>
    </dataValidation>
    <dataValidation type="list" allowBlank="1" showInputMessage="1" showErrorMessage="1" sqref="R35:X35 D35:J35" xr:uid="{7D9046E5-F731-4F7F-8A76-00D2EA314087}">
      <formula1>"Direct, Indirect, No system"</formula1>
    </dataValidation>
    <dataValidation type="list" allowBlank="1" showInputMessage="1" showErrorMessage="1" sqref="R36:X36 D36:J36" xr:uid="{DAFD0DB6-A631-4C4F-96A8-9DFD5F531D06}">
      <formula1>"USC alert, Initial ONLY, Initial &amp; Escalation, Initial Escalation &amp; Intervention"</formula1>
    </dataValidation>
    <dataValidation type="list" allowBlank="1" showInputMessage="1" showErrorMessage="1" sqref="R38:X38 D38:J38" xr:uid="{71E5E3A4-7175-4252-A05E-0E683E460A00}">
      <formula1>"Scenario 1 only, Scenarios 1 &amp; 2, Scenarios 1; 2 &amp; 3"</formula1>
    </dataValidation>
    <dataValidation type="list" allowBlank="1" showInputMessage="1" showErrorMessage="1" sqref="R36:X36 D36:J36" xr:uid="{D98EB4A2-EF50-4F87-9F53-8C0A9133C7C4}">
      <formula1>"Initial ONLY, Initial &amp; escalation, Initial escalation &amp; intervention"</formula1>
    </dataValidation>
    <dataValidation type="list" allowBlank="1" showInputMessage="1" showErrorMessage="1" sqref="R37:X37 D37:J37" xr:uid="{A28CD46A-C41D-42C9-BD74-A10061F9AC57}">
      <formula1>"All seats, All seats - excluding driver (2023/24 only), Rear seats only"</formula1>
    </dataValidation>
  </dataValidations>
  <pageMargins left="0.8" right="0.44" top="0.53" bottom="1" header="0.5" footer="0.5"/>
  <pageSetup paperSize="9" scale="68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rgb="FF0070C0"/>
  </sheetPr>
  <dimension ref="A1:AC53"/>
  <sheetViews>
    <sheetView showGridLines="0" showOutlineSymbols="0" topLeftCell="D4" zoomScaleNormal="100" workbookViewId="0"/>
  </sheetViews>
  <sheetFormatPr defaultColWidth="9.28515625" defaultRowHeight="12.75"/>
  <cols>
    <col min="1" max="1" width="3.5703125" style="156" customWidth="1"/>
    <col min="2" max="2" width="5" style="156" customWidth="1"/>
    <col min="3" max="3" width="9.7109375" style="156" customWidth="1"/>
    <col min="4" max="4" width="3.5703125" style="156" customWidth="1"/>
    <col min="5" max="5" width="46.140625" style="156" customWidth="1"/>
    <col min="6" max="6" width="10.5703125" style="156" customWidth="1"/>
    <col min="7" max="7" width="8.85546875" style="156" customWidth="1"/>
    <col min="8" max="13" width="7.42578125" style="156" customWidth="1"/>
    <col min="14" max="15" width="7.28515625" style="156" customWidth="1"/>
    <col min="16" max="19" width="6.7109375" style="156" customWidth="1"/>
    <col min="20" max="20" width="7.28515625" style="156" bestFit="1" customWidth="1"/>
    <col min="21" max="21" width="8.85546875" style="156" bestFit="1" customWidth="1"/>
    <col min="22" max="22" width="30.140625" style="156" customWidth="1"/>
    <col min="23" max="23" width="18.7109375" style="156" bestFit="1" customWidth="1"/>
    <col min="24" max="24" width="9.28515625" style="156"/>
    <col min="25" max="25" width="10.42578125" style="156" bestFit="1" customWidth="1"/>
    <col min="26" max="16384" width="9.28515625" style="156"/>
  </cols>
  <sheetData>
    <row r="1" spans="1:29" s="145" customFormat="1" ht="13.5" customHeight="1" thickBot="1">
      <c r="A1" s="156"/>
    </row>
    <row r="2" spans="1:29" s="145" customFormat="1" ht="22.5" customHeight="1">
      <c r="A2" s="156"/>
      <c r="B2" s="1737" t="s">
        <v>140</v>
      </c>
      <c r="C2" s="1738"/>
      <c r="D2" s="1738"/>
      <c r="E2" s="1738"/>
      <c r="F2" s="1738"/>
      <c r="G2" s="1739"/>
      <c r="H2" s="1743" t="s">
        <v>141</v>
      </c>
      <c r="I2" s="1744"/>
      <c r="J2" s="1744"/>
      <c r="K2" s="1744"/>
      <c r="L2" s="1744"/>
      <c r="M2" s="1744"/>
      <c r="N2" s="1744"/>
      <c r="O2" s="1744"/>
      <c r="P2" s="1745"/>
      <c r="Q2" s="1712" t="s">
        <v>142</v>
      </c>
      <c r="R2" s="1746"/>
      <c r="S2" s="1746"/>
      <c r="T2" s="1713"/>
      <c r="U2" s="1712" t="s">
        <v>2479</v>
      </c>
      <c r="V2" s="1713"/>
    </row>
    <row r="3" spans="1:29" s="145" customFormat="1" ht="15.75" customHeight="1">
      <c r="A3" s="156"/>
      <c r="B3" s="1740"/>
      <c r="C3" s="1741"/>
      <c r="D3" s="1741"/>
      <c r="E3" s="1741"/>
      <c r="F3" s="1741"/>
      <c r="G3" s="1742"/>
      <c r="H3" s="1747" t="s">
        <v>81</v>
      </c>
      <c r="I3" s="1747"/>
      <c r="J3" s="1748"/>
      <c r="K3" s="1749" t="s">
        <v>178</v>
      </c>
      <c r="L3" s="1747"/>
      <c r="M3" s="1748"/>
      <c r="N3" s="1749" t="str">
        <f>IF(OR('General Overview'!C18&gt;1,'General Overview'!C18=""),"3rd row","3rd")</f>
        <v>3rd row</v>
      </c>
      <c r="O3" s="1747"/>
      <c r="P3" s="1715"/>
      <c r="Q3" s="1714"/>
      <c r="R3" s="1747"/>
      <c r="S3" s="1747"/>
      <c r="T3" s="1715"/>
      <c r="U3" s="1714"/>
      <c r="V3" s="1715"/>
      <c r="W3" s="316"/>
    </row>
    <row r="4" spans="1:29" s="145" customFormat="1" ht="13.5" customHeight="1" thickBot="1">
      <c r="A4" s="156"/>
      <c r="B4" s="1740"/>
      <c r="C4" s="1741"/>
      <c r="D4" s="1741"/>
      <c r="E4" s="1741"/>
      <c r="F4" s="1741"/>
      <c r="G4" s="1742"/>
      <c r="H4" s="296" t="s">
        <v>180</v>
      </c>
      <c r="I4" s="296" t="s">
        <v>181</v>
      </c>
      <c r="J4" s="297" t="s">
        <v>182</v>
      </c>
      <c r="K4" s="298" t="s">
        <v>180</v>
      </c>
      <c r="L4" s="296" t="s">
        <v>181</v>
      </c>
      <c r="M4" s="297" t="s">
        <v>182</v>
      </c>
      <c r="N4" s="296" t="s">
        <v>180</v>
      </c>
      <c r="O4" s="296" t="s">
        <v>181</v>
      </c>
      <c r="P4" s="299" t="s">
        <v>182</v>
      </c>
      <c r="Q4" s="300" t="s">
        <v>122</v>
      </c>
      <c r="R4" s="301" t="s">
        <v>123</v>
      </c>
      <c r="S4" s="302" t="s">
        <v>124</v>
      </c>
      <c r="T4" s="303" t="s">
        <v>125</v>
      </c>
      <c r="U4" s="1716"/>
      <c r="V4" s="1717"/>
      <c r="W4" s="316"/>
    </row>
    <row r="5" spans="1:29" s="145" customFormat="1" ht="19.5" customHeight="1" thickBot="1">
      <c r="A5" s="156"/>
      <c r="B5" s="710"/>
      <c r="C5" s="709" t="s">
        <v>2497</v>
      </c>
      <c r="D5" s="709"/>
      <c r="E5" s="709"/>
      <c r="F5" s="1735" t="s">
        <v>2438</v>
      </c>
      <c r="G5" s="1736"/>
      <c r="H5" s="1053"/>
      <c r="I5" s="1053"/>
      <c r="J5" s="1054"/>
      <c r="K5" s="1055"/>
      <c r="L5" s="1053"/>
      <c r="M5" s="1054"/>
      <c r="N5" s="1053"/>
      <c r="O5" s="1053"/>
      <c r="P5" s="1056"/>
      <c r="Q5" s="304"/>
      <c r="R5" s="296"/>
      <c r="S5" s="297"/>
      <c r="T5" s="299"/>
      <c r="U5" s="299" t="s">
        <v>2486</v>
      </c>
      <c r="V5" s="684"/>
    </row>
    <row r="6" spans="1:29" s="145" customFormat="1" ht="22.5" customHeight="1">
      <c r="A6" s="156"/>
      <c r="B6" s="673">
        <v>1</v>
      </c>
      <c r="C6" s="1049" t="s">
        <v>2439</v>
      </c>
      <c r="D6" s="1732" t="s">
        <v>2440</v>
      </c>
      <c r="E6" s="1733"/>
      <c r="F6" s="669" t="s">
        <v>126</v>
      </c>
      <c r="G6" s="305" t="s">
        <v>2441</v>
      </c>
      <c r="H6" s="966"/>
      <c r="I6" s="967"/>
      <c r="J6" s="968"/>
      <c r="K6" s="969"/>
      <c r="L6" s="967"/>
      <c r="M6" s="968"/>
      <c r="N6" s="967"/>
      <c r="O6" s="967"/>
      <c r="P6" s="970"/>
      <c r="Q6" s="666">
        <f t="shared" ref="Q6:Q19" si="0">COUNTIF($H6:$P6,"Pass")</f>
        <v>0</v>
      </c>
      <c r="R6" s="667">
        <f t="shared" ref="R6:R15" si="1">COUNTIF($H6:$P6,"Fail")+COUNTIF($H6:$P6,"P Fail")</f>
        <v>0</v>
      </c>
      <c r="S6" s="668">
        <v>0</v>
      </c>
      <c r="T6" s="306" t="str">
        <f>IF(SUM(Q6:S6)=0,"",Q6/(Q6+R6))</f>
        <v/>
      </c>
      <c r="U6" s="686" t="s">
        <v>2488</v>
      </c>
      <c r="V6" s="681" t="s">
        <v>2482</v>
      </c>
      <c r="W6" s="1115"/>
    </row>
    <row r="7" spans="1:29" s="145" customFormat="1" ht="22.5" customHeight="1">
      <c r="A7" s="156"/>
      <c r="B7" s="674">
        <f>B6+1</f>
        <v>2</v>
      </c>
      <c r="C7" s="1050" t="s">
        <v>2442</v>
      </c>
      <c r="D7" s="1734" t="s">
        <v>2443</v>
      </c>
      <c r="E7" s="1734"/>
      <c r="F7" s="672" t="s">
        <v>126</v>
      </c>
      <c r="G7" s="307" t="s">
        <v>2444</v>
      </c>
      <c r="H7" s="971"/>
      <c r="I7" s="972"/>
      <c r="J7" s="973"/>
      <c r="K7" s="974"/>
      <c r="L7" s="972"/>
      <c r="M7" s="973"/>
      <c r="N7" s="972"/>
      <c r="O7" s="972"/>
      <c r="P7" s="975"/>
      <c r="Q7" s="304">
        <f t="shared" si="0"/>
        <v>0</v>
      </c>
      <c r="R7" s="296">
        <f t="shared" si="1"/>
        <v>0</v>
      </c>
      <c r="S7" s="297">
        <v>0</v>
      </c>
      <c r="T7" s="308" t="str">
        <f>IF(SUM(Q7:S7)=0,"",Q7/(Q7+R7))</f>
        <v/>
      </c>
      <c r="U7" s="687" t="s">
        <v>2487</v>
      </c>
      <c r="V7" s="682" t="s">
        <v>2481</v>
      </c>
      <c r="W7" s="1115" t="s">
        <v>2818</v>
      </c>
    </row>
    <row r="8" spans="1:29" s="145" customFormat="1" ht="22.5" customHeight="1">
      <c r="A8" s="156"/>
      <c r="B8" s="674">
        <f t="shared" ref="B8:B14" si="2">B7+1</f>
        <v>3</v>
      </c>
      <c r="C8" s="1050" t="s">
        <v>2445</v>
      </c>
      <c r="D8" s="1731" t="s">
        <v>2422</v>
      </c>
      <c r="E8" s="1731"/>
      <c r="F8" s="672" t="s">
        <v>126</v>
      </c>
      <c r="G8" s="307" t="s">
        <v>2446</v>
      </c>
      <c r="H8" s="971"/>
      <c r="I8" s="972"/>
      <c r="J8" s="973"/>
      <c r="K8" s="974"/>
      <c r="L8" s="972"/>
      <c r="M8" s="973"/>
      <c r="N8" s="972"/>
      <c r="O8" s="972"/>
      <c r="P8" s="975"/>
      <c r="Q8" s="304">
        <f t="shared" si="0"/>
        <v>0</v>
      </c>
      <c r="R8" s="296">
        <f t="shared" si="1"/>
        <v>0</v>
      </c>
      <c r="S8" s="297">
        <v>0</v>
      </c>
      <c r="T8" s="308" t="str">
        <f>IF(SUM(Q8:S8)=0,"",Q8/(Q8+R8))</f>
        <v/>
      </c>
      <c r="U8" s="687" t="s">
        <v>2487</v>
      </c>
      <c r="V8" s="682" t="s">
        <v>2480</v>
      </c>
      <c r="W8" s="1115"/>
    </row>
    <row r="9" spans="1:29" s="145" customFormat="1" ht="22.5" customHeight="1">
      <c r="A9" s="156"/>
      <c r="B9" s="674">
        <f t="shared" si="2"/>
        <v>4</v>
      </c>
      <c r="C9" s="1050" t="s">
        <v>2442</v>
      </c>
      <c r="D9" s="1731" t="s">
        <v>2422</v>
      </c>
      <c r="E9" s="1731"/>
      <c r="F9" s="672" t="s">
        <v>128</v>
      </c>
      <c r="G9" s="309" t="s">
        <v>2446</v>
      </c>
      <c r="H9" s="971"/>
      <c r="I9" s="972"/>
      <c r="J9" s="973"/>
      <c r="K9" s="974"/>
      <c r="L9" s="972"/>
      <c r="M9" s="973"/>
      <c r="N9" s="972"/>
      <c r="O9" s="972"/>
      <c r="P9" s="975"/>
      <c r="Q9" s="304">
        <f t="shared" si="0"/>
        <v>0</v>
      </c>
      <c r="R9" s="296">
        <f t="shared" si="1"/>
        <v>0</v>
      </c>
      <c r="S9" s="297">
        <v>0</v>
      </c>
      <c r="T9" s="308" t="str">
        <f>IF(SUM(Q9:S9)=0,"",Q9/(Q9+R9))</f>
        <v/>
      </c>
      <c r="U9" s="687" t="s">
        <v>2487</v>
      </c>
      <c r="V9" s="682" t="s">
        <v>2480</v>
      </c>
      <c r="W9" s="1114" t="s">
        <v>168</v>
      </c>
    </row>
    <row r="10" spans="1:29" s="145" customFormat="1" ht="22.5" customHeight="1">
      <c r="A10" s="156"/>
      <c r="B10" s="674">
        <f t="shared" si="2"/>
        <v>5</v>
      </c>
      <c r="C10" s="1050" t="s">
        <v>2445</v>
      </c>
      <c r="D10" s="1731" t="s">
        <v>2422</v>
      </c>
      <c r="E10" s="1731"/>
      <c r="F10" s="672" t="s">
        <v>128</v>
      </c>
      <c r="G10" s="309" t="s">
        <v>2446</v>
      </c>
      <c r="H10" s="971"/>
      <c r="I10" s="972"/>
      <c r="J10" s="973"/>
      <c r="K10" s="974"/>
      <c r="L10" s="972"/>
      <c r="M10" s="973"/>
      <c r="N10" s="972"/>
      <c r="O10" s="972"/>
      <c r="P10" s="975"/>
      <c r="Q10" s="304">
        <f t="shared" si="0"/>
        <v>0</v>
      </c>
      <c r="R10" s="296">
        <f t="shared" si="1"/>
        <v>0</v>
      </c>
      <c r="S10" s="297">
        <v>0</v>
      </c>
      <c r="T10" s="308" t="str">
        <f>IF(SUM(Q10:S10)=0,"",Q10/(Q10+R10))</f>
        <v/>
      </c>
      <c r="U10" s="687" t="s">
        <v>2487</v>
      </c>
      <c r="V10" s="682" t="s">
        <v>2480</v>
      </c>
      <c r="W10" s="1114"/>
    </row>
    <row r="11" spans="1:29" s="145" customFormat="1" ht="22.5" customHeight="1">
      <c r="A11" s="156"/>
      <c r="B11" s="674">
        <f t="shared" si="2"/>
        <v>6</v>
      </c>
      <c r="C11" s="1051" t="s">
        <v>2447</v>
      </c>
      <c r="D11" s="1730" t="s">
        <v>2448</v>
      </c>
      <c r="E11" s="1730"/>
      <c r="F11" s="672" t="s">
        <v>127</v>
      </c>
      <c r="G11" s="309" t="s">
        <v>2441</v>
      </c>
      <c r="H11" s="971"/>
      <c r="I11" s="1024"/>
      <c r="J11" s="973"/>
      <c r="K11" s="974"/>
      <c r="L11" s="972"/>
      <c r="M11" s="973"/>
      <c r="N11" s="1025"/>
      <c r="O11" s="1024"/>
      <c r="P11" s="1026"/>
      <c r="Q11" s="304">
        <f t="shared" si="0"/>
        <v>0</v>
      </c>
      <c r="R11" s="296">
        <f t="shared" si="1"/>
        <v>0</v>
      </c>
      <c r="S11" s="297">
        <f t="shared" ref="S11:S13" si="3">COUNTIF($H11:$P11,"Exempt")</f>
        <v>0</v>
      </c>
      <c r="T11" s="308" t="str">
        <f>IF(SUM(Q11:S11)=0,"",(Q11+S11)/(Q11+R11+S11))</f>
        <v/>
      </c>
      <c r="U11" s="687" t="s">
        <v>2488</v>
      </c>
      <c r="V11" s="682" t="s">
        <v>2483</v>
      </c>
      <c r="W11" s="1113"/>
    </row>
    <row r="12" spans="1:29" s="145" customFormat="1" ht="22.5" customHeight="1">
      <c r="A12" s="156"/>
      <c r="B12" s="674">
        <f t="shared" si="2"/>
        <v>7</v>
      </c>
      <c r="C12" s="1051" t="s">
        <v>2449</v>
      </c>
      <c r="D12" s="1730" t="s">
        <v>2448</v>
      </c>
      <c r="E12" s="1730"/>
      <c r="F12" s="672" t="s">
        <v>127</v>
      </c>
      <c r="G12" s="307" t="s">
        <v>2450</v>
      </c>
      <c r="H12" s="971"/>
      <c r="I12" s="1024"/>
      <c r="J12" s="973"/>
      <c r="K12" s="974"/>
      <c r="L12" s="972"/>
      <c r="M12" s="973"/>
      <c r="N12" s="1025"/>
      <c r="O12" s="1024"/>
      <c r="P12" s="1026"/>
      <c r="Q12" s="304">
        <f t="shared" si="0"/>
        <v>0</v>
      </c>
      <c r="R12" s="296">
        <f t="shared" si="1"/>
        <v>0</v>
      </c>
      <c r="S12" s="297">
        <f t="shared" si="3"/>
        <v>0</v>
      </c>
      <c r="T12" s="308" t="str">
        <f t="shared" ref="T12:T13" si="4">IF(SUM(Q12:S12)=0,"",(Q12+S12)/(Q12+R12+S12))</f>
        <v/>
      </c>
      <c r="U12" s="687" t="s">
        <v>2487</v>
      </c>
      <c r="V12" s="682" t="s">
        <v>2483</v>
      </c>
      <c r="W12" s="1113"/>
    </row>
    <row r="13" spans="1:29" s="145" customFormat="1" ht="22.5" customHeight="1">
      <c r="A13" s="156"/>
      <c r="B13" s="674">
        <f t="shared" si="2"/>
        <v>8</v>
      </c>
      <c r="C13" s="1051" t="s">
        <v>565</v>
      </c>
      <c r="D13" s="1730" t="s">
        <v>606</v>
      </c>
      <c r="E13" s="1730"/>
      <c r="F13" s="672" t="s">
        <v>127</v>
      </c>
      <c r="G13" s="670" t="s">
        <v>2441</v>
      </c>
      <c r="H13" s="971"/>
      <c r="I13" s="1024"/>
      <c r="J13" s="973"/>
      <c r="K13" s="974"/>
      <c r="L13" s="1024"/>
      <c r="M13" s="973"/>
      <c r="N13" s="1025"/>
      <c r="O13" s="1024"/>
      <c r="P13" s="1026"/>
      <c r="Q13" s="304">
        <f t="shared" si="0"/>
        <v>0</v>
      </c>
      <c r="R13" s="296">
        <f t="shared" si="1"/>
        <v>0</v>
      </c>
      <c r="S13" s="297">
        <f t="shared" si="3"/>
        <v>0</v>
      </c>
      <c r="T13" s="308" t="str">
        <f t="shared" si="4"/>
        <v/>
      </c>
      <c r="U13" s="687" t="s">
        <v>2488</v>
      </c>
      <c r="V13" s="682" t="s">
        <v>2483</v>
      </c>
      <c r="W13" s="1113" t="s">
        <v>576</v>
      </c>
    </row>
    <row r="14" spans="1:29" s="145" customFormat="1" ht="22.5" customHeight="1">
      <c r="A14" s="156"/>
      <c r="B14" s="674">
        <f t="shared" si="2"/>
        <v>9</v>
      </c>
      <c r="C14" s="1051" t="s">
        <v>719</v>
      </c>
      <c r="D14" s="1730" t="s">
        <v>720</v>
      </c>
      <c r="E14" s="1730"/>
      <c r="F14" s="672" t="s">
        <v>2451</v>
      </c>
      <c r="G14" s="670" t="s">
        <v>2450</v>
      </c>
      <c r="H14" s="971"/>
      <c r="I14" s="972"/>
      <c r="J14" s="973"/>
      <c r="K14" s="974"/>
      <c r="L14" s="972"/>
      <c r="M14" s="973"/>
      <c r="N14" s="972"/>
      <c r="O14" s="972"/>
      <c r="P14" s="975"/>
      <c r="Q14" s="304">
        <f t="shared" si="0"/>
        <v>0</v>
      </c>
      <c r="R14" s="296">
        <f t="shared" si="1"/>
        <v>0</v>
      </c>
      <c r="S14" s="297">
        <v>0</v>
      </c>
      <c r="T14" s="308" t="str">
        <f t="shared" ref="T14:T15" si="5">IF(SUM(Q14:S14)=0,"",Q14/(Q14+R14))</f>
        <v/>
      </c>
      <c r="U14" s="687" t="s">
        <v>2487</v>
      </c>
      <c r="V14" s="682" t="s">
        <v>2483</v>
      </c>
      <c r="W14" s="1113"/>
    </row>
    <row r="15" spans="1:29" s="145" customFormat="1" ht="22.5" customHeight="1" thickBot="1">
      <c r="A15" s="156"/>
      <c r="B15" s="671">
        <f>B14+1</f>
        <v>10</v>
      </c>
      <c r="C15" s="1052" t="s">
        <v>702</v>
      </c>
      <c r="D15" s="1729" t="s">
        <v>701</v>
      </c>
      <c r="E15" s="1729"/>
      <c r="F15" s="310" t="s">
        <v>128</v>
      </c>
      <c r="G15" s="312" t="s">
        <v>2444</v>
      </c>
      <c r="H15" s="976"/>
      <c r="I15" s="977"/>
      <c r="J15" s="973"/>
      <c r="K15" s="974"/>
      <c r="L15" s="972"/>
      <c r="M15" s="973"/>
      <c r="N15" s="972"/>
      <c r="O15" s="972"/>
      <c r="P15" s="975"/>
      <c r="Q15" s="300">
        <f t="shared" si="0"/>
        <v>0</v>
      </c>
      <c r="R15" s="301">
        <f t="shared" si="1"/>
        <v>0</v>
      </c>
      <c r="S15" s="302">
        <v>0</v>
      </c>
      <c r="T15" s="311" t="str">
        <f t="shared" si="5"/>
        <v/>
      </c>
      <c r="U15" s="688" t="s">
        <v>2487</v>
      </c>
      <c r="V15" s="683" t="s">
        <v>2483</v>
      </c>
      <c r="W15" s="1113"/>
    </row>
    <row r="16" spans="1:29" s="145" customFormat="1" ht="22.5" customHeight="1">
      <c r="A16" s="156"/>
      <c r="B16" s="1723" t="s">
        <v>2437</v>
      </c>
      <c r="C16" s="1051" t="s">
        <v>2567</v>
      </c>
      <c r="D16" s="1721"/>
      <c r="E16" s="1721"/>
      <c r="F16" s="672"/>
      <c r="G16" s="307"/>
      <c r="H16" s="338"/>
      <c r="I16" s="339"/>
      <c r="J16" s="702"/>
      <c r="K16" s="703"/>
      <c r="L16" s="704"/>
      <c r="M16" s="705"/>
      <c r="N16" s="704"/>
      <c r="O16" s="704"/>
      <c r="P16" s="706"/>
      <c r="Q16" s="1725"/>
      <c r="R16" s="1726"/>
      <c r="S16" s="1727"/>
      <c r="T16" s="1728">
        <f>IF(VALUE(TRIM(RIGHT(C16,LEN(C16)-FIND("-",C16,1))))&gt;=83,IF(U16="rearward",IF('General Overview'!C17=0,IF(AND(COUNTIF(F16:G18,"")=0,Q18=1),1,0),IF(AND(COUNTIF(F16:G18,"")=0,Q18=2),1,0)),0),0)</f>
        <v>0</v>
      </c>
      <c r="U16" s="686" t="s">
        <v>2488</v>
      </c>
      <c r="V16" s="689" t="s">
        <v>2485</v>
      </c>
      <c r="W16" s="1048"/>
      <c r="X16" s="1048"/>
      <c r="Y16" s="104"/>
      <c r="Z16" s="104"/>
      <c r="AA16" s="104"/>
      <c r="AB16" s="104"/>
      <c r="AC16" s="104"/>
    </row>
    <row r="17" spans="1:29" s="145" customFormat="1" ht="22.5" customHeight="1">
      <c r="A17" s="156"/>
      <c r="B17" s="1723"/>
      <c r="C17" s="1051" t="s">
        <v>2484</v>
      </c>
      <c r="D17" s="1721"/>
      <c r="E17" s="1721"/>
      <c r="F17" s="672"/>
      <c r="G17" s="307"/>
      <c r="H17" s="338"/>
      <c r="I17" s="339"/>
      <c r="J17" s="707"/>
      <c r="K17" s="341"/>
      <c r="L17" s="339"/>
      <c r="M17" s="340"/>
      <c r="N17" s="339"/>
      <c r="O17" s="339"/>
      <c r="P17" s="342"/>
      <c r="Q17" s="1725"/>
      <c r="R17" s="1726"/>
      <c r="S17" s="1727"/>
      <c r="T17" s="1728"/>
      <c r="U17" s="687" t="s">
        <v>2487</v>
      </c>
      <c r="V17" s="690"/>
      <c r="W17" s="1048"/>
      <c r="X17" s="1048"/>
      <c r="Y17" s="832"/>
      <c r="Z17" s="104"/>
      <c r="AA17" s="104"/>
      <c r="AB17" s="104"/>
      <c r="AC17" s="104"/>
    </row>
    <row r="18" spans="1:29" s="145" customFormat="1" ht="22.5" customHeight="1">
      <c r="A18" s="156"/>
      <c r="B18" s="1723"/>
      <c r="C18" s="1051" t="s">
        <v>2484</v>
      </c>
      <c r="D18" s="1721"/>
      <c r="E18" s="1721"/>
      <c r="F18" s="672"/>
      <c r="G18" s="307"/>
      <c r="H18" s="440"/>
      <c r="I18" s="339"/>
      <c r="J18" s="708"/>
      <c r="K18" s="974"/>
      <c r="L18" s="339"/>
      <c r="M18" s="979"/>
      <c r="N18" s="339"/>
      <c r="O18" s="339"/>
      <c r="P18" s="342"/>
      <c r="Q18" s="304">
        <f t="shared" si="0"/>
        <v>0</v>
      </c>
      <c r="R18" s="296">
        <f>COUNTIF($H18:$P18,"Fail")+COUNTIF($H18:$P18,"P Fail")</f>
        <v>0</v>
      </c>
      <c r="S18" s="297"/>
      <c r="T18" s="1728"/>
      <c r="U18" s="687" t="s">
        <v>2487</v>
      </c>
      <c r="V18" s="690"/>
      <c r="W18" s="104"/>
      <c r="X18" s="104"/>
      <c r="Y18" s="104"/>
      <c r="Z18" s="104"/>
      <c r="AA18" s="104"/>
      <c r="AB18" s="104"/>
      <c r="AC18" s="104"/>
    </row>
    <row r="19" spans="1:29" s="145" customFormat="1" ht="22.5" customHeight="1" thickBot="1">
      <c r="A19" s="156"/>
      <c r="B19" s="1724"/>
      <c r="C19" s="1052" t="s">
        <v>2504</v>
      </c>
      <c r="D19" s="1722"/>
      <c r="E19" s="1722"/>
      <c r="F19" s="310"/>
      <c r="G19" s="805"/>
      <c r="H19" s="441"/>
      <c r="I19" s="343"/>
      <c r="J19" s="441"/>
      <c r="K19" s="978"/>
      <c r="L19" s="343"/>
      <c r="M19" s="980"/>
      <c r="N19" s="343"/>
      <c r="O19" s="343"/>
      <c r="P19" s="344"/>
      <c r="Q19" s="300">
        <f t="shared" si="0"/>
        <v>0</v>
      </c>
      <c r="R19" s="301">
        <f>COUNTIF($H19:$P19,"Fail")+COUNTIF($H19:$P19,"P Fail")</f>
        <v>0</v>
      </c>
      <c r="S19" s="302"/>
      <c r="T19" s="379">
        <f>IF(VALUE(TRIM(RIGHT(C19,LEN(C19)-FIND("-",C19,1))))=150,IF('General Overview'!C17=0,IF(Q19=1,1,0),IF(Q19=2,1,0)),0)</f>
        <v>0</v>
      </c>
      <c r="U19" s="688" t="s">
        <v>2487</v>
      </c>
      <c r="V19" s="691" t="s">
        <v>2489</v>
      </c>
      <c r="W19" s="104"/>
      <c r="X19" s="104"/>
      <c r="Y19" s="104"/>
      <c r="Z19" s="104"/>
      <c r="AA19" s="104"/>
      <c r="AB19" s="104"/>
      <c r="AC19" s="104"/>
    </row>
    <row r="20" spans="1:29" s="145" customFormat="1" ht="22.5" customHeight="1" thickBot="1">
      <c r="A20" s="156"/>
      <c r="B20" s="95"/>
      <c r="C20" s="95"/>
      <c r="D20" s="95"/>
      <c r="E20" s="235"/>
      <c r="F20" s="235"/>
      <c r="G20" s="374"/>
      <c r="H20" s="313"/>
      <c r="I20" s="313"/>
      <c r="J20" s="313"/>
      <c r="K20" s="313"/>
      <c r="L20" s="313"/>
      <c r="M20" s="313"/>
      <c r="N20" s="314"/>
      <c r="O20" s="314"/>
      <c r="P20" s="314"/>
      <c r="Q20" s="95"/>
      <c r="R20" s="95"/>
      <c r="S20" s="95"/>
      <c r="T20" s="95"/>
      <c r="U20" s="95"/>
    </row>
    <row r="21" spans="1:29" s="145" customFormat="1" ht="18.75" customHeight="1" thickBot="1">
      <c r="A21" s="156"/>
      <c r="B21" s="1387" t="s">
        <v>37</v>
      </c>
      <c r="C21" s="1655"/>
      <c r="D21" s="1655"/>
      <c r="E21" s="1655"/>
      <c r="F21" s="1655"/>
      <c r="G21" s="1388"/>
      <c r="H21" s="1558"/>
      <c r="I21" s="1559"/>
      <c r="J21" s="1559"/>
      <c r="K21" s="1559"/>
      <c r="L21" s="1559"/>
      <c r="M21" s="1559"/>
      <c r="N21" s="1559"/>
      <c r="O21" s="1559"/>
      <c r="P21" s="1559"/>
      <c r="Q21" s="1559"/>
      <c r="R21" s="1559"/>
      <c r="S21" s="1559"/>
      <c r="T21" s="1560"/>
      <c r="U21" s="382"/>
      <c r="V21" s="95"/>
    </row>
    <row r="22" spans="1:29" s="145" customFormat="1" ht="15" customHeight="1">
      <c r="B22" s="106"/>
      <c r="C22" s="1720" t="s">
        <v>2452</v>
      </c>
      <c r="D22" s="1720"/>
      <c r="E22" s="1720"/>
      <c r="F22" s="1720"/>
      <c r="G22" s="1534"/>
      <c r="H22" s="1573">
        <f>SUM(T6:T15)</f>
        <v>0</v>
      </c>
      <c r="I22" s="1574"/>
      <c r="J22" s="1574"/>
      <c r="K22" s="1574"/>
      <c r="L22" s="1574"/>
      <c r="M22" s="1574"/>
      <c r="N22" s="1574"/>
      <c r="O22" s="1574"/>
      <c r="P22" s="1574"/>
      <c r="Q22" s="1574"/>
      <c r="R22" s="1574"/>
      <c r="S22" s="1574"/>
      <c r="T22" s="1575"/>
      <c r="U22" s="679"/>
      <c r="V22" s="95"/>
    </row>
    <row r="23" spans="1:29" s="145" customFormat="1" ht="15" customHeight="1" thickBot="1">
      <c r="B23" s="170"/>
      <c r="C23" s="1536" t="s">
        <v>143</v>
      </c>
      <c r="D23" s="1536"/>
      <c r="E23" s="1536"/>
      <c r="F23" s="1536"/>
      <c r="G23" s="1718"/>
      <c r="H23" s="1653">
        <f>T16+T19</f>
        <v>0</v>
      </c>
      <c r="I23" s="1681"/>
      <c r="J23" s="1681"/>
      <c r="K23" s="1681"/>
      <c r="L23" s="1681"/>
      <c r="M23" s="1681"/>
      <c r="N23" s="1681"/>
      <c r="O23" s="1681"/>
      <c r="P23" s="1681"/>
      <c r="Q23" s="1681"/>
      <c r="R23" s="1681"/>
      <c r="S23" s="1681"/>
      <c r="T23" s="1469"/>
      <c r="U23" s="679"/>
      <c r="V23" s="95"/>
    </row>
    <row r="24" spans="1:29" s="145" customFormat="1" ht="15" customHeight="1" thickBot="1">
      <c r="B24" s="95"/>
      <c r="C24" s="95"/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</row>
    <row r="25" spans="1:29" s="145" customFormat="1" ht="21.75" thickBot="1">
      <c r="A25" s="156"/>
      <c r="B25" s="1549" t="s">
        <v>145</v>
      </c>
      <c r="C25" s="1719"/>
      <c r="D25" s="1719"/>
      <c r="E25" s="1719"/>
      <c r="F25" s="1719"/>
      <c r="G25" s="1550"/>
      <c r="H25" s="1561">
        <f>SUM(H22:T23)</f>
        <v>0</v>
      </c>
      <c r="I25" s="1562"/>
      <c r="J25" s="1562"/>
      <c r="K25" s="1562"/>
      <c r="L25" s="1562"/>
      <c r="M25" s="1562"/>
      <c r="N25" s="1562"/>
      <c r="O25" s="1562"/>
      <c r="P25" s="1562"/>
      <c r="Q25" s="1562"/>
      <c r="R25" s="1562"/>
      <c r="S25" s="1562"/>
      <c r="T25" s="1563"/>
      <c r="U25" s="685"/>
      <c r="V25" s="315"/>
    </row>
    <row r="28" spans="1:29" s="145" customFormat="1">
      <c r="A28" s="156"/>
      <c r="B28" s="316"/>
    </row>
    <row r="29" spans="1:29" s="145" customFormat="1">
      <c r="A29" s="156"/>
      <c r="B29" s="316"/>
      <c r="F29" s="156"/>
      <c r="G29" s="1116" t="s">
        <v>576</v>
      </c>
      <c r="H29" s="1117" t="str" cm="1">
        <f t="array" ref="H29">IF(AND(H11:H15="N/A"),"N/A",IF(OR(H11:H15="Fail"),"Fail",IF(OR(H11:H15="P Fail"),"P Fail",IF(AND(H11:H15="Pass"),"Pass","ERROR"))))</f>
        <v>ERROR</v>
      </c>
      <c r="I29" s="1117" t="str" cm="1">
        <f t="array" ref="I29">IF(AND(I11:I15="N/A"),"N/A",IF(OR(I11:I15="Fail"),"Fail",IF(OR(I11:I15="P Fail"),"P Fail",IF(AND(I11:I15="Pass"),"Pass","ERROR"))))</f>
        <v>ERROR</v>
      </c>
      <c r="J29" s="1117" t="str" cm="1">
        <f t="array" ref="J29">IF(AND(J11:J15="N/A"),"N/A",IF(OR(J11:J15="Fail"),"Fail",IF(OR(J11:J15="P Fail"),"P Fail",IF(AND(J11:J15="Pass"),"Pass","ERROR"))))</f>
        <v>ERROR</v>
      </c>
      <c r="K29" s="1117" t="str" cm="1">
        <f t="array" ref="K29">IF(AND(K11:K15="N/A"),"N/A",IF(OR(K11:K15="Fail"),"Fail",IF(OR(K11:K15="P Fail"),"P Fail",IF(AND(K11:K15="Pass"),"Pass","ERROR"))))</f>
        <v>ERROR</v>
      </c>
      <c r="L29" s="1117" t="str" cm="1">
        <f t="array" ref="L29">IF(AND(L11:L15="N/A"),"N/A",IF(OR(L11:L15="Fail"),"Fail",IF(OR(L11:L15="P Fail"),"P Fail",IF(AND(L11:L15="Pass"),"Pass","ERROR"))))</f>
        <v>ERROR</v>
      </c>
      <c r="M29" s="1117" t="str" cm="1">
        <f t="array" ref="M29">IF(AND(M11:M15="N/A"),"N/A",IF(OR(M11:M15="Fail"),"Fail",IF(OR(M11:M15="P Fail"),"P Fail",IF(AND(M11:M15="Pass"),"Pass","ERROR"))))</f>
        <v>ERROR</v>
      </c>
      <c r="N29" s="1117" t="str" cm="1">
        <f t="array" ref="N29">IF(AND(N11:N15="N/A"),"N/A",IF(OR(N11:N15="Fail"),"Fail",IF(OR(N11:N15="P Fail"),"P Fail",IF(AND(N11:N15="Pass"),"Pass","ERROR"))))</f>
        <v>ERROR</v>
      </c>
      <c r="O29" s="1117" t="str" cm="1">
        <f t="array" ref="O29">IF(AND(O11:O15="N/A"),"N/A",IF(OR(O11:O15="Fail"),"Fail",IF(OR(O11:O15="P Fail"),"P Fail",IF(AND(O11:O15="Pass"),"Pass","ERROR"))))</f>
        <v>ERROR</v>
      </c>
      <c r="P29" s="1117" t="str" cm="1">
        <f t="array" ref="P29">IF(AND(P11:P15="N/A"),"N/A",IF(OR(P11:P15="Fail"),"Fail",IF(OR(P11:P15="P Fail"),"P Fail",IF(AND(P11:P15="Pass"),"Pass","ERROR"))))</f>
        <v>ERROR</v>
      </c>
      <c r="Q29" s="156"/>
      <c r="R29" s="156"/>
      <c r="S29" s="156"/>
      <c r="T29" s="156"/>
      <c r="U29" s="156"/>
      <c r="V29" s="156"/>
    </row>
    <row r="30" spans="1:29" s="145" customFormat="1">
      <c r="A30" s="156"/>
      <c r="B30" s="316"/>
      <c r="F30" s="156"/>
      <c r="G30" s="1116" t="s">
        <v>168</v>
      </c>
      <c r="H30" s="1118" t="str" cm="1">
        <f t="array" ref="H30">IF(AND(H9:H10="N/A"),"N/A",IF(OR(H9:H10="Fail"),"Fail",IF(OR(H9:H10="P Fail"),"P Fail",IF(AND(H9:H10="Pass"),"Pass","ERROR"))))</f>
        <v>ERROR</v>
      </c>
      <c r="I30" s="1118" t="str" cm="1">
        <f t="array" ref="I30">IF(AND(I9:I10="N/A"),"N/A",IF(OR(I9:I10="Fail"),"Fail",IF(OR(I9:I10="P Fail"),"P Fail",IF(AND(I9:I10="Pass"),"Pass","ERROR"))))</f>
        <v>ERROR</v>
      </c>
      <c r="J30" s="1118" t="str" cm="1">
        <f t="array" ref="J30">IF(AND(J9:J10="N/A"),"N/A",IF(OR(J9:J10="Fail"),"Fail",IF(OR(J9:J10="P Fail"),"P Fail",IF(AND(J9:J10="Pass"),"Pass","ERROR"))))</f>
        <v>ERROR</v>
      </c>
      <c r="K30" s="1118" t="str" cm="1">
        <f t="array" ref="K30">IF(AND(K9:K10="N/A"),"N/A",IF(OR(K9:K10="Fail"),"Fail",IF(OR(K9:K10="P Fail"),"P Fail",IF(AND(K9:K10="Pass"),"Pass","ERROR"))))</f>
        <v>ERROR</v>
      </c>
      <c r="L30" s="1118" t="str" cm="1">
        <f t="array" ref="L30">IF(AND(L9:L10="N/A"),"N/A",IF(OR(L9:L10="Fail"),"Fail",IF(OR(L9:L10="P Fail"),"P Fail",IF(AND(L9:L10="Pass"),"Pass","ERROR"))))</f>
        <v>ERROR</v>
      </c>
      <c r="M30" s="1118" t="str" cm="1">
        <f t="array" ref="M30">IF(AND(M9:M10="N/A"),"N/A",IF(OR(M9:M10="Fail"),"Fail",IF(OR(M9:M10="P Fail"),"P Fail",IF(AND(M9:M10="Pass"),"Pass","ERROR"))))</f>
        <v>ERROR</v>
      </c>
      <c r="N30" s="1118" t="str" cm="1">
        <f t="array" ref="N30">IF(AND(N9:N10="N/A"),"N/A",IF(OR(N9:N10="Fail"),"Fail",IF(OR(N9:N10="P Fail"),"P Fail",IF(AND(N9:N10="Pass"),"Pass","ERROR"))))</f>
        <v>ERROR</v>
      </c>
      <c r="O30" s="1118" t="str" cm="1">
        <f t="array" ref="O30">IF(AND(O9:O10="N/A"),"N/A",IF(OR(O9:O10="Fail"),"Fail",IF(OR(O9:O10="P Fail"),"P Fail",IF(AND(O9:O10="Pass"),"Pass","ERROR"))))</f>
        <v>ERROR</v>
      </c>
      <c r="P30" s="1118" t="str" cm="1">
        <f t="array" ref="P30">IF(AND(P9:P10="N/A"),"N/A",IF(OR(P9:P10="Fail"),"Fail",IF(OR(P9:P10="P Fail"),"P Fail",IF(AND(P9:P10="Pass"),"Pass","ERROR"))))</f>
        <v>ERROR</v>
      </c>
      <c r="Q30" s="156"/>
      <c r="R30" s="156"/>
      <c r="S30" s="156"/>
      <c r="T30" s="156"/>
      <c r="U30" s="156"/>
      <c r="V30" s="156"/>
    </row>
    <row r="31" spans="1:29" s="145" customFormat="1">
      <c r="A31" s="156"/>
      <c r="B31" s="317"/>
      <c r="F31" s="156"/>
      <c r="G31" s="1116" t="s">
        <v>2819</v>
      </c>
      <c r="H31" s="1118" t="str" cm="1">
        <f t="array" ref="H31">IF(AND(H6:H8="N/A"),"N/A",IF(OR(H6:H8="Fail"),"Fail",IF(OR(H6:H8="P Fail"),"P Fail",IF(AND(H6:H8="Pass"),"Pass","ERROR"))))</f>
        <v>ERROR</v>
      </c>
      <c r="I31" s="1118" t="str" cm="1">
        <f t="array" ref="I31">IF(AND(I6:I8="N/A"),"N/A",IF(OR(I6:I8="Fail"),"Fail",IF(OR(I6:I8="P Fail"),"P Fail",IF(AND(I6:I8="Pass"),"Pass","ERROR"))))</f>
        <v>ERROR</v>
      </c>
      <c r="J31" s="1118" t="str" cm="1">
        <f t="array" ref="J31">IF(AND(J6:J8="N/A"),"N/A",IF(OR(J6:J8="Fail"),"Fail",IF(OR(J6:J8="P Fail"),"P Fail",IF(AND(J6:J8="Pass"),"Pass","ERROR"))))</f>
        <v>ERROR</v>
      </c>
      <c r="K31" s="1118" t="str" cm="1">
        <f t="array" ref="K31">IF(AND(K6:K8="N/A"),"N/A",IF(OR(K6:K8="Fail"),"Fail",IF(OR(K6:K8="P Fail"),"P Fail",IF(AND(K6:K8="Pass"),"Pass","ERROR"))))</f>
        <v>ERROR</v>
      </c>
      <c r="L31" s="1118" t="str" cm="1">
        <f t="array" ref="L31">IF(AND(L6:L8="N/A"),"N/A",IF(OR(L6:L8="Fail"),"Fail",IF(OR(L6:L8="P Fail"),"P Fail",IF(AND(L6:L8="Pass"),"Pass","ERROR"))))</f>
        <v>ERROR</v>
      </c>
      <c r="M31" s="1118" t="str" cm="1">
        <f t="array" ref="M31">IF(AND(M6:M8="N/A"),"N/A",IF(OR(M6:M8="Fail"),"Fail",IF(OR(M6:M8="P Fail"),"P Fail",IF(AND(M6:M8="Pass"),"Pass","ERROR"))))</f>
        <v>ERROR</v>
      </c>
      <c r="N31" s="1118" t="str" cm="1">
        <f t="array" ref="N31">IF(AND(N6:N8="N/A"),"N/A",IF(OR(N6:N8="Fail"),"Fail",IF(OR(N6:N8="P Fail"),"P Fail",IF(AND(N6:N8="Pass"),"Pass","ERROR"))))</f>
        <v>ERROR</v>
      </c>
      <c r="O31" s="1118" t="str" cm="1">
        <f t="array" ref="O31">IF(AND(O6:O8="N/A"),"N/A",IF(OR(O6:O8="Fail"),"Fail",IF(OR(O6:O8="P Fail"),"P Fail",IF(AND(O6:O8="Pass"),"Pass","ERROR"))))</f>
        <v>ERROR</v>
      </c>
      <c r="P31" s="1118" t="str" cm="1">
        <f t="array" ref="P31">IF(AND(P6:P8="N/A"),"N/A",IF(OR(P6:P8="Fail"),"Fail",IF(OR(P6:P8="P Fail"),"P Fail",IF(AND(P6:P8="Pass"),"Pass","ERROR"))))</f>
        <v>ERROR</v>
      </c>
      <c r="Q31" s="156"/>
      <c r="R31" s="156"/>
      <c r="S31" s="156"/>
      <c r="T31" s="156"/>
      <c r="U31" s="156"/>
      <c r="V31" s="156"/>
    </row>
    <row r="32" spans="1:29" s="145" customFormat="1">
      <c r="A32" s="156"/>
      <c r="B32" s="317"/>
      <c r="F32" s="156"/>
      <c r="G32" s="1116"/>
      <c r="H32" s="1118"/>
      <c r="I32" s="1118"/>
      <c r="J32" s="1118"/>
      <c r="K32" s="1118"/>
      <c r="L32" s="1118"/>
      <c r="M32" s="1118"/>
      <c r="N32" s="1118"/>
      <c r="O32" s="1118"/>
      <c r="P32" s="1118"/>
      <c r="Q32" s="156"/>
      <c r="R32" s="156"/>
      <c r="S32" s="156"/>
      <c r="T32" s="156"/>
      <c r="U32" s="156"/>
      <c r="V32" s="156"/>
    </row>
    <row r="33" spans="1:22" s="1168" customFormat="1" ht="8.25">
      <c r="A33" s="1166"/>
      <c r="B33" s="1167"/>
      <c r="C33" s="1751" t="s">
        <v>2897</v>
      </c>
      <c r="D33" s="1751"/>
      <c r="E33" s="1751"/>
      <c r="F33" s="1166" t="s">
        <v>2898</v>
      </c>
      <c r="G33" s="1166" t="s">
        <v>985</v>
      </c>
      <c r="I33" s="1169" t="s">
        <v>2889</v>
      </c>
      <c r="J33" s="1169" t="s">
        <v>2890</v>
      </c>
      <c r="K33" s="1169" t="s">
        <v>2891</v>
      </c>
      <c r="L33" s="1169" t="s">
        <v>2892</v>
      </c>
      <c r="M33" s="1169" t="s">
        <v>2893</v>
      </c>
      <c r="N33" s="1169" t="s">
        <v>2894</v>
      </c>
      <c r="O33" s="1169" t="s">
        <v>2895</v>
      </c>
      <c r="P33" s="1169" t="s">
        <v>2896</v>
      </c>
      <c r="Q33" s="1166"/>
      <c r="R33" s="1166"/>
      <c r="S33" s="1166"/>
      <c r="T33" s="1166"/>
      <c r="U33" s="1166"/>
      <c r="V33" s="1166"/>
    </row>
    <row r="34" spans="1:22" s="145" customFormat="1">
      <c r="A34" s="156"/>
      <c r="B34" s="317"/>
      <c r="C34" s="1753" t="s">
        <v>1015</v>
      </c>
      <c r="D34" s="1753"/>
      <c r="E34" s="1753"/>
      <c r="F34" s="1165" t="s">
        <v>576</v>
      </c>
      <c r="G34" s="1119">
        <v>1</v>
      </c>
      <c r="H34" s="156"/>
      <c r="I34" s="1118"/>
      <c r="J34" s="1118"/>
      <c r="K34" s="1118"/>
      <c r="L34" s="1118"/>
      <c r="M34" s="1118"/>
      <c r="N34" s="1118"/>
      <c r="O34" s="1118"/>
      <c r="P34" s="1118"/>
      <c r="Q34" s="156"/>
      <c r="R34" s="589"/>
      <c r="S34"/>
      <c r="T34"/>
      <c r="U34" s="156"/>
      <c r="V34" s="156"/>
    </row>
    <row r="35" spans="1:22" s="1162" customFormat="1" ht="17.25" customHeight="1">
      <c r="A35" s="1160"/>
      <c r="B35" s="1161"/>
      <c r="C35" s="1754" t="s">
        <v>2905</v>
      </c>
      <c r="D35" s="1754"/>
      <c r="E35" s="1754"/>
      <c r="F35" s="1709" t="s">
        <v>168</v>
      </c>
      <c r="G35" s="1163">
        <v>1</v>
      </c>
      <c r="H35" s="1160"/>
      <c r="I35" s="1170"/>
      <c r="J35" s="1170"/>
      <c r="K35" s="1170"/>
      <c r="L35" s="1170"/>
      <c r="M35" s="1170"/>
      <c r="N35" s="1170"/>
      <c r="O35" s="1170"/>
      <c r="P35" s="1170"/>
      <c r="Q35" s="1160"/>
      <c r="R35" s="1160"/>
      <c r="S35" s="1160"/>
      <c r="T35" s="1160"/>
      <c r="U35" s="1160"/>
      <c r="V35" s="1160"/>
    </row>
    <row r="36" spans="1:22" s="1162" customFormat="1" ht="17.25" customHeight="1">
      <c r="A36" s="1160"/>
      <c r="C36" s="1752" t="s">
        <v>2906</v>
      </c>
      <c r="D36" s="1752"/>
      <c r="E36" s="1752"/>
      <c r="F36" s="1710"/>
      <c r="G36" s="1163">
        <v>2</v>
      </c>
      <c r="H36" s="1170"/>
      <c r="I36" s="1170"/>
      <c r="J36" s="1170"/>
      <c r="K36" s="1170"/>
      <c r="L36" s="1170"/>
      <c r="M36" s="1170"/>
      <c r="N36" s="1170"/>
      <c r="O36" s="1170"/>
      <c r="P36" s="1170"/>
      <c r="Q36" s="1160"/>
      <c r="R36" s="1160"/>
      <c r="S36" s="1160"/>
      <c r="T36" s="1160"/>
      <c r="U36" s="1160"/>
      <c r="V36" s="1160"/>
    </row>
    <row r="37" spans="1:22" s="1162" customFormat="1" ht="17.25" customHeight="1">
      <c r="A37" s="1160"/>
      <c r="B37" s="1164"/>
      <c r="C37" s="1752" t="s">
        <v>2907</v>
      </c>
      <c r="D37" s="1752"/>
      <c r="E37" s="1752"/>
      <c r="F37" s="1710"/>
      <c r="G37" s="1163">
        <v>3</v>
      </c>
      <c r="H37" s="1170"/>
      <c r="I37" s="1170"/>
      <c r="J37" s="1170"/>
      <c r="K37" s="1170"/>
      <c r="L37" s="1170"/>
      <c r="M37" s="1170"/>
      <c r="N37" s="1170"/>
      <c r="O37" s="1170"/>
      <c r="P37" s="1170"/>
      <c r="Q37" s="1160"/>
      <c r="R37" s="1160"/>
      <c r="S37" s="1160"/>
      <c r="T37" s="1160"/>
      <c r="U37" s="1160"/>
      <c r="V37" s="1160"/>
    </row>
    <row r="38" spans="1:22" s="1162" customFormat="1" ht="17.25" customHeight="1">
      <c r="A38" s="1160"/>
      <c r="B38" s="1161"/>
      <c r="C38" s="1752" t="s">
        <v>2908</v>
      </c>
      <c r="D38" s="1752"/>
      <c r="E38" s="1752"/>
      <c r="F38" s="1710"/>
      <c r="G38" s="1163">
        <v>4</v>
      </c>
      <c r="H38" s="1170"/>
      <c r="I38" s="1170"/>
      <c r="J38" s="1170"/>
      <c r="K38" s="1170"/>
      <c r="L38" s="1170"/>
      <c r="M38" s="1170"/>
      <c r="N38" s="1170"/>
      <c r="O38" s="1170"/>
      <c r="P38" s="1170"/>
      <c r="Q38" s="1160"/>
      <c r="R38" s="1160"/>
      <c r="S38" s="1160"/>
      <c r="T38" s="1160"/>
      <c r="U38" s="1160"/>
      <c r="V38" s="1160"/>
    </row>
    <row r="39" spans="1:22" s="1162" customFormat="1" ht="17.25" customHeight="1">
      <c r="A39" s="1160"/>
      <c r="B39" s="1161"/>
      <c r="C39" s="1752" t="s">
        <v>2909</v>
      </c>
      <c r="D39" s="1752"/>
      <c r="E39" s="1752"/>
      <c r="F39" s="1710"/>
      <c r="G39" s="1163">
        <v>5</v>
      </c>
      <c r="H39" s="1170"/>
      <c r="I39" s="1170"/>
      <c r="J39" s="1170"/>
      <c r="K39" s="1170"/>
      <c r="L39" s="1170"/>
      <c r="M39" s="1170"/>
      <c r="N39" s="1170"/>
      <c r="O39" s="1170"/>
      <c r="P39" s="1170"/>
      <c r="Q39" s="1160"/>
      <c r="R39" s="1160"/>
      <c r="S39" s="1160"/>
      <c r="T39" s="1160"/>
      <c r="U39" s="1160"/>
      <c r="V39" s="1160"/>
    </row>
    <row r="40" spans="1:22" s="1162" customFormat="1" ht="17.25" customHeight="1">
      <c r="A40" s="1160"/>
      <c r="B40" s="1161"/>
      <c r="C40" s="1752" t="s">
        <v>2910</v>
      </c>
      <c r="D40" s="1752"/>
      <c r="E40" s="1752"/>
      <c r="F40" s="1711"/>
      <c r="G40" s="1163">
        <v>6</v>
      </c>
      <c r="H40" s="1170"/>
      <c r="I40" s="1170"/>
      <c r="J40" s="1170"/>
      <c r="K40" s="1170"/>
      <c r="L40" s="1170"/>
      <c r="M40" s="1170"/>
      <c r="N40" s="1170"/>
      <c r="O40" s="1170"/>
      <c r="P40" s="1170"/>
      <c r="Q40" s="1160"/>
      <c r="R40" s="1160"/>
      <c r="S40" s="1160"/>
      <c r="T40" s="1160"/>
      <c r="U40" s="1160"/>
      <c r="V40" s="1160"/>
    </row>
    <row r="41" spans="1:22" s="1162" customFormat="1" ht="18" customHeight="1">
      <c r="A41" s="1160"/>
      <c r="B41" s="1161"/>
      <c r="C41" s="1752" t="s">
        <v>2899</v>
      </c>
      <c r="D41" s="1752"/>
      <c r="E41" s="1752"/>
      <c r="F41" s="1709" t="s">
        <v>2819</v>
      </c>
      <c r="G41" s="1163">
        <v>1</v>
      </c>
      <c r="H41" s="1170"/>
      <c r="I41" s="1170"/>
      <c r="J41" s="1170"/>
      <c r="K41" s="1170"/>
      <c r="L41" s="1170"/>
      <c r="M41" s="1170"/>
      <c r="N41" s="1170"/>
      <c r="O41" s="1170"/>
      <c r="P41" s="1170"/>
      <c r="Q41" s="1160"/>
      <c r="R41" s="1160"/>
      <c r="S41" s="1160"/>
      <c r="T41" s="1160"/>
      <c r="U41" s="1160"/>
      <c r="V41" s="1160"/>
    </row>
    <row r="42" spans="1:22" s="1162" customFormat="1" ht="18" customHeight="1">
      <c r="A42" s="1160"/>
      <c r="C42" s="1752" t="s">
        <v>2900</v>
      </c>
      <c r="D42" s="1752"/>
      <c r="E42" s="1752"/>
      <c r="F42" s="1710"/>
      <c r="G42" s="1163">
        <v>2</v>
      </c>
      <c r="H42" s="1170"/>
      <c r="I42" s="1170"/>
      <c r="J42" s="1170"/>
      <c r="K42" s="1170"/>
      <c r="L42" s="1170"/>
      <c r="M42" s="1170"/>
      <c r="N42" s="1170"/>
      <c r="O42" s="1170"/>
      <c r="P42" s="1170"/>
      <c r="Q42" s="1160"/>
      <c r="R42" s="1160"/>
      <c r="S42" s="1160"/>
      <c r="T42" s="1160"/>
      <c r="U42" s="1160"/>
      <c r="V42" s="1160"/>
    </row>
    <row r="43" spans="1:22" s="1162" customFormat="1" ht="18" customHeight="1">
      <c r="A43" s="1160"/>
      <c r="B43" s="1164"/>
      <c r="C43" s="1752" t="s">
        <v>2901</v>
      </c>
      <c r="D43" s="1752"/>
      <c r="E43" s="1752"/>
      <c r="F43" s="1710"/>
      <c r="G43" s="1163">
        <v>3</v>
      </c>
      <c r="H43" s="1170"/>
      <c r="I43" s="1170"/>
      <c r="J43" s="1170"/>
      <c r="K43" s="1170"/>
      <c r="L43" s="1170"/>
      <c r="M43" s="1170"/>
      <c r="N43" s="1170"/>
      <c r="O43" s="1170"/>
      <c r="P43" s="1170"/>
      <c r="Q43" s="1160"/>
      <c r="R43" s="1160"/>
      <c r="S43" s="1160"/>
      <c r="T43" s="1160"/>
      <c r="U43" s="1160"/>
      <c r="V43" s="1160"/>
    </row>
    <row r="44" spans="1:22" s="1162" customFormat="1" ht="18" customHeight="1">
      <c r="A44" s="1160"/>
      <c r="B44" s="1161"/>
      <c r="C44" s="1750" t="s">
        <v>2902</v>
      </c>
      <c r="D44" s="1750"/>
      <c r="E44" s="1750"/>
      <c r="F44" s="1710"/>
      <c r="G44" s="1163">
        <v>4</v>
      </c>
      <c r="H44" s="1170"/>
      <c r="I44" s="1170"/>
      <c r="J44" s="1170"/>
      <c r="K44" s="1170"/>
      <c r="L44" s="1170"/>
      <c r="M44" s="1170"/>
      <c r="N44" s="1170"/>
      <c r="O44" s="1170"/>
      <c r="P44" s="1170"/>
      <c r="Q44" s="1160"/>
      <c r="R44" s="1160"/>
      <c r="S44" s="1160"/>
      <c r="T44" s="1160"/>
      <c r="U44" s="1160"/>
      <c r="V44" s="1160"/>
    </row>
    <row r="45" spans="1:22" s="1162" customFormat="1" ht="18" customHeight="1">
      <c r="A45" s="1160"/>
      <c r="B45" s="1161"/>
      <c r="C45" s="1750" t="s">
        <v>2903</v>
      </c>
      <c r="D45" s="1750"/>
      <c r="E45" s="1750"/>
      <c r="F45" s="1710"/>
      <c r="G45" s="1163">
        <v>5</v>
      </c>
      <c r="H45" s="1170"/>
      <c r="I45" s="1170"/>
      <c r="J45" s="1170"/>
      <c r="K45" s="1170"/>
      <c r="L45" s="1170"/>
      <c r="M45" s="1170"/>
      <c r="N45" s="1170"/>
      <c r="O45" s="1170"/>
      <c r="P45" s="1170"/>
      <c r="Q45" s="1160"/>
      <c r="R45" s="1160"/>
      <c r="S45" s="1160"/>
      <c r="T45" s="1160"/>
      <c r="U45" s="1160"/>
      <c r="V45" s="1160"/>
    </row>
    <row r="46" spans="1:22" s="1162" customFormat="1" ht="18" customHeight="1">
      <c r="A46" s="1160"/>
      <c r="B46" s="1161"/>
      <c r="C46" s="1750" t="s">
        <v>2904</v>
      </c>
      <c r="D46" s="1750"/>
      <c r="E46" s="1750"/>
      <c r="F46" s="1711"/>
      <c r="G46" s="1163">
        <v>6</v>
      </c>
      <c r="H46" s="1170"/>
      <c r="I46" s="1170"/>
      <c r="J46" s="1170"/>
      <c r="K46" s="1170"/>
      <c r="L46" s="1170"/>
      <c r="M46" s="1170"/>
      <c r="N46" s="1170"/>
      <c r="O46" s="1170"/>
      <c r="P46" s="1170"/>
      <c r="Q46" s="1160"/>
      <c r="R46" s="1160"/>
      <c r="S46" s="1160"/>
      <c r="T46" s="1160"/>
      <c r="U46" s="1160"/>
      <c r="V46" s="1160"/>
    </row>
    <row r="47" spans="1:22" s="145" customFormat="1">
      <c r="A47" s="156"/>
      <c r="B47" s="317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</row>
    <row r="48" spans="1:22" s="145" customFormat="1">
      <c r="A48" s="156"/>
      <c r="B48" s="317"/>
      <c r="C48" s="156"/>
      <c r="D48" s="156"/>
      <c r="E48" s="156"/>
      <c r="F48" s="156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</row>
    <row r="49" spans="1:22" s="145" customFormat="1">
      <c r="A49" s="156"/>
      <c r="C49" s="156"/>
      <c r="D49" s="156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R49" s="156"/>
      <c r="S49" s="156"/>
      <c r="T49" s="156"/>
      <c r="U49" s="156"/>
      <c r="V49" s="156"/>
    </row>
    <row r="50" spans="1:22">
      <c r="B50" s="316"/>
    </row>
    <row r="51" spans="1:22">
      <c r="B51" s="317"/>
    </row>
    <row r="52" spans="1:22">
      <c r="B52" s="317"/>
    </row>
    <row r="53" spans="1:22">
      <c r="B53" s="317"/>
    </row>
  </sheetData>
  <mergeCells count="49">
    <mergeCell ref="C44:E44"/>
    <mergeCell ref="C45:E45"/>
    <mergeCell ref="C46:E46"/>
    <mergeCell ref="C33:E33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F5:G5"/>
    <mergeCell ref="B2:G4"/>
    <mergeCell ref="H2:P2"/>
    <mergeCell ref="Q2:T3"/>
    <mergeCell ref="H3:J3"/>
    <mergeCell ref="K3:M3"/>
    <mergeCell ref="N3:P3"/>
    <mergeCell ref="D10:E10"/>
    <mergeCell ref="D11:E11"/>
    <mergeCell ref="D6:E6"/>
    <mergeCell ref="D7:E7"/>
    <mergeCell ref="D8:E8"/>
    <mergeCell ref="D9:E9"/>
    <mergeCell ref="Q16:S17"/>
    <mergeCell ref="T16:T18"/>
    <mergeCell ref="D15:E15"/>
    <mergeCell ref="D14:E14"/>
    <mergeCell ref="D12:E12"/>
    <mergeCell ref="D13:E13"/>
    <mergeCell ref="F35:F40"/>
    <mergeCell ref="F41:F46"/>
    <mergeCell ref="U2:V4"/>
    <mergeCell ref="C23:G23"/>
    <mergeCell ref="H23:T23"/>
    <mergeCell ref="B25:G25"/>
    <mergeCell ref="H25:T25"/>
    <mergeCell ref="C22:G22"/>
    <mergeCell ref="H22:T22"/>
    <mergeCell ref="D17:E17"/>
    <mergeCell ref="D18:E18"/>
    <mergeCell ref="D19:E19"/>
    <mergeCell ref="B21:G21"/>
    <mergeCell ref="H21:T21"/>
    <mergeCell ref="B16:B19"/>
    <mergeCell ref="D16:E16"/>
  </mergeCells>
  <conditionalFormatting sqref="S20">
    <cfRule type="cellIs" dxfId="1503" priority="118" stopIfTrue="1" operator="equal">
      <formula>""</formula>
    </cfRule>
    <cfRule type="expression" dxfId="1502" priority="119" stopIfTrue="1">
      <formula>$Q20=0</formula>
    </cfRule>
    <cfRule type="expression" dxfId="1501" priority="120">
      <formula>AND($J20="Pass",$L20="Pass")</formula>
    </cfRule>
    <cfRule type="expression" dxfId="1500" priority="121">
      <formula>$Q20&gt;0</formula>
    </cfRule>
  </conditionalFormatting>
  <conditionalFormatting sqref="N13">
    <cfRule type="cellIs" dxfId="1499" priority="51" stopIfTrue="1" operator="equal">
      <formula>"P Fail"</formula>
    </cfRule>
    <cfRule type="cellIs" dxfId="1498" priority="52" operator="equal">
      <formula>"Fail"</formula>
    </cfRule>
    <cfRule type="cellIs" dxfId="1497" priority="53" operator="equal">
      <formula>"Pass"</formula>
    </cfRule>
    <cfRule type="cellIs" dxfId="1496" priority="54" operator="equal">
      <formula>"Exempt"</formula>
    </cfRule>
    <cfRule type="cellIs" dxfId="1495" priority="55" operator="equal">
      <formula>"N/A"</formula>
    </cfRule>
  </conditionalFormatting>
  <conditionalFormatting sqref="H14:P15 H11:J13 L13:M13 O11:P13 H6:P10 K11:M12">
    <cfRule type="cellIs" dxfId="1494" priority="81" stopIfTrue="1" operator="equal">
      <formula>"P Fail"</formula>
    </cfRule>
    <cfRule type="cellIs" dxfId="1493" priority="82" operator="equal">
      <formula>"Fail"</formula>
    </cfRule>
    <cfRule type="cellIs" dxfId="1492" priority="83" operator="equal">
      <formula>"Pass"</formula>
    </cfRule>
    <cfRule type="cellIs" dxfId="1491" priority="84" operator="equal">
      <formula>"Exempt"</formula>
    </cfRule>
    <cfRule type="cellIs" dxfId="1490" priority="85" operator="equal">
      <formula>"N/A"</formula>
    </cfRule>
  </conditionalFormatting>
  <conditionalFormatting sqref="K13">
    <cfRule type="cellIs" dxfId="1489" priority="66" stopIfTrue="1" operator="equal">
      <formula>"P Fail"</formula>
    </cfRule>
    <cfRule type="cellIs" dxfId="1488" priority="67" operator="equal">
      <formula>"Fail"</formula>
    </cfRule>
    <cfRule type="cellIs" dxfId="1487" priority="68" operator="equal">
      <formula>"Pass"</formula>
    </cfRule>
    <cfRule type="cellIs" dxfId="1486" priority="69" operator="equal">
      <formula>"Exempt"</formula>
    </cfRule>
    <cfRule type="cellIs" dxfId="1485" priority="70" operator="equal">
      <formula>"N/A"</formula>
    </cfRule>
  </conditionalFormatting>
  <conditionalFormatting sqref="N11">
    <cfRule type="cellIs" dxfId="1484" priority="61" stopIfTrue="1" operator="equal">
      <formula>"P Fail"</formula>
    </cfRule>
    <cfRule type="cellIs" dxfId="1483" priority="62" operator="equal">
      <formula>"Fail"</formula>
    </cfRule>
    <cfRule type="cellIs" dxfId="1482" priority="63" operator="equal">
      <formula>"Pass"</formula>
    </cfRule>
    <cfRule type="cellIs" dxfId="1481" priority="64" operator="equal">
      <formula>"Exempt"</formula>
    </cfRule>
    <cfRule type="cellIs" dxfId="1480" priority="65" operator="equal">
      <formula>"N/A"</formula>
    </cfRule>
  </conditionalFormatting>
  <conditionalFormatting sqref="N12">
    <cfRule type="cellIs" dxfId="1479" priority="56" stopIfTrue="1" operator="equal">
      <formula>"P Fail"</formula>
    </cfRule>
    <cfRule type="cellIs" dxfId="1478" priority="57" operator="equal">
      <formula>"Fail"</formula>
    </cfRule>
    <cfRule type="cellIs" dxfId="1477" priority="58" operator="equal">
      <formula>"Pass"</formula>
    </cfRule>
    <cfRule type="cellIs" dxfId="1476" priority="59" operator="equal">
      <formula>"Exempt"</formula>
    </cfRule>
    <cfRule type="cellIs" dxfId="1475" priority="60" operator="equal">
      <formula>"N/A"</formula>
    </cfRule>
  </conditionalFormatting>
  <conditionalFormatting sqref="K18">
    <cfRule type="cellIs" dxfId="1474" priority="21" stopIfTrue="1" operator="equal">
      <formula>"P Fail"</formula>
    </cfRule>
    <cfRule type="cellIs" dxfId="1473" priority="22" operator="equal">
      <formula>"Fail"</formula>
    </cfRule>
    <cfRule type="cellIs" dxfId="1472" priority="23" operator="equal">
      <formula>"Pass"</formula>
    </cfRule>
    <cfRule type="cellIs" dxfId="1471" priority="24" operator="equal">
      <formula>"Exempt"</formula>
    </cfRule>
    <cfRule type="cellIs" dxfId="1470" priority="25" operator="equal">
      <formula>"N/A"</formula>
    </cfRule>
  </conditionalFormatting>
  <conditionalFormatting sqref="U6:U19">
    <cfRule type="cellIs" dxfId="1469" priority="26" stopIfTrue="1" operator="equal">
      <formula>"P Fail"</formula>
    </cfRule>
    <cfRule type="cellIs" dxfId="1468" priority="27" operator="equal">
      <formula>"Fail"</formula>
    </cfRule>
    <cfRule type="cellIs" dxfId="1467" priority="28" operator="equal">
      <formula>"Pass"</formula>
    </cfRule>
    <cfRule type="cellIs" dxfId="1466" priority="29" operator="equal">
      <formula>"Exempt"</formula>
    </cfRule>
    <cfRule type="cellIs" dxfId="1465" priority="30" operator="equal">
      <formula>"N/A"</formula>
    </cfRule>
  </conditionalFormatting>
  <conditionalFormatting sqref="M18">
    <cfRule type="cellIs" dxfId="1464" priority="6" stopIfTrue="1" operator="equal">
      <formula>"P Fail"</formula>
    </cfRule>
    <cfRule type="cellIs" dxfId="1463" priority="7" operator="equal">
      <formula>"Fail"</formula>
    </cfRule>
    <cfRule type="cellIs" dxfId="1462" priority="8" operator="equal">
      <formula>"Pass"</formula>
    </cfRule>
    <cfRule type="cellIs" dxfId="1461" priority="9" operator="equal">
      <formula>"Exempt"</formula>
    </cfRule>
    <cfRule type="cellIs" dxfId="1460" priority="10" operator="equal">
      <formula>"N/A"</formula>
    </cfRule>
  </conditionalFormatting>
  <conditionalFormatting sqref="K19">
    <cfRule type="cellIs" dxfId="1459" priority="11" stopIfTrue="1" operator="equal">
      <formula>"P Fail"</formula>
    </cfRule>
    <cfRule type="cellIs" dxfId="1458" priority="12" operator="equal">
      <formula>"Fail"</formula>
    </cfRule>
    <cfRule type="cellIs" dxfId="1457" priority="13" operator="equal">
      <formula>"Pass"</formula>
    </cfRule>
    <cfRule type="cellIs" dxfId="1456" priority="14" operator="equal">
      <formula>"Exempt"</formula>
    </cfRule>
    <cfRule type="cellIs" dxfId="1455" priority="15" operator="equal">
      <formula>"N/A"</formula>
    </cfRule>
  </conditionalFormatting>
  <conditionalFormatting sqref="M19">
    <cfRule type="cellIs" dxfId="1454" priority="1" stopIfTrue="1" operator="equal">
      <formula>"P Fail"</formula>
    </cfRule>
    <cfRule type="cellIs" dxfId="1453" priority="2" operator="equal">
      <formula>"Fail"</formula>
    </cfRule>
    <cfRule type="cellIs" dxfId="1452" priority="3" operator="equal">
      <formula>"Pass"</formula>
    </cfRule>
    <cfRule type="cellIs" dxfId="1451" priority="4" operator="equal">
      <formula>"Exempt"</formula>
    </cfRule>
    <cfRule type="cellIs" dxfId="1450" priority="5" operator="equal">
      <formula>"N/A"</formula>
    </cfRule>
  </conditionalFormatting>
  <dataValidations count="6">
    <dataValidation type="list" allowBlank="1" showInputMessage="1" showErrorMessage="1" sqref="J18:J19 H7 H18:H19 N11:P13 I11:I13 L13" xr:uid="{00000000-0002-0000-0C00-000000000000}">
      <formula1>"N/A,Pass,P Fail,Fail,Exempt"</formula1>
    </dataValidation>
    <dataValidation type="list" allowBlank="1" showInputMessage="1" showErrorMessage="1" sqref="H5:P5" xr:uid="{00000000-0002-0000-0C00-000001000000}">
      <formula1>"N/A,Belt,ISOFIX,i-Size"</formula1>
    </dataValidation>
    <dataValidation type="list" allowBlank="1" showInputMessage="1" showErrorMessage="1" sqref="M13 H6:P6 I7:P7 H14:P15 H11:H13 H8:P10 J11:K13 L11:M12" xr:uid="{2D3B86AD-B3F2-4BB2-99D7-9F58B6E4F897}">
      <formula1>"N/A,Pass,P Fail,Fail"</formula1>
    </dataValidation>
    <dataValidation type="list" allowBlank="1" showInputMessage="1" showErrorMessage="1" sqref="U6:U19" xr:uid="{7E59A9F9-5133-4A2C-8D38-3E6AB4066025}">
      <formula1>"Forward, Rearward,"</formula1>
    </dataValidation>
    <dataValidation type="list" allowBlank="1" showInputMessage="1" showErrorMessage="1" sqref="K18:K19 M18:M19" xr:uid="{8674C6D7-4AB8-4D74-A92A-7E28760A4631}">
      <formula1>"None,Pass,P Fail,Fail"</formula1>
    </dataValidation>
    <dataValidation type="list" allowBlank="1" showInputMessage="1" showErrorMessage="1" sqref="I34:P46" xr:uid="{8FBA463E-348C-44C9-8176-CDED45E0E420}">
      <formula1>"N/A,Exempt,Pass,P Fail,Fail"</formula1>
    </dataValidation>
  </dataValidations>
  <pageMargins left="0.7" right="0.7" top="0.75" bottom="0.75" header="0.3" footer="0.3"/>
  <pageSetup paperSize="9" orientation="portrait" horizont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4E1E8-020E-4DC4-AB53-BD2FE6C262D8}">
  <sheetPr>
    <tabColor rgb="FF0070C0"/>
  </sheetPr>
  <dimension ref="A1:U60"/>
  <sheetViews>
    <sheetView zoomScaleNormal="100" workbookViewId="0">
      <pane xSplit="5" ySplit="10" topLeftCell="F11" activePane="bottomRight" state="frozen"/>
      <selection pane="topRight"/>
      <selection pane="bottomLeft"/>
      <selection pane="bottomRight"/>
    </sheetView>
  </sheetViews>
  <sheetFormatPr defaultColWidth="9.140625" defaultRowHeight="15" outlineLevelRow="1"/>
  <cols>
    <col min="1" max="1" width="3.85546875" style="1190" customWidth="1"/>
    <col min="2" max="2" width="11.42578125" style="1190" customWidth="1"/>
    <col min="3" max="3" width="12.85546875" style="1190" customWidth="1"/>
    <col min="4" max="4" width="46.42578125" style="1190" customWidth="1"/>
    <col min="5" max="5" width="12.85546875" style="1190" customWidth="1"/>
    <col min="6" max="6" width="11.28515625" style="1190" customWidth="1"/>
    <col min="7" max="14" width="21.140625" style="1190" customWidth="1"/>
    <col min="15" max="16" width="112.28515625" style="1190" customWidth="1"/>
    <col min="17" max="19" width="9.140625" style="1190"/>
    <col min="20" max="21" width="21.140625" style="1190" customWidth="1"/>
    <col min="22" max="16384" width="9.140625" style="1190"/>
  </cols>
  <sheetData>
    <row r="1" spans="1:21" ht="35.25" customHeight="1" thickBot="1">
      <c r="B1" s="1191" t="s">
        <v>2820</v>
      </c>
      <c r="G1" s="1191"/>
      <c r="I1" s="1191" t="s">
        <v>2821</v>
      </c>
    </row>
    <row r="2" spans="1:21" ht="15" customHeight="1">
      <c r="B2" s="1192"/>
      <c r="C2" s="1193" t="s">
        <v>2822</v>
      </c>
      <c r="D2" s="1761"/>
      <c r="E2" s="1762"/>
      <c r="G2" s="1763" t="s">
        <v>2823</v>
      </c>
      <c r="H2" s="1760" t="s">
        <v>2824</v>
      </c>
      <c r="I2" s="1760"/>
      <c r="J2" s="1760"/>
      <c r="K2" s="1760"/>
      <c r="L2" s="1760"/>
      <c r="M2" s="1760"/>
      <c r="N2" s="1194"/>
    </row>
    <row r="3" spans="1:21">
      <c r="B3" s="1195"/>
      <c r="C3" s="1196" t="s">
        <v>2825</v>
      </c>
      <c r="D3" s="1758"/>
      <c r="E3" s="1759"/>
      <c r="G3" s="1763"/>
      <c r="H3" s="1760" t="s">
        <v>2826</v>
      </c>
      <c r="I3" s="1760"/>
      <c r="J3" s="1760"/>
      <c r="K3" s="1760"/>
      <c r="L3" s="1760"/>
      <c r="M3" s="1760"/>
      <c r="N3" s="1194"/>
    </row>
    <row r="4" spans="1:21">
      <c r="B4" s="1195"/>
      <c r="C4" s="1196" t="s">
        <v>2827</v>
      </c>
      <c r="D4" s="1758"/>
      <c r="E4" s="1759"/>
      <c r="G4" s="1763"/>
      <c r="H4" s="1194"/>
      <c r="I4" s="1194"/>
      <c r="J4" s="1194"/>
      <c r="K4" s="1194"/>
      <c r="L4" s="1194"/>
      <c r="M4" s="1194"/>
      <c r="N4" s="1194"/>
    </row>
    <row r="5" spans="1:21" ht="30.75" customHeight="1">
      <c r="B5" s="1769" t="s">
        <v>2828</v>
      </c>
      <c r="C5" s="1770"/>
      <c r="D5" s="1758"/>
      <c r="E5" s="1759"/>
      <c r="G5" s="1763"/>
      <c r="H5" s="1755" t="s">
        <v>2829</v>
      </c>
      <c r="I5" s="1755"/>
      <c r="J5" s="1755"/>
      <c r="K5" s="1755"/>
      <c r="L5" s="1755"/>
      <c r="M5" s="1755"/>
      <c r="N5" s="1755"/>
    </row>
    <row r="6" spans="1:21" ht="33" customHeight="1">
      <c r="B6" s="1756" t="str">
        <f>IF(LEFT(D5,2)="No","","table for this specific Hand of Drive: ")</f>
        <v xml:space="preserve">table for this specific Hand of Drive: </v>
      </c>
      <c r="C6" s="1757"/>
      <c r="D6" s="1758"/>
      <c r="E6" s="1759"/>
      <c r="G6" s="1763"/>
      <c r="H6" s="1760" t="s">
        <v>2830</v>
      </c>
      <c r="I6" s="1760"/>
      <c r="J6" s="1760"/>
      <c r="K6" s="1760"/>
      <c r="L6" s="1760"/>
      <c r="M6" s="1760"/>
      <c r="N6" s="1760"/>
    </row>
    <row r="7" spans="1:21">
      <c r="B7" s="1195"/>
      <c r="C7" s="1196" t="s">
        <v>2831</v>
      </c>
      <c r="D7" s="1758"/>
      <c r="E7" s="1759"/>
      <c r="G7" s="1763"/>
      <c r="H7" s="1760" t="s">
        <v>2832</v>
      </c>
      <c r="I7" s="1760"/>
      <c r="J7" s="1760"/>
      <c r="K7" s="1760"/>
      <c r="L7" s="1760"/>
      <c r="M7" s="1760"/>
      <c r="N7" s="1760"/>
    </row>
    <row r="8" spans="1:21" ht="15.75" thickBot="1">
      <c r="B8" s="1197"/>
      <c r="C8" s="1198" t="s">
        <v>2833</v>
      </c>
      <c r="D8" s="1764"/>
      <c r="E8" s="1765"/>
    </row>
    <row r="9" spans="1:21" ht="15.75" thickBot="1">
      <c r="F9" s="1199"/>
      <c r="G9" s="1200" t="s">
        <v>2680</v>
      </c>
      <c r="H9" s="1201"/>
      <c r="I9" s="1199"/>
      <c r="J9" s="1200" t="s">
        <v>2681</v>
      </c>
      <c r="K9" s="1201"/>
      <c r="L9" s="1199"/>
      <c r="M9" s="1200" t="s">
        <v>2682</v>
      </c>
      <c r="N9" s="1201"/>
    </row>
    <row r="10" spans="1:21" s="1191" customFormat="1" ht="16.5" thickBot="1">
      <c r="C10" s="1120" t="s">
        <v>2834</v>
      </c>
      <c r="D10" s="1121"/>
      <c r="E10" s="1121"/>
      <c r="F10" s="1122" t="s">
        <v>49</v>
      </c>
      <c r="G10" s="1123" t="s">
        <v>181</v>
      </c>
      <c r="H10" s="1124" t="s">
        <v>467</v>
      </c>
      <c r="I10" s="1125" t="s">
        <v>180</v>
      </c>
      <c r="J10" s="1126" t="s">
        <v>181</v>
      </c>
      <c r="K10" s="1127" t="s">
        <v>182</v>
      </c>
      <c r="L10" s="1125" t="s">
        <v>180</v>
      </c>
      <c r="M10" s="1126" t="s">
        <v>181</v>
      </c>
      <c r="N10" s="1127" t="s">
        <v>182</v>
      </c>
      <c r="O10" s="1128" t="s">
        <v>2933</v>
      </c>
      <c r="P10" s="1128" t="s">
        <v>2934</v>
      </c>
      <c r="T10" s="1123" t="s">
        <v>2835</v>
      </c>
      <c r="U10" s="1126" t="s">
        <v>2836</v>
      </c>
    </row>
    <row r="11" spans="1:21" ht="15" customHeight="1">
      <c r="A11" s="1766" t="s">
        <v>2837</v>
      </c>
      <c r="B11" s="1766"/>
      <c r="C11" s="1129" t="s">
        <v>2838</v>
      </c>
      <c r="D11" s="1130"/>
      <c r="E11" s="1130"/>
      <c r="F11" s="1131"/>
      <c r="G11" s="1132"/>
      <c r="H11" s="1133"/>
      <c r="I11" s="1202"/>
      <c r="J11" s="1203"/>
      <c r="K11" s="1204"/>
      <c r="L11" s="1202"/>
      <c r="M11" s="1203"/>
      <c r="N11" s="1204"/>
      <c r="O11" s="1205"/>
      <c r="P11" s="1205"/>
      <c r="T11" s="1132"/>
      <c r="U11" s="1203"/>
    </row>
    <row r="12" spans="1:21">
      <c r="A12" s="1767"/>
      <c r="B12" s="1767"/>
      <c r="C12" s="1134" t="s">
        <v>2839</v>
      </c>
      <c r="D12" s="1135"/>
      <c r="E12" s="1135"/>
      <c r="F12" s="1136"/>
      <c r="G12" s="1137"/>
      <c r="H12" s="1138"/>
      <c r="I12" s="1139"/>
      <c r="J12" s="1137"/>
      <c r="K12" s="1140"/>
      <c r="L12" s="1139"/>
      <c r="M12" s="1137"/>
      <c r="N12" s="1141"/>
      <c r="O12" s="1142"/>
      <c r="P12" s="1142"/>
      <c r="T12" s="1137"/>
      <c r="U12" s="1137"/>
    </row>
    <row r="13" spans="1:21">
      <c r="A13" s="1767"/>
      <c r="B13" s="1767"/>
      <c r="C13" s="1134" t="s">
        <v>2840</v>
      </c>
      <c r="D13" s="1135"/>
      <c r="E13" s="1135"/>
      <c r="F13" s="1136"/>
      <c r="G13" s="1137"/>
      <c r="H13" s="1138"/>
      <c r="I13" s="1139" t="s">
        <v>2841</v>
      </c>
      <c r="J13" s="1137" t="s">
        <v>2841</v>
      </c>
      <c r="K13" s="1140" t="s">
        <v>2841</v>
      </c>
      <c r="L13" s="1139" t="s">
        <v>2841</v>
      </c>
      <c r="M13" s="1137" t="s">
        <v>2841</v>
      </c>
      <c r="N13" s="1141" t="s">
        <v>2841</v>
      </c>
      <c r="O13" s="1142"/>
      <c r="P13" s="1142"/>
      <c r="T13" s="1137"/>
      <c r="U13" s="1137" t="s">
        <v>2841</v>
      </c>
    </row>
    <row r="14" spans="1:21">
      <c r="A14" s="1767"/>
      <c r="B14" s="1767"/>
      <c r="C14" s="1134" t="s">
        <v>2842</v>
      </c>
      <c r="D14" s="1135"/>
      <c r="E14" s="1135"/>
      <c r="F14" s="1143"/>
      <c r="G14" s="1137" t="s">
        <v>2841</v>
      </c>
      <c r="H14" s="1138" t="s">
        <v>2841</v>
      </c>
      <c r="I14" s="1139"/>
      <c r="J14" s="1137"/>
      <c r="K14" s="1140"/>
      <c r="L14" s="1139"/>
      <c r="M14" s="1137"/>
      <c r="N14" s="1141" t="s">
        <v>2935</v>
      </c>
      <c r="O14" s="1142" t="s">
        <v>2843</v>
      </c>
      <c r="P14" s="1142"/>
      <c r="T14" s="1137" t="s">
        <v>2841</v>
      </c>
      <c r="U14" s="1137"/>
    </row>
    <row r="15" spans="1:21">
      <c r="A15" s="1767"/>
      <c r="B15" s="1767"/>
      <c r="C15" s="1134" t="s">
        <v>2844</v>
      </c>
      <c r="D15" s="1135"/>
      <c r="E15" s="1135"/>
      <c r="F15" s="1136"/>
      <c r="G15" s="1137"/>
      <c r="H15" s="1138"/>
      <c r="I15" s="1139"/>
      <c r="J15" s="1137"/>
      <c r="K15" s="1140"/>
      <c r="L15" s="1139"/>
      <c r="M15" s="1137"/>
      <c r="N15" s="1141" t="s">
        <v>2935</v>
      </c>
      <c r="O15" s="1142" t="s">
        <v>2843</v>
      </c>
      <c r="P15" s="1142"/>
      <c r="T15" s="1137"/>
      <c r="U15" s="1137"/>
    </row>
    <row r="16" spans="1:21">
      <c r="A16" s="1767"/>
      <c r="B16" s="1767"/>
      <c r="C16" s="1134" t="s">
        <v>2845</v>
      </c>
      <c r="D16" s="1135"/>
      <c r="E16" s="1135"/>
      <c r="F16" s="1136"/>
      <c r="G16" s="1137"/>
      <c r="H16" s="1138"/>
      <c r="I16" s="1139"/>
      <c r="J16" s="1137"/>
      <c r="K16" s="1140"/>
      <c r="L16" s="1139"/>
      <c r="M16" s="1137"/>
      <c r="N16" s="1140"/>
      <c r="O16" s="1144" t="s">
        <v>2846</v>
      </c>
      <c r="P16" s="1144"/>
      <c r="T16" s="1137"/>
      <c r="U16" s="1137"/>
    </row>
    <row r="17" spans="1:21" outlineLevel="1">
      <c r="A17" s="1767"/>
      <c r="B17" s="1767"/>
      <c r="C17" s="1134" t="s">
        <v>2847</v>
      </c>
      <c r="D17" s="1135"/>
      <c r="E17" s="1135"/>
      <c r="F17" s="1136"/>
      <c r="G17" s="1206"/>
      <c r="H17" s="1207"/>
      <c r="I17" s="1208"/>
      <c r="J17" s="1206"/>
      <c r="K17" s="1209"/>
      <c r="L17" s="1208"/>
      <c r="M17" s="1206"/>
      <c r="N17" s="1210" t="s">
        <v>2935</v>
      </c>
      <c r="O17" s="1142" t="s">
        <v>2848</v>
      </c>
      <c r="P17" s="1142"/>
      <c r="T17" s="1206"/>
      <c r="U17" s="1206"/>
    </row>
    <row r="18" spans="1:21" outlineLevel="1">
      <c r="A18" s="1767"/>
      <c r="B18" s="1767"/>
      <c r="C18" s="1134"/>
      <c r="D18" s="1135" t="s">
        <v>2849</v>
      </c>
      <c r="E18" s="1135"/>
      <c r="F18" s="1136"/>
      <c r="G18" s="1137"/>
      <c r="H18" s="1138"/>
      <c r="I18" s="1139"/>
      <c r="J18" s="1137"/>
      <c r="K18" s="1140"/>
      <c r="L18" s="1139"/>
      <c r="M18" s="1137"/>
      <c r="N18" s="1141" t="s">
        <v>2935</v>
      </c>
      <c r="O18" s="1142"/>
      <c r="P18" s="1142"/>
      <c r="T18" s="1137"/>
      <c r="U18" s="1137"/>
    </row>
    <row r="19" spans="1:21" outlineLevel="1">
      <c r="A19" s="1767"/>
      <c r="B19" s="1767"/>
      <c r="C19" s="1134"/>
      <c r="D19" s="1135" t="s">
        <v>2850</v>
      </c>
      <c r="E19" s="1135"/>
      <c r="F19" s="1136"/>
      <c r="G19" s="1137"/>
      <c r="H19" s="1138"/>
      <c r="I19" s="1139"/>
      <c r="J19" s="1137"/>
      <c r="K19" s="1140"/>
      <c r="L19" s="1139"/>
      <c r="M19" s="1137"/>
      <c r="N19" s="1141" t="s">
        <v>2935</v>
      </c>
      <c r="O19" s="1142"/>
      <c r="P19" s="1142"/>
      <c r="T19" s="1137"/>
      <c r="U19" s="1137"/>
    </row>
    <row r="20" spans="1:21" outlineLevel="1">
      <c r="A20" s="1767"/>
      <c r="B20" s="1767"/>
      <c r="C20" s="1134"/>
      <c r="D20" s="1135" t="s">
        <v>2851</v>
      </c>
      <c r="E20" s="1135"/>
      <c r="F20" s="1136"/>
      <c r="G20" s="1137"/>
      <c r="H20" s="1138"/>
      <c r="I20" s="1139"/>
      <c r="J20" s="1137"/>
      <c r="K20" s="1140"/>
      <c r="L20" s="1139"/>
      <c r="M20" s="1137"/>
      <c r="N20" s="1141" t="s">
        <v>2935</v>
      </c>
      <c r="O20" s="1142"/>
      <c r="P20" s="1142"/>
      <c r="T20" s="1137"/>
      <c r="U20" s="1137"/>
    </row>
    <row r="21" spans="1:21" outlineLevel="1">
      <c r="A21" s="1767"/>
      <c r="B21" s="1767"/>
      <c r="C21" s="1134"/>
      <c r="D21" s="1135" t="s">
        <v>2852</v>
      </c>
      <c r="E21" s="1135"/>
      <c r="F21" s="1136"/>
      <c r="G21" s="1137"/>
      <c r="H21" s="1138"/>
      <c r="I21" s="1139"/>
      <c r="J21" s="1137"/>
      <c r="K21" s="1140"/>
      <c r="L21" s="1139"/>
      <c r="M21" s="1137"/>
      <c r="N21" s="1141" t="s">
        <v>2935</v>
      </c>
      <c r="O21" s="1142"/>
      <c r="P21" s="1142"/>
      <c r="T21" s="1137"/>
      <c r="U21" s="1137"/>
    </row>
    <row r="22" spans="1:21" outlineLevel="1">
      <c r="A22" s="1767"/>
      <c r="B22" s="1767"/>
      <c r="C22" s="1134"/>
      <c r="D22" s="1135" t="s">
        <v>2936</v>
      </c>
      <c r="E22" s="1135"/>
      <c r="F22" s="1136"/>
      <c r="G22" s="1137"/>
      <c r="H22" s="1138"/>
      <c r="I22" s="1139"/>
      <c r="J22" s="1137"/>
      <c r="K22" s="1140"/>
      <c r="L22" s="1139"/>
      <c r="M22" s="1137"/>
      <c r="N22" s="1140"/>
      <c r="O22" s="1144" t="s">
        <v>2937</v>
      </c>
      <c r="P22" s="1144"/>
      <c r="T22" s="1137"/>
      <c r="U22" s="1137"/>
    </row>
    <row r="23" spans="1:21" outlineLevel="1">
      <c r="A23" s="1767"/>
      <c r="B23" s="1767"/>
      <c r="C23" s="1134" t="s">
        <v>2853</v>
      </c>
      <c r="D23" s="1135"/>
      <c r="E23" s="1135"/>
      <c r="F23" s="1136"/>
      <c r="G23" s="1206"/>
      <c r="H23" s="1207"/>
      <c r="I23" s="1208"/>
      <c r="J23" s="1206"/>
      <c r="K23" s="1209"/>
      <c r="L23" s="1208"/>
      <c r="M23" s="1206"/>
      <c r="N23" s="1210" t="s">
        <v>2935</v>
      </c>
      <c r="O23" s="1142"/>
      <c r="P23" s="1142"/>
      <c r="T23" s="1206"/>
      <c r="U23" s="1206"/>
    </row>
    <row r="24" spans="1:21" outlineLevel="1">
      <c r="A24" s="1767"/>
      <c r="B24" s="1767"/>
      <c r="C24" s="1134"/>
      <c r="D24" s="1135" t="s">
        <v>2854</v>
      </c>
      <c r="E24" s="1135"/>
      <c r="F24" s="1136"/>
      <c r="G24" s="1137"/>
      <c r="H24" s="1138"/>
      <c r="I24" s="1139"/>
      <c r="J24" s="1137"/>
      <c r="K24" s="1140"/>
      <c r="L24" s="1139"/>
      <c r="M24" s="1137"/>
      <c r="N24" s="1141" t="s">
        <v>2935</v>
      </c>
      <c r="O24" s="1142"/>
      <c r="P24" s="1142"/>
      <c r="T24" s="1137"/>
      <c r="U24" s="1137"/>
    </row>
    <row r="25" spans="1:21" outlineLevel="1">
      <c r="A25" s="1767"/>
      <c r="B25" s="1767"/>
      <c r="C25" s="1134"/>
      <c r="D25" s="1135" t="s">
        <v>2855</v>
      </c>
      <c r="E25" s="1135"/>
      <c r="F25" s="1136"/>
      <c r="G25" s="1137"/>
      <c r="H25" s="1138"/>
      <c r="I25" s="1139"/>
      <c r="J25" s="1137"/>
      <c r="K25" s="1140"/>
      <c r="L25" s="1139"/>
      <c r="M25" s="1137"/>
      <c r="N25" s="1141" t="s">
        <v>2935</v>
      </c>
      <c r="O25" s="1142"/>
      <c r="P25" s="1142"/>
      <c r="T25" s="1137"/>
      <c r="U25" s="1137"/>
    </row>
    <row r="26" spans="1:21" outlineLevel="1">
      <c r="A26" s="1767"/>
      <c r="B26" s="1767"/>
      <c r="C26" s="1134"/>
      <c r="D26" s="1135" t="s">
        <v>2856</v>
      </c>
      <c r="E26" s="1135"/>
      <c r="F26" s="1136"/>
      <c r="G26" s="1137"/>
      <c r="H26" s="1138"/>
      <c r="I26" s="1139"/>
      <c r="J26" s="1137"/>
      <c r="K26" s="1140"/>
      <c r="L26" s="1139"/>
      <c r="M26" s="1137"/>
      <c r="N26" s="1141" t="s">
        <v>2935</v>
      </c>
      <c r="O26" s="1142"/>
      <c r="P26" s="1142"/>
      <c r="T26" s="1137"/>
      <c r="U26" s="1137"/>
    </row>
    <row r="27" spans="1:21" outlineLevel="1">
      <c r="A27" s="1767"/>
      <c r="B27" s="1767"/>
      <c r="C27" s="1134"/>
      <c r="D27" s="1135" t="s">
        <v>2857</v>
      </c>
      <c r="E27" s="1135"/>
      <c r="F27" s="1136"/>
      <c r="G27" s="1137"/>
      <c r="H27" s="1138"/>
      <c r="I27" s="1139"/>
      <c r="J27" s="1137"/>
      <c r="K27" s="1140"/>
      <c r="L27" s="1139"/>
      <c r="M27" s="1137"/>
      <c r="N27" s="1141" t="s">
        <v>2935</v>
      </c>
      <c r="O27" s="1142"/>
      <c r="P27" s="1142"/>
      <c r="T27" s="1137"/>
      <c r="U27" s="1137"/>
    </row>
    <row r="28" spans="1:21" outlineLevel="1">
      <c r="A28" s="1767"/>
      <c r="B28" s="1767"/>
      <c r="C28" s="1134"/>
      <c r="D28" s="1135" t="s">
        <v>2858</v>
      </c>
      <c r="E28" s="1135"/>
      <c r="F28" s="1136"/>
      <c r="G28" s="1137"/>
      <c r="H28" s="1138"/>
      <c r="I28" s="1139"/>
      <c r="J28" s="1137"/>
      <c r="K28" s="1140"/>
      <c r="L28" s="1139"/>
      <c r="M28" s="1137"/>
      <c r="N28" s="1141" t="s">
        <v>2935</v>
      </c>
      <c r="O28" s="1142"/>
      <c r="P28" s="1142"/>
      <c r="T28" s="1137"/>
      <c r="U28" s="1137"/>
    </row>
    <row r="29" spans="1:21" outlineLevel="1">
      <c r="A29" s="1767"/>
      <c r="B29" s="1767"/>
      <c r="C29" s="1134" t="s">
        <v>2859</v>
      </c>
      <c r="D29" s="1135"/>
      <c r="E29" s="1135"/>
      <c r="F29" s="1136"/>
      <c r="G29" s="1206"/>
      <c r="H29" s="1207"/>
      <c r="I29" s="1208"/>
      <c r="J29" s="1206"/>
      <c r="K29" s="1209"/>
      <c r="L29" s="1208"/>
      <c r="M29" s="1206"/>
      <c r="N29" s="1210" t="s">
        <v>2935</v>
      </c>
      <c r="O29" s="1142"/>
      <c r="P29" s="1142"/>
      <c r="T29" s="1206"/>
      <c r="U29" s="1206"/>
    </row>
    <row r="30" spans="1:21" outlineLevel="1">
      <c r="A30" s="1767"/>
      <c r="B30" s="1767"/>
      <c r="C30" s="1134"/>
      <c r="D30" s="1135" t="s">
        <v>2860</v>
      </c>
      <c r="E30" s="1135"/>
      <c r="F30" s="1136"/>
      <c r="G30" s="1137"/>
      <c r="H30" s="1138"/>
      <c r="I30" s="1139"/>
      <c r="J30" s="1137"/>
      <c r="K30" s="1140"/>
      <c r="L30" s="1139"/>
      <c r="M30" s="1137"/>
      <c r="N30" s="1141" t="s">
        <v>2935</v>
      </c>
      <c r="O30" s="1142" t="s">
        <v>2861</v>
      </c>
      <c r="P30" s="1142"/>
      <c r="T30" s="1137"/>
      <c r="U30" s="1137"/>
    </row>
    <row r="31" spans="1:21" ht="15.75" outlineLevel="1" thickBot="1">
      <c r="A31" s="1767"/>
      <c r="B31" s="1768"/>
      <c r="C31" s="1134" t="s">
        <v>2862</v>
      </c>
      <c r="D31" s="1135"/>
      <c r="E31" s="1135"/>
      <c r="F31" s="1136"/>
      <c r="G31" s="1137"/>
      <c r="H31" s="1138"/>
      <c r="I31" s="1139"/>
      <c r="J31" s="1137"/>
      <c r="K31" s="1140"/>
      <c r="L31" s="1139"/>
      <c r="M31" s="1137"/>
      <c r="N31" s="1141" t="s">
        <v>2935</v>
      </c>
      <c r="O31" s="1142" t="s">
        <v>2843</v>
      </c>
      <c r="P31" s="1142"/>
      <c r="T31" s="1137"/>
      <c r="U31" s="1137"/>
    </row>
    <row r="32" spans="1:21">
      <c r="A32" s="1767"/>
      <c r="B32" s="1767" t="s">
        <v>2863</v>
      </c>
      <c r="C32" s="1129" t="s">
        <v>2864</v>
      </c>
      <c r="D32" s="1130"/>
      <c r="E32" s="1130"/>
      <c r="F32" s="1131"/>
      <c r="G32" s="1132"/>
      <c r="H32" s="1133"/>
      <c r="I32" s="1202"/>
      <c r="J32" s="1203"/>
      <c r="K32" s="1204"/>
      <c r="L32" s="1202"/>
      <c r="M32" s="1203"/>
      <c r="N32" s="1204"/>
      <c r="O32" s="1205"/>
      <c r="P32" s="1205"/>
      <c r="T32" s="1132"/>
      <c r="U32" s="1203"/>
    </row>
    <row r="33" spans="1:21">
      <c r="A33" s="1767"/>
      <c r="B33" s="1767"/>
      <c r="C33" s="1134" t="s">
        <v>2938</v>
      </c>
      <c r="D33" s="1135"/>
      <c r="E33" s="1135"/>
      <c r="F33" s="1136"/>
      <c r="G33" s="1145" t="str">
        <f>IF(G$12="Not available","N/A",IF(G$13="no airbag","N/A","??"))</f>
        <v>??</v>
      </c>
      <c r="H33" s="1146" t="str">
        <f>IF(H$12="Not available","N/A",IF(H$13="no airbag","N/A","??"))</f>
        <v>??</v>
      </c>
      <c r="I33" s="1147" t="str">
        <f>IF(I$12="Not available","N/A",IF(I$14="no airbag","N/A","??"))</f>
        <v>??</v>
      </c>
      <c r="J33" s="1145" t="str">
        <f t="shared" ref="J33:N34" si="0">IF(J$12="Not available","N/A",IF(J$14="no airbag","N/A","??"))</f>
        <v>??</v>
      </c>
      <c r="K33" s="1148" t="str">
        <f t="shared" si="0"/>
        <v>??</v>
      </c>
      <c r="L33" s="1147" t="str">
        <f t="shared" si="0"/>
        <v>??</v>
      </c>
      <c r="M33" s="1145" t="str">
        <f t="shared" si="0"/>
        <v>??</v>
      </c>
      <c r="N33" s="1148" t="str">
        <f t="shared" si="0"/>
        <v>??</v>
      </c>
      <c r="O33" s="1144"/>
      <c r="P33" s="1144"/>
      <c r="T33" s="1145" t="str">
        <f>IF(T$12="Not available","N/A",IF(T$13="no airbag","N/A","??"))</f>
        <v>??</v>
      </c>
      <c r="U33" s="1145" t="str">
        <f>IF(U$12="Not available","N/A",IF(U$14="no airbag","N/A","??"))</f>
        <v>??</v>
      </c>
    </row>
    <row r="34" spans="1:21">
      <c r="A34" s="1767"/>
      <c r="B34" s="1767"/>
      <c r="C34" s="1134" t="s">
        <v>2939</v>
      </c>
      <c r="D34" s="1135"/>
      <c r="E34" s="1135"/>
      <c r="F34" s="1136"/>
      <c r="G34" s="1145" t="str">
        <f>IF(G$12="Not available","N/A",IF(G$13="no airbag","N/A","??"))</f>
        <v>??</v>
      </c>
      <c r="H34" s="1146" t="str">
        <f>IF(H$12="Not available","N/A",IF(H$13="no airbag","N/A","??"))</f>
        <v>??</v>
      </c>
      <c r="I34" s="1147" t="str">
        <f>IF(I$12="Not available","N/A",IF(I$14="no airbag","N/A","??"))</f>
        <v>??</v>
      </c>
      <c r="J34" s="1145" t="str">
        <f t="shared" si="0"/>
        <v>??</v>
      </c>
      <c r="K34" s="1148" t="str">
        <f t="shared" si="0"/>
        <v>??</v>
      </c>
      <c r="L34" s="1147" t="str">
        <f t="shared" si="0"/>
        <v>??</v>
      </c>
      <c r="M34" s="1145" t="str">
        <f t="shared" si="0"/>
        <v>??</v>
      </c>
      <c r="N34" s="1148" t="str">
        <f t="shared" si="0"/>
        <v>??</v>
      </c>
      <c r="O34" s="1144"/>
      <c r="P34" s="1144"/>
      <c r="T34" s="1145" t="str">
        <f>IF(T$12="Not available","N/A",IF(T$13="no airbag","N/A","??"))</f>
        <v>??</v>
      </c>
      <c r="U34" s="1145" t="str">
        <f>IF(U$12="Not available","N/A",IF(U$14="no airbag","N/A","??"))</f>
        <v>??</v>
      </c>
    </row>
    <row r="35" spans="1:21">
      <c r="A35" s="1767"/>
      <c r="B35" s="1767"/>
      <c r="C35" s="1134" t="s">
        <v>2940</v>
      </c>
      <c r="D35" s="1135"/>
      <c r="E35" s="1135"/>
      <c r="F35" s="1136"/>
      <c r="G35" s="1145" t="str">
        <f t="shared" ref="G35:H35" si="1">IF(G$12="Not available","N/A",IF(G$14="no deactivation","CRS forbidden",IF(G$14="no airbag","N/A","??")))</f>
        <v>??</v>
      </c>
      <c r="H35" s="1146" t="str">
        <f t="shared" si="1"/>
        <v>??</v>
      </c>
      <c r="I35" s="1147" t="str">
        <f>IF(I$12="Not available","N/A",IF(I$14="no deactivation","CRS forbidden",IF(I$14="no airbag","N/A","??")))</f>
        <v>??</v>
      </c>
      <c r="J35" s="1145" t="str">
        <f t="shared" ref="J35:N35" si="2">IF(J$12="Not available","N/A",IF(J$14="no deactivation","CRS forbidden",IF(J$14="no airbag","N/A","??")))</f>
        <v>??</v>
      </c>
      <c r="K35" s="1148" t="str">
        <f t="shared" si="2"/>
        <v>??</v>
      </c>
      <c r="L35" s="1147" t="str">
        <f t="shared" si="2"/>
        <v>??</v>
      </c>
      <c r="M35" s="1145" t="str">
        <f t="shared" si="2"/>
        <v>??</v>
      </c>
      <c r="N35" s="1148" t="str">
        <f t="shared" si="2"/>
        <v>??</v>
      </c>
      <c r="O35" s="1144"/>
      <c r="P35" s="1144"/>
      <c r="T35" s="1145" t="str">
        <f t="shared" ref="T35:U35" si="3">IF(T$12="Not available","N/A",IF(T$14="no deactivation","CRS forbidden",IF(T$14="no airbag","N/A","??")))</f>
        <v>??</v>
      </c>
      <c r="U35" s="1145" t="str">
        <f t="shared" si="3"/>
        <v>??</v>
      </c>
    </row>
    <row r="36" spans="1:21">
      <c r="A36" s="1767"/>
      <c r="B36" s="1767"/>
      <c r="C36" s="1134" t="s">
        <v>2865</v>
      </c>
      <c r="D36" s="1135"/>
      <c r="E36" s="1149"/>
      <c r="F36" s="1136"/>
      <c r="G36" s="1145" t="str">
        <f>IF(G$12="Not available","N/A","??")</f>
        <v>??</v>
      </c>
      <c r="H36" s="1146" t="str">
        <f>IF(H$12="Not available","N/A","??")</f>
        <v>??</v>
      </c>
      <c r="I36" s="1147" t="str">
        <f t="shared" ref="I36:N36" si="4">IF(I$12="Not available","N/A","??")</f>
        <v>??</v>
      </c>
      <c r="J36" s="1145" t="str">
        <f t="shared" si="4"/>
        <v>??</v>
      </c>
      <c r="K36" s="1148" t="str">
        <f t="shared" si="4"/>
        <v>??</v>
      </c>
      <c r="L36" s="1147" t="str">
        <f t="shared" si="4"/>
        <v>??</v>
      </c>
      <c r="M36" s="1145" t="str">
        <f t="shared" si="4"/>
        <v>??</v>
      </c>
      <c r="N36" s="1150" t="str">
        <f t="shared" si="4"/>
        <v>??</v>
      </c>
      <c r="O36" s="1142"/>
      <c r="P36" s="1142"/>
      <c r="T36" s="1145" t="str">
        <f>IF(T$12="Not available","N/A","??")</f>
        <v>??</v>
      </c>
      <c r="U36" s="1145" t="str">
        <f t="shared" ref="U36" si="5">IF(U$12="Not available","N/A","??")</f>
        <v>??</v>
      </c>
    </row>
    <row r="37" spans="1:21">
      <c r="A37" s="1767"/>
      <c r="B37" s="1767"/>
      <c r="C37" s="1134" t="s">
        <v>2866</v>
      </c>
      <c r="D37" s="1135"/>
      <c r="E37" s="1149"/>
      <c r="F37" s="1136"/>
      <c r="G37" s="1145" t="str">
        <f t="shared" ref="G37:N37" si="6">IF(G$12="Not available","N/A",IF(OR(G$36="No",LEFT(G$36,6)="Restri"),"No","??"))</f>
        <v>??</v>
      </c>
      <c r="H37" s="1146" t="str">
        <f t="shared" si="6"/>
        <v>??</v>
      </c>
      <c r="I37" s="1147" t="str">
        <f t="shared" si="6"/>
        <v>??</v>
      </c>
      <c r="J37" s="1145" t="str">
        <f t="shared" si="6"/>
        <v>??</v>
      </c>
      <c r="K37" s="1148" t="str">
        <f t="shared" si="6"/>
        <v>??</v>
      </c>
      <c r="L37" s="1147" t="str">
        <f t="shared" si="6"/>
        <v>??</v>
      </c>
      <c r="M37" s="1145" t="str">
        <f t="shared" si="6"/>
        <v>??</v>
      </c>
      <c r="N37" s="1150" t="str">
        <f t="shared" si="6"/>
        <v>??</v>
      </c>
      <c r="O37" s="1142" t="s">
        <v>2867</v>
      </c>
      <c r="P37" s="1142"/>
      <c r="T37" s="1145" t="str">
        <f>IF(T$12="Not available","N/A",IF(OR(T$36="No",LEFT(T$36,6)="Restri"),"No","??"))</f>
        <v>??</v>
      </c>
      <c r="U37" s="1145" t="str">
        <f>IF(U$12="Not available","N/A",IF(OR(U$36="No",LEFT(U$36,6)="Restri"),"No","??"))</f>
        <v>??</v>
      </c>
    </row>
    <row r="38" spans="1:21">
      <c r="A38" s="1767"/>
      <c r="B38" s="1767"/>
      <c r="C38" s="1134" t="s">
        <v>2941</v>
      </c>
      <c r="D38" s="1135"/>
      <c r="E38" s="1135"/>
      <c r="F38" s="1136"/>
      <c r="G38" s="1145" t="str">
        <f>IF(G$36="Yes","??","N/A")</f>
        <v>N/A</v>
      </c>
      <c r="H38" s="1146" t="str">
        <f t="shared" ref="H38:N39" si="7">IF(H$36="Yes","??","N/A")</f>
        <v>N/A</v>
      </c>
      <c r="I38" s="1147" t="str">
        <f t="shared" si="7"/>
        <v>N/A</v>
      </c>
      <c r="J38" s="1145" t="str">
        <f t="shared" si="7"/>
        <v>N/A</v>
      </c>
      <c r="K38" s="1148" t="str">
        <f t="shared" si="7"/>
        <v>N/A</v>
      </c>
      <c r="L38" s="1147" t="str">
        <f t="shared" si="7"/>
        <v>N/A</v>
      </c>
      <c r="M38" s="1145" t="str">
        <f t="shared" si="7"/>
        <v>N/A</v>
      </c>
      <c r="N38" s="1148" t="str">
        <f t="shared" si="7"/>
        <v>N/A</v>
      </c>
      <c r="O38" s="1144" t="s">
        <v>2942</v>
      </c>
      <c r="P38" s="1144"/>
      <c r="T38" s="1145" t="str">
        <f t="shared" ref="T38:U38" si="8">IF(T$36="Yes","??","N/A")</f>
        <v>N/A</v>
      </c>
      <c r="U38" s="1145" t="str">
        <f t="shared" si="8"/>
        <v>N/A</v>
      </c>
    </row>
    <row r="39" spans="1:21">
      <c r="A39" s="1767"/>
      <c r="B39" s="1767"/>
      <c r="C39" s="1134" t="s">
        <v>2868</v>
      </c>
      <c r="D39" s="1135"/>
      <c r="E39" s="1135"/>
      <c r="F39" s="1136"/>
      <c r="G39" s="1145" t="str">
        <f>IF(G$36="Yes","??","N/A")</f>
        <v>N/A</v>
      </c>
      <c r="H39" s="1146" t="str">
        <f t="shared" si="7"/>
        <v>N/A</v>
      </c>
      <c r="I39" s="1147" t="str">
        <f t="shared" si="7"/>
        <v>N/A</v>
      </c>
      <c r="J39" s="1145" t="str">
        <f t="shared" si="7"/>
        <v>N/A</v>
      </c>
      <c r="K39" s="1148" t="str">
        <f t="shared" si="7"/>
        <v>N/A</v>
      </c>
      <c r="L39" s="1147" t="str">
        <f t="shared" si="7"/>
        <v>N/A</v>
      </c>
      <c r="M39" s="1145" t="str">
        <f t="shared" si="7"/>
        <v>N/A</v>
      </c>
      <c r="N39" s="1148" t="str">
        <f t="shared" si="7"/>
        <v>N/A</v>
      </c>
      <c r="O39" s="1144" t="s">
        <v>2869</v>
      </c>
      <c r="P39" s="1144"/>
      <c r="T39" s="1145" t="str">
        <f>IF(T$36="Yes","??","N/A")</f>
        <v>N/A</v>
      </c>
      <c r="U39" s="1145" t="str">
        <f>IF(U$36="Yes","??","N/A")</f>
        <v>N/A</v>
      </c>
    </row>
    <row r="40" spans="1:21">
      <c r="A40" s="1767"/>
      <c r="B40" s="1767"/>
      <c r="C40" s="1134" t="s">
        <v>2870</v>
      </c>
      <c r="D40" s="1135"/>
      <c r="E40" s="1135"/>
      <c r="F40" s="1136"/>
      <c r="G40" s="1145" t="str">
        <f>IF(G$12="Not available","N/A","??")</f>
        <v>??</v>
      </c>
      <c r="H40" s="1146" t="str">
        <f>IF(H$12="Not available","N/A","??")</f>
        <v>??</v>
      </c>
      <c r="I40" s="1147" t="str">
        <f t="shared" ref="I40:N40" si="9">IF(I$12="Not available","N/A","??")</f>
        <v>??</v>
      </c>
      <c r="J40" s="1145" t="str">
        <f t="shared" si="9"/>
        <v>??</v>
      </c>
      <c r="K40" s="1148" t="str">
        <f t="shared" si="9"/>
        <v>??</v>
      </c>
      <c r="L40" s="1147" t="str">
        <f t="shared" si="9"/>
        <v>??</v>
      </c>
      <c r="M40" s="1145" t="str">
        <f t="shared" si="9"/>
        <v>??</v>
      </c>
      <c r="N40" s="1150" t="str">
        <f t="shared" si="9"/>
        <v>??</v>
      </c>
      <c r="O40" s="1144" t="s">
        <v>2871</v>
      </c>
      <c r="P40" s="1144"/>
      <c r="T40" s="1145" t="str">
        <f>IF(T$12="Not available","N/A","??")</f>
        <v>??</v>
      </c>
      <c r="U40" s="1145" t="str">
        <f t="shared" ref="U40" si="10">IF(U$12="Not available","N/A","??")</f>
        <v>??</v>
      </c>
    </row>
    <row r="41" spans="1:21">
      <c r="A41" s="1767"/>
      <c r="B41" s="1767"/>
      <c r="C41" s="1134" t="s">
        <v>2872</v>
      </c>
      <c r="D41" s="1135"/>
      <c r="E41" s="1149" t="s">
        <v>2873</v>
      </c>
      <c r="F41" s="1136"/>
      <c r="G41" s="1145" t="str">
        <f>IF(G$40&lt;&gt;"Not available",G$40,"??")</f>
        <v>??</v>
      </c>
      <c r="H41" s="1146" t="str">
        <f>IF(H$40&lt;&gt;"Not available",H$40,"??")</f>
        <v>??</v>
      </c>
      <c r="I41" s="1147" t="str">
        <f t="shared" ref="I41:N41" si="11">IF(I$40&lt;&gt;"Not available",I$40,"??")</f>
        <v>??</v>
      </c>
      <c r="J41" s="1145" t="str">
        <f t="shared" si="11"/>
        <v>??</v>
      </c>
      <c r="K41" s="1148" t="str">
        <f t="shared" si="11"/>
        <v>??</v>
      </c>
      <c r="L41" s="1147" t="str">
        <f t="shared" si="11"/>
        <v>??</v>
      </c>
      <c r="M41" s="1145" t="str">
        <f t="shared" si="11"/>
        <v>??</v>
      </c>
      <c r="N41" s="1150" t="str">
        <f t="shared" si="11"/>
        <v>??</v>
      </c>
      <c r="O41" s="1144" t="s">
        <v>2871</v>
      </c>
      <c r="P41" s="1144"/>
      <c r="T41" s="1145" t="str">
        <f>IF(T$40&lt;&gt;"Not available",T$40,"??")</f>
        <v>??</v>
      </c>
      <c r="U41" s="1145" t="str">
        <f t="shared" ref="U41" si="12">IF(U$40&lt;&gt;"Not available",U$40,"??")</f>
        <v>??</v>
      </c>
    </row>
    <row r="42" spans="1:21">
      <c r="A42" s="1767"/>
      <c r="B42" s="1767"/>
      <c r="C42" s="1134" t="s">
        <v>2874</v>
      </c>
      <c r="D42" s="1135"/>
      <c r="E42" s="1135"/>
      <c r="F42" s="1136"/>
      <c r="G42" s="1145" t="str">
        <f t="shared" ref="G42:N42" si="13">IF(G$12="Not available","N/A",IF(G$41="Not available","N/A","??"))</f>
        <v>??</v>
      </c>
      <c r="H42" s="1146" t="str">
        <f t="shared" si="13"/>
        <v>??</v>
      </c>
      <c r="I42" s="1147" t="str">
        <f t="shared" si="13"/>
        <v>??</v>
      </c>
      <c r="J42" s="1145" t="str">
        <f t="shared" si="13"/>
        <v>??</v>
      </c>
      <c r="K42" s="1148" t="str">
        <f t="shared" si="13"/>
        <v>??</v>
      </c>
      <c r="L42" s="1147" t="str">
        <f t="shared" si="13"/>
        <v>??</v>
      </c>
      <c r="M42" s="1145" t="str">
        <f t="shared" si="13"/>
        <v>??</v>
      </c>
      <c r="N42" s="1148" t="str">
        <f t="shared" si="13"/>
        <v>??</v>
      </c>
      <c r="O42" s="1144"/>
      <c r="P42" s="1144"/>
      <c r="T42" s="1145" t="str">
        <f>IF(T$12="Not available","N/A",IF(T$41="Not available","N/A","??"))</f>
        <v>??</v>
      </c>
      <c r="U42" s="1145" t="str">
        <f>IF(U$12="Not available","N/A",IF(U$41="Not available","N/A","??"))</f>
        <v>??</v>
      </c>
    </row>
    <row r="43" spans="1:21">
      <c r="A43" s="1767"/>
      <c r="B43" s="1767"/>
      <c r="C43" s="1134" t="s">
        <v>2875</v>
      </c>
      <c r="D43" s="1135"/>
      <c r="E43" s="1135"/>
      <c r="F43" s="1136"/>
      <c r="G43" s="1145" t="str">
        <f>IF(AND(G$40="Not available",G$41="Not available"),"N/A","??")</f>
        <v>??</v>
      </c>
      <c r="H43" s="1146" t="str">
        <f t="shared" ref="H43:N43" si="14">IF(AND(H$40="Not available",H$41="Not available"),"N/A","??")</f>
        <v>??</v>
      </c>
      <c r="I43" s="1147" t="str">
        <f t="shared" si="14"/>
        <v>??</v>
      </c>
      <c r="J43" s="1145" t="str">
        <f t="shared" si="14"/>
        <v>??</v>
      </c>
      <c r="K43" s="1148" t="str">
        <f t="shared" si="14"/>
        <v>??</v>
      </c>
      <c r="L43" s="1147" t="str">
        <f t="shared" si="14"/>
        <v>??</v>
      </c>
      <c r="M43" s="1145" t="str">
        <f t="shared" si="14"/>
        <v>??</v>
      </c>
      <c r="N43" s="1148" t="str">
        <f t="shared" si="14"/>
        <v>??</v>
      </c>
      <c r="O43" s="1144"/>
      <c r="P43" s="1144"/>
      <c r="T43" s="1145" t="str">
        <f>IF(AND(T$40="Not available",T$41="Not available"),"N/A","??")</f>
        <v>??</v>
      </c>
      <c r="U43" s="1145" t="str">
        <f>IF(AND(U$40="Not available",U$41="Not available"),"N/A","??")</f>
        <v>??</v>
      </c>
    </row>
    <row r="44" spans="1:21">
      <c r="A44" s="1767"/>
      <c r="B44" s="1767"/>
      <c r="C44" s="1134" t="s">
        <v>2943</v>
      </c>
      <c r="D44" s="1135"/>
      <c r="E44" s="1135"/>
      <c r="F44" s="1136"/>
      <c r="G44" s="1145" t="str">
        <f>IF(G$43="Yes","??","N/A")</f>
        <v>N/A</v>
      </c>
      <c r="H44" s="1146" t="str">
        <f>IF(H$43="Yes","??","N/A")</f>
        <v>N/A</v>
      </c>
      <c r="I44" s="1147" t="str">
        <f t="shared" ref="I44:N44" si="15">IF(I$43="Yes","??","N/A")</f>
        <v>N/A</v>
      </c>
      <c r="J44" s="1145" t="str">
        <f t="shared" si="15"/>
        <v>N/A</v>
      </c>
      <c r="K44" s="1148" t="str">
        <f t="shared" si="15"/>
        <v>N/A</v>
      </c>
      <c r="L44" s="1147" t="str">
        <f t="shared" si="15"/>
        <v>N/A</v>
      </c>
      <c r="M44" s="1145" t="str">
        <f t="shared" si="15"/>
        <v>N/A</v>
      </c>
      <c r="N44" s="1148" t="str">
        <f t="shared" si="15"/>
        <v>N/A</v>
      </c>
      <c r="O44" s="1144" t="s">
        <v>2942</v>
      </c>
      <c r="P44" s="1144"/>
      <c r="T44" s="1145" t="str">
        <f>IF(T$43="Yes","??","N/A")</f>
        <v>N/A</v>
      </c>
      <c r="U44" s="1145" t="str">
        <f t="shared" ref="U44" si="16">IF(U$43="Yes","??","N/A")</f>
        <v>N/A</v>
      </c>
    </row>
    <row r="45" spans="1:21">
      <c r="A45" s="1767"/>
      <c r="B45" s="1767"/>
      <c r="C45" s="1134" t="s">
        <v>2441</v>
      </c>
      <c r="D45" s="1135"/>
      <c r="E45" s="1149" t="s">
        <v>2876</v>
      </c>
      <c r="F45" s="1136"/>
      <c r="G45" s="1145" t="str">
        <f>IF(AND(G$40="Not available",G$41="Not available"),"N/A",IF(G$43="Yes","Yes","??"))</f>
        <v>??</v>
      </c>
      <c r="H45" s="1146" t="str">
        <f t="shared" ref="H45:N49" si="17">IF(AND(H$40="Not available",H$41="Not available"),"N/A",IF(H$43="Yes","Yes","??"))</f>
        <v>??</v>
      </c>
      <c r="I45" s="1147" t="str">
        <f t="shared" si="17"/>
        <v>??</v>
      </c>
      <c r="J45" s="1145" t="str">
        <f t="shared" si="17"/>
        <v>??</v>
      </c>
      <c r="K45" s="1148" t="str">
        <f t="shared" si="17"/>
        <v>??</v>
      </c>
      <c r="L45" s="1147" t="str">
        <f t="shared" si="17"/>
        <v>??</v>
      </c>
      <c r="M45" s="1145" t="str">
        <f t="shared" si="17"/>
        <v>??</v>
      </c>
      <c r="N45" s="1148" t="str">
        <f t="shared" si="17"/>
        <v>??</v>
      </c>
      <c r="O45" s="1144"/>
      <c r="P45" s="1144"/>
      <c r="T45" s="1145" t="str">
        <f t="shared" ref="T45:U49" si="18">IF(AND(T$40="Not available",T$41="Not available"),"N/A",IF(T$43="Yes","Yes","??"))</f>
        <v>??</v>
      </c>
      <c r="U45" s="1145" t="str">
        <f t="shared" si="18"/>
        <v>??</v>
      </c>
    </row>
    <row r="46" spans="1:21">
      <c r="A46" s="1767"/>
      <c r="B46" s="1767"/>
      <c r="C46" s="1134" t="s">
        <v>2877</v>
      </c>
      <c r="D46" s="1135"/>
      <c r="E46" s="1135"/>
      <c r="F46" s="1136"/>
      <c r="G46" s="1145" t="str">
        <f>IF(AND(G$40="Not available",G$41="Not available"),"N/A",IF(G$43="Yes","Yes","??"))</f>
        <v>??</v>
      </c>
      <c r="H46" s="1146" t="str">
        <f t="shared" si="17"/>
        <v>??</v>
      </c>
      <c r="I46" s="1147" t="str">
        <f t="shared" si="17"/>
        <v>??</v>
      </c>
      <c r="J46" s="1145" t="str">
        <f t="shared" si="17"/>
        <v>??</v>
      </c>
      <c r="K46" s="1148" t="str">
        <f t="shared" si="17"/>
        <v>??</v>
      </c>
      <c r="L46" s="1147" t="str">
        <f t="shared" si="17"/>
        <v>??</v>
      </c>
      <c r="M46" s="1145" t="str">
        <f t="shared" si="17"/>
        <v>??</v>
      </c>
      <c r="N46" s="1148" t="str">
        <f t="shared" si="17"/>
        <v>??</v>
      </c>
      <c r="O46" s="1144"/>
      <c r="P46" s="1144"/>
      <c r="T46" s="1145" t="str">
        <f t="shared" si="18"/>
        <v>??</v>
      </c>
      <c r="U46" s="1145" t="str">
        <f t="shared" si="18"/>
        <v>??</v>
      </c>
    </row>
    <row r="47" spans="1:21">
      <c r="A47" s="1767"/>
      <c r="B47" s="1767"/>
      <c r="C47" s="1134" t="s">
        <v>2878</v>
      </c>
      <c r="D47" s="1135"/>
      <c r="E47" s="1135"/>
      <c r="F47" s="1136"/>
      <c r="G47" s="1145" t="str">
        <f>IF(AND(G$40="Not available",G$41="Not available"),"N/A",IF(G$43="Yes","Yes","??"))</f>
        <v>??</v>
      </c>
      <c r="H47" s="1146" t="str">
        <f t="shared" si="17"/>
        <v>??</v>
      </c>
      <c r="I47" s="1147" t="str">
        <f t="shared" si="17"/>
        <v>??</v>
      </c>
      <c r="J47" s="1145" t="str">
        <f t="shared" si="17"/>
        <v>??</v>
      </c>
      <c r="K47" s="1148" t="str">
        <f t="shared" si="17"/>
        <v>??</v>
      </c>
      <c r="L47" s="1147" t="str">
        <f t="shared" si="17"/>
        <v>??</v>
      </c>
      <c r="M47" s="1145" t="str">
        <f t="shared" si="17"/>
        <v>??</v>
      </c>
      <c r="N47" s="1148" t="str">
        <f t="shared" si="17"/>
        <v>??</v>
      </c>
      <c r="O47" s="1144"/>
      <c r="P47" s="1144"/>
      <c r="T47" s="1145" t="str">
        <f t="shared" si="18"/>
        <v>??</v>
      </c>
      <c r="U47" s="1145" t="str">
        <f t="shared" si="18"/>
        <v>??</v>
      </c>
    </row>
    <row r="48" spans="1:21">
      <c r="A48" s="1767"/>
      <c r="B48" s="1767"/>
      <c r="C48" s="1134" t="s">
        <v>2879</v>
      </c>
      <c r="D48" s="1135"/>
      <c r="E48" s="1135"/>
      <c r="F48" s="1136"/>
      <c r="G48" s="1145" t="str">
        <f>IF(AND(G$40="Not available",G$41="Not available"),"N/A",IF(G$43="Yes","Yes","??"))</f>
        <v>??</v>
      </c>
      <c r="H48" s="1146" t="str">
        <f t="shared" si="17"/>
        <v>??</v>
      </c>
      <c r="I48" s="1147" t="str">
        <f t="shared" si="17"/>
        <v>??</v>
      </c>
      <c r="J48" s="1145" t="str">
        <f t="shared" si="17"/>
        <v>??</v>
      </c>
      <c r="K48" s="1148" t="str">
        <f t="shared" si="17"/>
        <v>??</v>
      </c>
      <c r="L48" s="1147" t="str">
        <f t="shared" si="17"/>
        <v>??</v>
      </c>
      <c r="M48" s="1145" t="str">
        <f t="shared" si="17"/>
        <v>??</v>
      </c>
      <c r="N48" s="1148" t="str">
        <f t="shared" si="17"/>
        <v>??</v>
      </c>
      <c r="O48" s="1144"/>
      <c r="P48" s="1144"/>
      <c r="T48" s="1145" t="str">
        <f t="shared" si="18"/>
        <v>??</v>
      </c>
      <c r="U48" s="1145" t="str">
        <f t="shared" si="18"/>
        <v>??</v>
      </c>
    </row>
    <row r="49" spans="1:21">
      <c r="A49" s="1767"/>
      <c r="B49" s="1767"/>
      <c r="C49" s="1134" t="s">
        <v>2880</v>
      </c>
      <c r="D49" s="1135"/>
      <c r="E49" s="1149" t="s">
        <v>2876</v>
      </c>
      <c r="F49" s="1136"/>
      <c r="G49" s="1145" t="str">
        <f>IF(AND(G$40="Not available",G$41="Not available"),"N/A",IF(G$43="Yes","Yes","??"))</f>
        <v>??</v>
      </c>
      <c r="H49" s="1146" t="str">
        <f t="shared" si="17"/>
        <v>??</v>
      </c>
      <c r="I49" s="1147" t="str">
        <f t="shared" si="17"/>
        <v>??</v>
      </c>
      <c r="J49" s="1145" t="str">
        <f t="shared" si="17"/>
        <v>??</v>
      </c>
      <c r="K49" s="1148" t="str">
        <f t="shared" si="17"/>
        <v>??</v>
      </c>
      <c r="L49" s="1147" t="str">
        <f t="shared" si="17"/>
        <v>??</v>
      </c>
      <c r="M49" s="1145" t="str">
        <f t="shared" si="17"/>
        <v>??</v>
      </c>
      <c r="N49" s="1148" t="str">
        <f t="shared" si="17"/>
        <v>??</v>
      </c>
      <c r="O49" s="1144"/>
      <c r="P49" s="1144"/>
      <c r="T49" s="1145" t="str">
        <f t="shared" si="18"/>
        <v>??</v>
      </c>
      <c r="U49" s="1145" t="str">
        <f t="shared" si="18"/>
        <v>??</v>
      </c>
    </row>
    <row r="50" spans="1:21">
      <c r="A50" s="1767"/>
      <c r="B50" s="1767"/>
      <c r="C50" s="1134" t="s">
        <v>2944</v>
      </c>
      <c r="D50" s="1135"/>
      <c r="E50" s="1135"/>
      <c r="F50" s="1136"/>
      <c r="G50" s="1145" t="str">
        <f>IF(G$12="Not available","N/A","??")</f>
        <v>??</v>
      </c>
      <c r="H50" s="1146" t="str">
        <f>IF(H$12="Not available","N/A","??")</f>
        <v>??</v>
      </c>
      <c r="I50" s="1147" t="str">
        <f t="shared" ref="I50:N52" si="19">IF(I$12="Not available","N/A","??")</f>
        <v>??</v>
      </c>
      <c r="J50" s="1145" t="str">
        <f t="shared" si="19"/>
        <v>??</v>
      </c>
      <c r="K50" s="1148" t="str">
        <f t="shared" si="19"/>
        <v>??</v>
      </c>
      <c r="L50" s="1147" t="str">
        <f t="shared" si="19"/>
        <v>??</v>
      </c>
      <c r="M50" s="1145" t="str">
        <f t="shared" si="19"/>
        <v>??</v>
      </c>
      <c r="N50" s="1150" t="str">
        <f t="shared" si="19"/>
        <v>??</v>
      </c>
      <c r="O50" s="1142"/>
      <c r="P50" s="1142"/>
      <c r="T50" s="1145" t="str">
        <f>IF(T$12="Not available","N/A","??")</f>
        <v>??</v>
      </c>
      <c r="U50" s="1145" t="str">
        <f t="shared" ref="U50:U52" si="20">IF(U$12="Not available","N/A","??")</f>
        <v>??</v>
      </c>
    </row>
    <row r="51" spans="1:21">
      <c r="A51" s="1767"/>
      <c r="B51" s="1767"/>
      <c r="C51" s="1134" t="s">
        <v>2881</v>
      </c>
      <c r="D51" s="1135"/>
      <c r="E51" s="1135"/>
      <c r="F51" s="1136"/>
      <c r="G51" s="1145" t="str">
        <f>IF(AND(G$40="Not available",G$41="Not available"),"N/A","??")</f>
        <v>??</v>
      </c>
      <c r="H51" s="1146" t="str">
        <f t="shared" ref="H51:N51" si="21">IF(AND(H$40="Not available",H$41="Not available"),"N/A","??")</f>
        <v>??</v>
      </c>
      <c r="I51" s="1147" t="str">
        <f t="shared" si="21"/>
        <v>??</v>
      </c>
      <c r="J51" s="1145" t="str">
        <f t="shared" si="21"/>
        <v>??</v>
      </c>
      <c r="K51" s="1148" t="str">
        <f t="shared" si="21"/>
        <v>??</v>
      </c>
      <c r="L51" s="1147" t="str">
        <f t="shared" si="21"/>
        <v>??</v>
      </c>
      <c r="M51" s="1145" t="str">
        <f t="shared" si="21"/>
        <v>??</v>
      </c>
      <c r="N51" s="1150" t="str">
        <f t="shared" si="21"/>
        <v>??</v>
      </c>
      <c r="O51" s="1142"/>
      <c r="P51" s="1142"/>
      <c r="T51" s="1145" t="str">
        <f>IF(AND(T$40="Not available",T$41="Not available"),"N/A","??")</f>
        <v>??</v>
      </c>
      <c r="U51" s="1145" t="str">
        <f>IF(AND(U$40="Not available",U$41="Not available"),"N/A","??")</f>
        <v>??</v>
      </c>
    </row>
    <row r="52" spans="1:21">
      <c r="A52" s="1767"/>
      <c r="B52" s="1767"/>
      <c r="C52" s="1134" t="s">
        <v>2882</v>
      </c>
      <c r="D52" s="1135"/>
      <c r="E52" s="1135"/>
      <c r="F52" s="1136"/>
      <c r="G52" s="1145" t="str">
        <f>IF(G$12="Not available","N/A","??")</f>
        <v>??</v>
      </c>
      <c r="H52" s="1146" t="str">
        <f>IF(H$12="Not available","N/A","??")</f>
        <v>??</v>
      </c>
      <c r="I52" s="1147" t="str">
        <f t="shared" si="19"/>
        <v>??</v>
      </c>
      <c r="J52" s="1145" t="str">
        <f t="shared" si="19"/>
        <v>??</v>
      </c>
      <c r="K52" s="1148" t="str">
        <f t="shared" si="19"/>
        <v>??</v>
      </c>
      <c r="L52" s="1147" t="str">
        <f t="shared" si="19"/>
        <v>??</v>
      </c>
      <c r="M52" s="1145" t="str">
        <f t="shared" si="19"/>
        <v>??</v>
      </c>
      <c r="N52" s="1150" t="str">
        <f t="shared" si="19"/>
        <v>??</v>
      </c>
      <c r="O52" s="1142"/>
      <c r="P52" s="1142"/>
      <c r="T52" s="1145" t="str">
        <f>IF(T$12="Not available","N/A","??")</f>
        <v>??</v>
      </c>
      <c r="U52" s="1145" t="str">
        <f t="shared" si="20"/>
        <v>??</v>
      </c>
    </row>
    <row r="53" spans="1:21">
      <c r="A53" s="1767"/>
      <c r="B53" s="1767"/>
      <c r="C53" s="1134" t="s">
        <v>2883</v>
      </c>
      <c r="D53" s="1135"/>
      <c r="E53" s="1149" t="s">
        <v>2884</v>
      </c>
      <c r="F53" s="1136"/>
      <c r="G53" s="1145" t="str">
        <f>IF(G$12="Not available","N/A","??")</f>
        <v>??</v>
      </c>
      <c r="H53" s="1146" t="str">
        <f t="shared" ref="H53:N55" si="22">IF(H$12="Not available","N/A","??")</f>
        <v>??</v>
      </c>
      <c r="I53" s="1147" t="str">
        <f t="shared" si="22"/>
        <v>??</v>
      </c>
      <c r="J53" s="1145" t="str">
        <f t="shared" si="22"/>
        <v>??</v>
      </c>
      <c r="K53" s="1148" t="str">
        <f t="shared" si="22"/>
        <v>??</v>
      </c>
      <c r="L53" s="1147" t="str">
        <f t="shared" si="22"/>
        <v>??</v>
      </c>
      <c r="M53" s="1145" t="str">
        <f t="shared" si="22"/>
        <v>??</v>
      </c>
      <c r="N53" s="1150" t="str">
        <f t="shared" si="22"/>
        <v>??</v>
      </c>
      <c r="O53" s="1142"/>
      <c r="P53" s="1142"/>
      <c r="T53" s="1145" t="str">
        <f t="shared" ref="T53:U54" si="23">IF(T$12="Not available","N/A","??")</f>
        <v>??</v>
      </c>
      <c r="U53" s="1145" t="str">
        <f t="shared" si="23"/>
        <v>??</v>
      </c>
    </row>
    <row r="54" spans="1:21" ht="25.5">
      <c r="A54" s="1767"/>
      <c r="B54" s="1767"/>
      <c r="C54" s="1134" t="s">
        <v>2885</v>
      </c>
      <c r="D54" s="1135"/>
      <c r="E54" s="1149" t="s">
        <v>2886</v>
      </c>
      <c r="F54" s="1136"/>
      <c r="G54" s="1145" t="str">
        <f>IF(G$12="Not available","N/A","??")</f>
        <v>??</v>
      </c>
      <c r="H54" s="1146" t="str">
        <f t="shared" si="22"/>
        <v>??</v>
      </c>
      <c r="I54" s="1147" t="str">
        <f t="shared" si="22"/>
        <v>??</v>
      </c>
      <c r="J54" s="1145" t="str">
        <f t="shared" si="22"/>
        <v>??</v>
      </c>
      <c r="K54" s="1148" t="str">
        <f t="shared" si="22"/>
        <v>??</v>
      </c>
      <c r="L54" s="1147" t="str">
        <f t="shared" si="22"/>
        <v>??</v>
      </c>
      <c r="M54" s="1145" t="str">
        <f t="shared" si="22"/>
        <v>??</v>
      </c>
      <c r="N54" s="1150" t="str">
        <f t="shared" si="22"/>
        <v>??</v>
      </c>
      <c r="O54" s="1141" t="s">
        <v>2887</v>
      </c>
      <c r="P54" s="1141"/>
      <c r="T54" s="1145" t="str">
        <f t="shared" si="23"/>
        <v>??</v>
      </c>
      <c r="U54" s="1145" t="str">
        <f t="shared" si="23"/>
        <v>??</v>
      </c>
    </row>
    <row r="55" spans="1:21" ht="15.75" thickBot="1">
      <c r="A55" s="1768"/>
      <c r="B55" s="1768"/>
      <c r="C55" s="1151" t="s">
        <v>2888</v>
      </c>
      <c r="D55" s="1152"/>
      <c r="E55" s="1152"/>
      <c r="F55" s="1153"/>
      <c r="G55" s="1154" t="str">
        <f>IF(G$12="Not available","N/A","??")</f>
        <v>??</v>
      </c>
      <c r="H55" s="1155" t="str">
        <f t="shared" si="22"/>
        <v>??</v>
      </c>
      <c r="I55" s="1156" t="str">
        <f t="shared" si="22"/>
        <v>??</v>
      </c>
      <c r="J55" s="1154" t="str">
        <f t="shared" si="22"/>
        <v>??</v>
      </c>
      <c r="K55" s="1157" t="str">
        <f t="shared" si="22"/>
        <v>??</v>
      </c>
      <c r="L55" s="1156" t="str">
        <f t="shared" si="22"/>
        <v>??</v>
      </c>
      <c r="M55" s="1154" t="str">
        <f t="shared" si="22"/>
        <v>??</v>
      </c>
      <c r="N55" s="1158" t="str">
        <f t="shared" si="22"/>
        <v>??</v>
      </c>
      <c r="O55" s="1159"/>
      <c r="P55" s="1159"/>
      <c r="T55" s="1154" t="str">
        <f>IF(T$12="Not available","N/A","??")</f>
        <v>??</v>
      </c>
      <c r="U55" s="1154" t="str">
        <f>IF(U$12="Not available","N/A","??")</f>
        <v>??</v>
      </c>
    </row>
    <row r="58" spans="1:21">
      <c r="H58" s="1211"/>
    </row>
    <row r="59" spans="1:21">
      <c r="H59" s="1211"/>
    </row>
    <row r="60" spans="1:21">
      <c r="H60" s="1211"/>
    </row>
  </sheetData>
  <mergeCells count="18">
    <mergeCell ref="D8:E8"/>
    <mergeCell ref="A11:A55"/>
    <mergeCell ref="B11:B31"/>
    <mergeCell ref="B32:B55"/>
    <mergeCell ref="B5:C5"/>
    <mergeCell ref="D5:E5"/>
    <mergeCell ref="H5:N5"/>
    <mergeCell ref="B6:C6"/>
    <mergeCell ref="D6:E6"/>
    <mergeCell ref="H6:N6"/>
    <mergeCell ref="D2:E2"/>
    <mergeCell ref="G2:G7"/>
    <mergeCell ref="H2:M2"/>
    <mergeCell ref="D3:E3"/>
    <mergeCell ref="H3:M3"/>
    <mergeCell ref="D4:E4"/>
    <mergeCell ref="D7:E7"/>
    <mergeCell ref="H7:N7"/>
  </mergeCells>
  <conditionalFormatting sqref="G12:N55 T12:U55">
    <cfRule type="expression" dxfId="1449" priority="1" stopIfTrue="1">
      <formula>G$12="Not available"</formula>
    </cfRule>
    <cfRule type="expression" dxfId="1448" priority="2">
      <formula>OR(G12="N/A",G12="Not available")</formula>
    </cfRule>
  </conditionalFormatting>
  <conditionalFormatting sqref="G14:N14 U14">
    <cfRule type="expression" dxfId="1447" priority="4">
      <formula>AND(G$14&lt;&gt;"No airbag",G$14&lt;&gt;"")</formula>
    </cfRule>
  </conditionalFormatting>
  <conditionalFormatting sqref="G15:N15 T15:U15">
    <cfRule type="expression" dxfId="1446" priority="5">
      <formula>AND(G$15&lt;&gt;"Not available",G$15&lt;&gt;"")</formula>
    </cfRule>
  </conditionalFormatting>
  <conditionalFormatting sqref="G27:N28 T27:U28">
    <cfRule type="expression" dxfId="1445" priority="3">
      <formula>OR(G27="No",G27="Fail")</formula>
    </cfRule>
  </conditionalFormatting>
  <conditionalFormatting sqref="G29:N55 T29:U55 G12:N26 T12:U26">
    <cfRule type="expression" dxfId="1444" priority="14">
      <formula>OR(G12="No",G12="Fail")</formula>
    </cfRule>
  </conditionalFormatting>
  <conditionalFormatting sqref="G31:N31 T31:U31">
    <cfRule type="expression" dxfId="1443" priority="6">
      <formula>AND(G$31&lt;&gt;"Not available",G$31&lt;&gt;"")</formula>
    </cfRule>
  </conditionalFormatting>
  <conditionalFormatting sqref="G36:N36 T36:U36">
    <cfRule type="expression" dxfId="1442" priority="7">
      <formula>G$36="No"</formula>
    </cfRule>
  </conditionalFormatting>
  <conditionalFormatting sqref="G37:N37 T37:U37">
    <cfRule type="expression" dxfId="1441" priority="8">
      <formula>G$37="No"</formula>
    </cfRule>
  </conditionalFormatting>
  <conditionalFormatting sqref="G40:N41 T40:U41">
    <cfRule type="expression" dxfId="1440" priority="9">
      <formula>AND(G$40="Not available",G$41="Not available")</formula>
    </cfRule>
  </conditionalFormatting>
  <conditionalFormatting sqref="G43:N43 T43:U43">
    <cfRule type="expression" dxfId="1439" priority="10">
      <formula>G$43="No"</formula>
    </cfRule>
  </conditionalFormatting>
  <conditionalFormatting sqref="G50:N50 T50:U50">
    <cfRule type="expression" dxfId="1438" priority="11">
      <formula>G$50="Fail"</formula>
    </cfRule>
  </conditionalFormatting>
  <conditionalFormatting sqref="G52:N52 T52:U52">
    <cfRule type="expression" dxfId="1437" priority="12">
      <formula>G$52="Fail"</formula>
    </cfRule>
  </conditionalFormatting>
  <conditionalFormatting sqref="G54:N54 T54:U54">
    <cfRule type="expression" dxfId="1436" priority="13">
      <formula>LEFT(G$54,2)="No"</formula>
    </cfRule>
  </conditionalFormatting>
  <dataValidations count="14">
    <dataValidation type="list" allowBlank="1" showInputMessage="1" sqref="G55:N55" xr:uid="{EDA5C201-85F7-4F9A-B114-45D0A3C79F12}">
      <formula1>"floor storage,tunnel,rail of n-1 row seat,floor height,No problem"</formula1>
    </dataValidation>
    <dataValidation type="list" allowBlank="1" showInputMessage="1" sqref="T16:U16 G16:N16" xr:uid="{1BF9358F-A5D5-47C5-9153-C766530FEF7E}">
      <formula1>"only forward facing,also sideways facing,also rearwards facing,can rotate ""freely"""</formula1>
    </dataValidation>
    <dataValidation type="list" allowBlank="1" showInputMessage="1" showErrorMessage="1" sqref="D6:E6" xr:uid="{E1E48689-62BC-4818-BB63-C35D07DA9C8A}">
      <formula1>"LHD,RHD,both Hand of Drive"</formula1>
    </dataValidation>
    <dataValidation type="list" allowBlank="1" showInputMessage="1" sqref="T36:U36 G36:N36" xr:uid="{832B249C-E482-4212-B87E-AA1913DC4BC6}">
      <formula1>"Yes,No,Restricted to Forward Facing"</formula1>
    </dataValidation>
    <dataValidation type="list" allowBlank="1" showInputMessage="1" showErrorMessage="1" sqref="D5:E5" xr:uid="{B299F8ED-F0D0-453E-B4A9-2EC5D4C0A6EE}">
      <formula1>"Yes we need 2 different pages, No there is no difference except driver mirrored"</formula1>
    </dataValidation>
    <dataValidation type="list" allowBlank="1" showInputMessage="1" sqref="T38:U39 T44:U44 G44:N44 G38:N39" xr:uid="{0CD753AE-DAEE-4F4C-A5A0-68B119134AE4}">
      <formula1>"Needed,Not needed"</formula1>
    </dataValidation>
    <dataValidation type="list" allowBlank="1" showInputMessage="1" sqref="T55:U55" xr:uid="{6E35643F-CF6C-4C17-8078-423E93B56479}">
      <formula1>"floor storage,tunnel,rail of n-1 row seat,No problem"</formula1>
    </dataValidation>
    <dataValidation type="list" allowBlank="1" showInputMessage="1" sqref="T45:U49 T18:U22 T43:U43 T33:U35 T37:U37 G33:N35 G43:N43 G45:N49 G37:N37 T24:U28" xr:uid="{4D70A65C-A325-4D31-AE72-8F92A62F5A15}">
      <formula1>"Yes,No"</formula1>
    </dataValidation>
    <dataValidation type="list" allowBlank="1" showInputMessage="1" sqref="T13:U14 G13:N14" xr:uid="{6BC64DA4-7E67-4B08-955B-96F2264CA700}">
      <formula1>"no airbag, no deactivation,automatic,manual via switch,manual via on board menu"</formula1>
    </dataValidation>
    <dataValidation type="list" allowBlank="1" showInputMessage="1" sqref="T42:U42 G42:N42" xr:uid="{4AE6DB1B-7C23-4A23-AEFD-B97DD0A3187E}">
      <formula1>"roof,parcel shelf,back of seatback,trunk, not available"</formula1>
    </dataValidation>
    <dataValidation type="list" allowBlank="1" showInputMessage="1" sqref="T54:U54 G54:N54" xr:uid="{4593A557-A465-40C0-9042-F854A282B6DA}">
      <formula1>"no support leg allowed, check CRS Vehicle List"</formula1>
    </dataValidation>
    <dataValidation type="list" allowBlank="1" showInputMessage="1" sqref="G50:N52 T50:U52" xr:uid="{A53DA87F-58BF-422B-BF8D-D7FF8C523462}">
      <formula1>"from ECE 16 by default position,need of alternative position,Fail"</formula1>
    </dataValidation>
    <dataValidation type="list" allowBlank="1" showInputMessage="1" sqref="T31:U31 G31:N31" xr:uid="{6E2A187E-0684-4102-BD45-9B181F34508C}">
      <formula1>"Standard,Optional,Present in another variant of same model,Not available"</formula1>
    </dataValidation>
    <dataValidation type="list" allowBlank="1" showInputMessage="1" sqref="T53:U53 G53:N53 T12:U12 T15:U15 T30:U30 T40:U41 G40:N41 G15:N15 G12:N12 G30:N30 G18:N22 G24:N28" xr:uid="{B5D8D6C7-39E3-4FB8-A954-5F49BB6AB7B2}">
      <formula1>"Standard,Optional,Not available"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rgb="FF00B050"/>
    <pageSetUpPr fitToPage="1"/>
  </sheetPr>
  <dimension ref="B1:CB75"/>
  <sheetViews>
    <sheetView showGridLines="0" tabSelected="1" showOutlineSymbols="0" topLeftCell="A19" zoomScaleNormal="100" workbookViewId="0">
      <selection activeCell="W33" sqref="W33:Y33"/>
    </sheetView>
  </sheetViews>
  <sheetFormatPr defaultColWidth="8.7109375" defaultRowHeight="12.75"/>
  <cols>
    <col min="1" max="1" width="8.7109375" style="95"/>
    <col min="2" max="2" width="4.42578125" style="95" customWidth="1"/>
    <col min="3" max="3" width="5.28515625" style="95" customWidth="1"/>
    <col min="4" max="4" width="3.28515625" style="112" customWidth="1"/>
    <col min="5" max="9" width="3.28515625" style="95" customWidth="1"/>
    <col min="10" max="10" width="3.28515625" style="109" customWidth="1"/>
    <col min="11" max="25" width="3.28515625" style="95" customWidth="1"/>
    <col min="26" max="26" width="7.85546875" style="95" customWidth="1"/>
    <col min="27" max="27" width="9.140625" style="156" customWidth="1"/>
    <col min="28" max="28" width="8.7109375" style="156" customWidth="1"/>
    <col min="29" max="29" width="6.140625" style="156" customWidth="1"/>
    <col min="30" max="30" width="8.7109375" style="156" customWidth="1"/>
    <col min="31" max="31" width="4.5703125" style="156" customWidth="1"/>
    <col min="32" max="41" width="8.7109375" style="156" customWidth="1"/>
    <col min="42" max="43" width="8.7109375" style="156" hidden="1" customWidth="1"/>
    <col min="44" max="44" width="8.7109375" style="589" hidden="1" customWidth="1"/>
    <col min="45" max="47" width="8.7109375" style="156" hidden="1" customWidth="1"/>
    <col min="48" max="54" width="8.7109375" style="156" customWidth="1"/>
    <col min="55" max="55" width="6.42578125" style="156" customWidth="1"/>
    <col min="56" max="56" width="5.42578125" style="156" customWidth="1"/>
    <col min="57" max="57" width="2.5703125" style="156" customWidth="1"/>
    <col min="58" max="78" width="3.5703125" style="156" customWidth="1"/>
    <col min="79" max="79" width="4.5703125" style="156" customWidth="1"/>
    <col min="80" max="80" width="8.7109375" style="156"/>
    <col min="81" max="16384" width="8.7109375" style="95"/>
  </cols>
  <sheetData>
    <row r="1" spans="2:80" ht="13.5" thickBot="1">
      <c r="AP1" s="156" t="b">
        <v>0</v>
      </c>
      <c r="AQ1" s="676" t="s">
        <v>2645</v>
      </c>
      <c r="AR1" s="589" t="s">
        <v>746</v>
      </c>
      <c r="AS1" s="676" t="s">
        <v>2646</v>
      </c>
      <c r="AT1" s="676" t="s">
        <v>2647</v>
      </c>
    </row>
    <row r="2" spans="2:80" s="113" customFormat="1" ht="12.75" customHeight="1">
      <c r="B2" s="1364" t="s">
        <v>2459</v>
      </c>
      <c r="C2" s="1779"/>
      <c r="D2" s="1779"/>
      <c r="E2" s="1779"/>
      <c r="F2" s="1779"/>
      <c r="G2" s="1779"/>
      <c r="H2" s="1779"/>
      <c r="I2" s="1779"/>
      <c r="J2" s="1779"/>
      <c r="K2" s="1779"/>
      <c r="L2" s="1779"/>
      <c r="M2" s="1779"/>
      <c r="N2" s="1779"/>
      <c r="O2" s="1779"/>
      <c r="P2" s="1779"/>
      <c r="Q2" s="1779"/>
      <c r="R2" s="1779"/>
      <c r="S2" s="1779"/>
      <c r="T2" s="1779"/>
      <c r="U2" s="1779"/>
      <c r="V2" s="1779"/>
      <c r="W2" s="1779"/>
      <c r="X2" s="1779"/>
      <c r="Y2" s="1365"/>
      <c r="Z2" s="1093"/>
      <c r="AA2" s="1094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 t="b">
        <v>0</v>
      </c>
      <c r="AQ2" s="156" t="s">
        <v>2722</v>
      </c>
      <c r="AR2" s="95" cm="1">
        <f t="array" aca="1" ref="AR2" ca="1">INDIRECT(AQ2)</f>
        <v>0</v>
      </c>
      <c r="AS2" s="586">
        <f t="shared" ref="AS2:AS22" ca="1" si="0">AR2</f>
        <v>0</v>
      </c>
      <c r="AT2" s="586"/>
      <c r="AU2" s="156" t="str">
        <f t="array" aca="1" ref="AU2" ca="1">IF(OR(AND(AS2:AT2=""),NOT(OR(AR2=AS2:AT2))),"Error","")</f>
        <v/>
      </c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</row>
    <row r="3" spans="2:80" s="113" customFormat="1" ht="15" customHeight="1" thickBot="1">
      <c r="B3" s="1780"/>
      <c r="C3" s="1781"/>
      <c r="D3" s="1781"/>
      <c r="E3" s="1781"/>
      <c r="F3" s="1781"/>
      <c r="G3" s="1781"/>
      <c r="H3" s="1781"/>
      <c r="I3" s="1781"/>
      <c r="J3" s="1781"/>
      <c r="K3" s="1781"/>
      <c r="L3" s="1781"/>
      <c r="M3" s="1781"/>
      <c r="N3" s="1781"/>
      <c r="O3" s="1781"/>
      <c r="P3" s="1781"/>
      <c r="Q3" s="1781"/>
      <c r="R3" s="1781"/>
      <c r="S3" s="1781"/>
      <c r="T3" s="1781"/>
      <c r="U3" s="1781"/>
      <c r="V3" s="1781"/>
      <c r="W3" s="1781"/>
      <c r="X3" s="1781"/>
      <c r="Y3" s="1782"/>
      <c r="Z3" s="1101"/>
      <c r="AA3" s="1102"/>
      <c r="AB3" s="156"/>
      <c r="AC3"/>
      <c r="AD3"/>
      <c r="AE3" s="589"/>
      <c r="AF3"/>
      <c r="AG3"/>
      <c r="AH3"/>
      <c r="AI3"/>
      <c r="AJ3"/>
      <c r="AK3" s="156"/>
      <c r="AL3" s="156"/>
      <c r="AM3" s="156"/>
      <c r="AN3" s="156"/>
      <c r="AO3" s="156"/>
      <c r="AP3" s="156"/>
      <c r="AQ3" s="156" t="s">
        <v>2723</v>
      </c>
      <c r="AR3" s="95" cm="1">
        <f t="array" aca="1" ref="AR3" ca="1">INDIRECT(AQ3)</f>
        <v>0</v>
      </c>
      <c r="AS3" s="586"/>
      <c r="AT3" s="586">
        <f ca="1">AR3</f>
        <v>0</v>
      </c>
      <c r="AU3" s="156" t="str">
        <f t="array" aca="1" ref="AU3" ca="1">IF(OR(AND(AS3:AT3=""),NOT(OR(AR3=AS3:AT3))),"Error","")</f>
        <v/>
      </c>
      <c r="AV3" s="156"/>
      <c r="AW3" s="156"/>
      <c r="AX3" s="156"/>
      <c r="AY3" s="156"/>
      <c r="AZ3" s="156"/>
      <c r="BA3" s="156"/>
      <c r="BB3" s="156"/>
      <c r="BC3" s="156"/>
      <c r="BD3" s="156"/>
      <c r="BE3" s="156"/>
      <c r="BF3" s="156"/>
      <c r="BG3" s="156"/>
      <c r="BH3" s="156"/>
      <c r="BI3" s="156"/>
      <c r="BJ3" s="156"/>
      <c r="BK3" s="156"/>
      <c r="BL3" s="156"/>
      <c r="BM3" s="156"/>
      <c r="BN3" s="156"/>
      <c r="BO3" s="156"/>
      <c r="BP3" s="156"/>
      <c r="BQ3" s="156"/>
      <c r="BR3" s="156"/>
      <c r="BS3" s="156"/>
      <c r="BT3" s="156"/>
      <c r="BU3" s="156"/>
      <c r="BV3" s="156"/>
      <c r="BW3" s="156"/>
      <c r="BX3" s="156"/>
      <c r="BY3" s="156"/>
      <c r="BZ3" s="156"/>
      <c r="CA3" s="156"/>
      <c r="CB3" s="156"/>
    </row>
    <row r="4" spans="2:80">
      <c r="B4" s="1783"/>
      <c r="C4" s="1784"/>
      <c r="D4" s="1784"/>
      <c r="E4" s="255">
        <v>10</v>
      </c>
      <c r="F4" s="255">
        <v>9</v>
      </c>
      <c r="G4" s="255">
        <v>8</v>
      </c>
      <c r="H4" s="255">
        <v>7</v>
      </c>
      <c r="I4" s="255">
        <v>6</v>
      </c>
      <c r="J4" s="255">
        <v>5</v>
      </c>
      <c r="K4" s="255">
        <v>4</v>
      </c>
      <c r="L4" s="255">
        <v>3</v>
      </c>
      <c r="M4" s="255">
        <v>2</v>
      </c>
      <c r="N4" s="255">
        <v>1</v>
      </c>
      <c r="O4" s="255">
        <v>0</v>
      </c>
      <c r="P4" s="255">
        <v>-1</v>
      </c>
      <c r="Q4" s="255">
        <v>-2</v>
      </c>
      <c r="R4" s="255">
        <v>-3</v>
      </c>
      <c r="S4" s="255">
        <v>-4</v>
      </c>
      <c r="T4" s="255">
        <v>-5</v>
      </c>
      <c r="U4" s="255">
        <v>-6</v>
      </c>
      <c r="V4" s="255">
        <v>-7</v>
      </c>
      <c r="W4" s="255">
        <v>-8</v>
      </c>
      <c r="X4" s="255">
        <v>-9</v>
      </c>
      <c r="Y4" s="256">
        <v>-10</v>
      </c>
      <c r="Z4" s="106"/>
      <c r="AA4" s="1095"/>
      <c r="AB4"/>
      <c r="AC4" s="589"/>
      <c r="AD4"/>
      <c r="AE4" s="589"/>
      <c r="AF4"/>
      <c r="AG4"/>
      <c r="AH4"/>
      <c r="AI4"/>
      <c r="AJ4"/>
      <c r="AM4" s="676"/>
      <c r="AQ4" s="156" t="s">
        <v>2724</v>
      </c>
      <c r="AR4" s="95" cm="1">
        <f t="array" aca="1" ref="AR4" ca="1">INDIRECT(AQ4)</f>
        <v>0</v>
      </c>
      <c r="AS4" s="586">
        <f t="shared" ca="1" si="0"/>
        <v>0</v>
      </c>
      <c r="AT4" s="586"/>
      <c r="AU4" s="156" t="str">
        <f t="array" aca="1" ref="AU4" ca="1">IF(OR(AND(AS4:AT4=""),NOT(OR(AR4=AS4:AT4))),"Error","")</f>
        <v/>
      </c>
    </row>
    <row r="5" spans="2:80" ht="15" customHeight="1">
      <c r="B5" s="1785" t="s">
        <v>219</v>
      </c>
      <c r="C5" s="114">
        <v>2800</v>
      </c>
      <c r="D5" s="115">
        <v>18</v>
      </c>
      <c r="E5" s="771"/>
      <c r="F5" s="771"/>
      <c r="G5" s="771"/>
      <c r="H5" s="771"/>
      <c r="I5" s="771"/>
      <c r="J5" s="771"/>
      <c r="K5" s="771"/>
      <c r="L5" s="771"/>
      <c r="M5" s="771"/>
      <c r="N5" s="771"/>
      <c r="O5" s="771"/>
      <c r="P5" s="771"/>
      <c r="Q5" s="771"/>
      <c r="R5" s="771"/>
      <c r="S5" s="771"/>
      <c r="T5" s="771"/>
      <c r="U5" s="771"/>
      <c r="V5" s="771"/>
      <c r="W5" s="771"/>
      <c r="X5" s="771"/>
      <c r="Y5" s="663"/>
      <c r="Z5" s="1776" t="s">
        <v>2473</v>
      </c>
      <c r="AA5" s="1095"/>
      <c r="AB5" s="589"/>
      <c r="AC5" s="589"/>
      <c r="AD5"/>
      <c r="AE5" s="589"/>
      <c r="AF5"/>
      <c r="AG5"/>
      <c r="AH5"/>
      <c r="AI5"/>
      <c r="AJ5"/>
      <c r="AM5" s="676"/>
      <c r="AQ5" s="156" t="s">
        <v>2725</v>
      </c>
      <c r="AR5" s="95" cm="1">
        <f t="array" aca="1" ref="AR5" ca="1">INDIRECT(AQ5)</f>
        <v>0</v>
      </c>
      <c r="AS5" s="586">
        <f t="shared" ca="1" si="0"/>
        <v>0</v>
      </c>
      <c r="AT5" s="586"/>
      <c r="AU5" s="156" t="str">
        <f t="array" aca="1" ref="AU5" ca="1">IF(OR(AND(AS5:AT5=""),NOT(OR(AR5=AS5:AT5))),"Error","")</f>
        <v/>
      </c>
    </row>
    <row r="6" spans="2:80" ht="15" customHeight="1">
      <c r="B6" s="1786"/>
      <c r="C6" s="116">
        <v>2700</v>
      </c>
      <c r="D6" s="675">
        <v>17</v>
      </c>
      <c r="E6" s="802"/>
      <c r="F6" s="802"/>
      <c r="G6" s="802"/>
      <c r="H6" s="802"/>
      <c r="I6" s="802"/>
      <c r="J6" s="802"/>
      <c r="K6" s="802"/>
      <c r="L6" s="802"/>
      <c r="M6" s="802"/>
      <c r="N6" s="802"/>
      <c r="O6" s="802"/>
      <c r="P6" s="802"/>
      <c r="Q6" s="802"/>
      <c r="R6" s="802"/>
      <c r="S6" s="802"/>
      <c r="T6" s="802"/>
      <c r="U6" s="802"/>
      <c r="V6" s="802"/>
      <c r="W6" s="802"/>
      <c r="X6" s="802"/>
      <c r="Y6" s="803"/>
      <c r="Z6" s="1776"/>
      <c r="AA6" s="1095"/>
      <c r="AB6" s="589"/>
      <c r="AC6" s="589"/>
      <c r="AD6"/>
      <c r="AE6" s="589"/>
      <c r="AF6"/>
      <c r="AG6"/>
      <c r="AH6"/>
      <c r="AI6"/>
      <c r="AJ6"/>
      <c r="AM6" s="676"/>
      <c r="AQ6" s="156" t="s">
        <v>2726</v>
      </c>
      <c r="AR6" s="95" cm="1">
        <f t="array" aca="1" ref="AR6" ca="1">INDIRECT(AQ6)</f>
        <v>0</v>
      </c>
      <c r="AS6" s="586">
        <f t="shared" ca="1" si="0"/>
        <v>0</v>
      </c>
      <c r="AT6" s="586"/>
      <c r="BY6" s="95"/>
      <c r="BZ6" s="95"/>
      <c r="CA6" s="95"/>
      <c r="CB6" s="95"/>
    </row>
    <row r="7" spans="2:80" ht="15" customHeight="1">
      <c r="B7" s="1786"/>
      <c r="C7" s="116">
        <v>2600</v>
      </c>
      <c r="D7" s="675">
        <v>16</v>
      </c>
      <c r="E7" s="771"/>
      <c r="F7" s="771"/>
      <c r="G7" s="771"/>
      <c r="H7" s="771"/>
      <c r="I7" s="771"/>
      <c r="J7" s="771"/>
      <c r="K7" s="771"/>
      <c r="L7" s="771"/>
      <c r="M7" s="771"/>
      <c r="N7" s="771"/>
      <c r="O7" s="771"/>
      <c r="P7" s="771"/>
      <c r="Q7" s="771"/>
      <c r="R7" s="771"/>
      <c r="S7" s="771"/>
      <c r="T7" s="771"/>
      <c r="U7" s="771"/>
      <c r="V7" s="771"/>
      <c r="W7" s="771"/>
      <c r="X7" s="771"/>
      <c r="Y7" s="663"/>
      <c r="Z7" s="1776"/>
      <c r="AA7" s="1096"/>
      <c r="AB7" s="676"/>
      <c r="AC7" s="589"/>
      <c r="AD7"/>
      <c r="AE7" s="589"/>
      <c r="AF7"/>
      <c r="AG7"/>
      <c r="AH7"/>
      <c r="AI7"/>
      <c r="AJ7"/>
      <c r="AM7" s="676"/>
      <c r="AQ7" s="156" t="s">
        <v>2727</v>
      </c>
      <c r="AR7" s="95" cm="1">
        <f t="array" aca="1" ref="AR7" ca="1">INDIRECT(AQ7)</f>
        <v>0</v>
      </c>
      <c r="AS7" s="586">
        <f t="shared" ca="1" si="0"/>
        <v>0</v>
      </c>
      <c r="AT7" s="586"/>
      <c r="BY7" s="95"/>
      <c r="BZ7" s="95"/>
      <c r="CA7" s="95"/>
      <c r="CB7" s="95"/>
    </row>
    <row r="8" spans="2:80" ht="15" customHeight="1">
      <c r="B8" s="1786"/>
      <c r="C8" s="116">
        <v>2500</v>
      </c>
      <c r="D8" s="675">
        <v>15</v>
      </c>
      <c r="E8" s="771"/>
      <c r="F8" s="771"/>
      <c r="G8" s="771"/>
      <c r="H8" s="771"/>
      <c r="I8" s="771"/>
      <c r="J8" s="771"/>
      <c r="K8" s="771"/>
      <c r="L8" s="771"/>
      <c r="M8" s="771"/>
      <c r="N8" s="771"/>
      <c r="O8" s="771"/>
      <c r="P8" s="771"/>
      <c r="Q8" s="771"/>
      <c r="R8" s="771"/>
      <c r="S8" s="771"/>
      <c r="T8" s="771"/>
      <c r="U8" s="771"/>
      <c r="V8" s="771"/>
      <c r="W8" s="771"/>
      <c r="X8" s="771"/>
      <c r="Y8" s="663"/>
      <c r="Z8" s="1776"/>
      <c r="AA8" s="1096"/>
      <c r="AB8" s="676"/>
      <c r="AC8"/>
      <c r="AD8"/>
      <c r="AE8" s="589"/>
      <c r="AF8"/>
      <c r="AG8"/>
      <c r="AH8"/>
      <c r="AI8"/>
      <c r="AJ8"/>
      <c r="AM8" s="676"/>
      <c r="AQ8" s="156" t="s">
        <v>2728</v>
      </c>
      <c r="AR8" s="95" cm="1">
        <f t="array" aca="1" ref="AR8" ca="1">INDIRECT(AQ8)</f>
        <v>0</v>
      </c>
      <c r="AS8" s="586">
        <f t="shared" ca="1" si="0"/>
        <v>0</v>
      </c>
      <c r="AT8" s="586"/>
      <c r="AU8" s="156" t="str">
        <f t="array" aca="1" ref="AU8" ca="1">IF(OR(AND(AS6:AT6=""),NOT(OR(AR6=AS6:AT6))),"Error","")</f>
        <v/>
      </c>
    </row>
    <row r="9" spans="2:80" ht="15" customHeight="1">
      <c r="B9" s="1786"/>
      <c r="C9" s="116">
        <v>2400</v>
      </c>
      <c r="D9" s="675">
        <v>14</v>
      </c>
      <c r="E9" s="771"/>
      <c r="F9" s="771"/>
      <c r="G9" s="771"/>
      <c r="H9" s="771"/>
      <c r="I9" s="771"/>
      <c r="J9" s="771"/>
      <c r="K9" s="771"/>
      <c r="L9" s="771"/>
      <c r="M9" s="771"/>
      <c r="N9" s="771"/>
      <c r="O9" s="771"/>
      <c r="P9" s="771"/>
      <c r="Q9" s="771"/>
      <c r="R9" s="771"/>
      <c r="S9" s="771"/>
      <c r="T9" s="771"/>
      <c r="U9" s="771"/>
      <c r="V9" s="771"/>
      <c r="W9" s="771"/>
      <c r="X9" s="771"/>
      <c r="Y9" s="663"/>
      <c r="Z9" s="1776"/>
      <c r="AA9" s="1096"/>
      <c r="AB9" s="676"/>
      <c r="AC9" s="589"/>
      <c r="AD9"/>
      <c r="AE9"/>
      <c r="AF9"/>
      <c r="AG9"/>
      <c r="AH9" s="589"/>
      <c r="AI9"/>
      <c r="AJ9"/>
      <c r="AM9" s="676"/>
      <c r="AQ9" s="156" t="s">
        <v>2729</v>
      </c>
      <c r="AR9" s="95" cm="1">
        <f t="array" aca="1" ref="AR9" ca="1">INDIRECT(AQ9)</f>
        <v>0</v>
      </c>
      <c r="AS9" s="586"/>
      <c r="AT9" s="586">
        <f t="shared" ref="AT9:AT16" ca="1" si="1">AR9</f>
        <v>0</v>
      </c>
      <c r="AU9" s="156" t="str">
        <f t="array" aca="1" ref="AU9" ca="1">IF(OR(AND(AS7:AT7=""),NOT(OR(AR7=AS7:AT7))),"Error","")</f>
        <v/>
      </c>
    </row>
    <row r="10" spans="2:80" ht="15" customHeight="1">
      <c r="B10" s="1786"/>
      <c r="C10" s="116">
        <v>2300</v>
      </c>
      <c r="D10" s="675">
        <v>13</v>
      </c>
      <c r="E10" s="771"/>
      <c r="F10" s="771"/>
      <c r="G10" s="771"/>
      <c r="H10" s="771"/>
      <c r="I10" s="771"/>
      <c r="J10" s="771"/>
      <c r="K10" s="771"/>
      <c r="L10" s="771"/>
      <c r="M10" s="771"/>
      <c r="N10" s="771"/>
      <c r="O10" s="771"/>
      <c r="P10" s="771"/>
      <c r="Q10" s="771"/>
      <c r="R10" s="771"/>
      <c r="S10" s="771"/>
      <c r="T10" s="771"/>
      <c r="U10" s="771"/>
      <c r="V10" s="771"/>
      <c r="W10" s="771"/>
      <c r="X10" s="771"/>
      <c r="Y10" s="663"/>
      <c r="Z10" s="1776"/>
      <c r="AA10" s="1096"/>
      <c r="AB10" s="676"/>
      <c r="AC10" s="589"/>
      <c r="AD10"/>
      <c r="AE10"/>
      <c r="AF10"/>
      <c r="AG10"/>
      <c r="AH10"/>
      <c r="AI10"/>
      <c r="AJ10"/>
      <c r="AM10" s="676"/>
      <c r="AO10" s="676"/>
      <c r="AQ10" s="156" t="s">
        <v>2730</v>
      </c>
      <c r="AR10" s="95" cm="1">
        <f t="array" aca="1" ref="AR10" ca="1">INDIRECT(AQ10)</f>
        <v>0</v>
      </c>
      <c r="AS10" s="586"/>
      <c r="AT10" s="586">
        <f t="shared" ca="1" si="1"/>
        <v>0</v>
      </c>
      <c r="AU10" s="156" t="str">
        <f t="array" aca="1" ref="AU10" ca="1">IF(OR(AND(AS8:AT8=""),NOT(OR(AR8=AS8:AT8))),"Error","")</f>
        <v/>
      </c>
    </row>
    <row r="11" spans="2:80" ht="15" customHeight="1" thickBot="1">
      <c r="B11" s="1786"/>
      <c r="C11" s="117">
        <v>2200</v>
      </c>
      <c r="D11" s="118">
        <v>12</v>
      </c>
      <c r="E11" s="664"/>
      <c r="F11" s="664"/>
      <c r="G11" s="664"/>
      <c r="H11" s="664"/>
      <c r="I11" s="664"/>
      <c r="J11" s="664"/>
      <c r="K11" s="664"/>
      <c r="L11" s="664"/>
      <c r="M11" s="664"/>
      <c r="N11" s="664"/>
      <c r="O11" s="664"/>
      <c r="P11" s="664"/>
      <c r="Q11" s="664"/>
      <c r="R11" s="664"/>
      <c r="S11" s="664"/>
      <c r="T11" s="664"/>
      <c r="U11" s="664"/>
      <c r="V11" s="664"/>
      <c r="W11" s="664"/>
      <c r="X11" s="664"/>
      <c r="Y11" s="665"/>
      <c r="Z11" s="1777"/>
      <c r="AA11" s="1097"/>
      <c r="AB11" s="676"/>
      <c r="AM11" s="676"/>
      <c r="AQ11" s="156" t="s">
        <v>2731</v>
      </c>
      <c r="AR11" s="95" cm="1">
        <f t="array" aca="1" ref="AR11" ca="1">INDIRECT(AQ11)</f>
        <v>0</v>
      </c>
      <c r="AS11" s="586"/>
      <c r="AT11" s="586">
        <f t="shared" ca="1" si="1"/>
        <v>0</v>
      </c>
      <c r="AU11" s="156" t="str">
        <f t="array" aca="1" ref="AU11" ca="1">IF(OR(AND(AS9:AT9=""),NOT(OR(AR9=AS9:AT9))),"Error","")</f>
        <v/>
      </c>
    </row>
    <row r="12" spans="2:80" ht="15" customHeight="1">
      <c r="B12" s="1786"/>
      <c r="C12" s="116">
        <v>2100</v>
      </c>
      <c r="D12" s="675">
        <v>11</v>
      </c>
      <c r="E12" s="711"/>
      <c r="F12" s="711"/>
      <c r="G12" s="711"/>
      <c r="H12" s="711"/>
      <c r="I12" s="711"/>
      <c r="J12" s="711"/>
      <c r="K12" s="711"/>
      <c r="L12" s="711"/>
      <c r="M12" s="711"/>
      <c r="N12" s="711"/>
      <c r="O12" s="711"/>
      <c r="P12" s="711"/>
      <c r="Q12" s="711"/>
      <c r="R12" s="711"/>
      <c r="S12" s="711"/>
      <c r="T12" s="711"/>
      <c r="U12" s="711"/>
      <c r="V12" s="711"/>
      <c r="W12" s="711"/>
      <c r="X12" s="711"/>
      <c r="Y12" s="712"/>
      <c r="Z12" s="1778" t="s">
        <v>2472</v>
      </c>
      <c r="AA12" s="1096"/>
      <c r="AB12" s="676"/>
      <c r="AM12" s="676"/>
      <c r="AQ12" s="156" t="s">
        <v>2732</v>
      </c>
      <c r="AR12" s="95" cm="1">
        <f t="array" aca="1" ref="AR12" ca="1">INDIRECT(AQ12)</f>
        <v>0</v>
      </c>
      <c r="AS12" s="586"/>
      <c r="AT12" s="586">
        <f t="shared" ca="1" si="1"/>
        <v>0</v>
      </c>
      <c r="AU12" s="156" t="str">
        <f t="array" aca="1" ref="AU12" ca="1">IF(OR(AND(AS10:AT10=""),NOT(OR(AR10=AS10:AT10))),"Error","")</f>
        <v/>
      </c>
    </row>
    <row r="13" spans="2:80" ht="15" customHeight="1">
      <c r="B13" s="1786"/>
      <c r="C13" s="116">
        <v>2000</v>
      </c>
      <c r="D13" s="675">
        <v>10</v>
      </c>
      <c r="E13" s="771"/>
      <c r="F13" s="771"/>
      <c r="G13" s="771"/>
      <c r="H13" s="771"/>
      <c r="I13" s="771"/>
      <c r="J13" s="771"/>
      <c r="K13" s="771"/>
      <c r="L13" s="771"/>
      <c r="M13" s="771"/>
      <c r="N13" s="771"/>
      <c r="O13" s="771"/>
      <c r="P13" s="771"/>
      <c r="Q13" s="771"/>
      <c r="R13" s="771"/>
      <c r="S13" s="771"/>
      <c r="T13" s="771"/>
      <c r="U13" s="771"/>
      <c r="V13" s="771"/>
      <c r="W13" s="771"/>
      <c r="X13" s="771"/>
      <c r="Y13" s="663"/>
      <c r="Z13" s="1776"/>
      <c r="AA13" s="1096"/>
      <c r="AB13" s="676"/>
      <c r="AM13" s="676"/>
      <c r="AQ13" s="156" t="s">
        <v>2733</v>
      </c>
      <c r="AR13" s="95" cm="1">
        <f t="array" aca="1" ref="AR13" ca="1">INDIRECT(AQ13)</f>
        <v>0</v>
      </c>
      <c r="AS13" s="586"/>
      <c r="AT13" s="586">
        <f t="shared" ca="1" si="1"/>
        <v>0</v>
      </c>
      <c r="AU13" s="156" t="str">
        <f t="array" aca="1" ref="AU13" ca="1">IF(OR(AND(AS11:AT11=""),NOT(OR(AR11=AS11:AT11))),"Error","")</f>
        <v/>
      </c>
    </row>
    <row r="14" spans="2:80" ht="15" customHeight="1">
      <c r="B14" s="1786"/>
      <c r="C14" s="116">
        <v>1900</v>
      </c>
      <c r="D14" s="675">
        <v>9</v>
      </c>
      <c r="E14" s="771"/>
      <c r="F14" s="771"/>
      <c r="G14" s="771"/>
      <c r="H14" s="771"/>
      <c r="I14" s="771"/>
      <c r="J14" s="771"/>
      <c r="K14" s="771"/>
      <c r="L14" s="771"/>
      <c r="M14" s="771"/>
      <c r="N14" s="771"/>
      <c r="O14" s="771"/>
      <c r="P14" s="771"/>
      <c r="Q14" s="771"/>
      <c r="R14" s="771"/>
      <c r="S14" s="771"/>
      <c r="T14" s="771"/>
      <c r="U14" s="771"/>
      <c r="V14" s="771"/>
      <c r="W14" s="771"/>
      <c r="X14" s="771"/>
      <c r="Y14" s="663"/>
      <c r="Z14" s="1776"/>
      <c r="AA14" s="1096"/>
      <c r="AB14" s="676"/>
      <c r="AM14" s="676"/>
      <c r="AQ14" s="156" t="s">
        <v>2734</v>
      </c>
      <c r="AR14" s="95" cm="1">
        <f t="array" aca="1" ref="AR14" ca="1">INDIRECT(AQ14)</f>
        <v>0</v>
      </c>
      <c r="AS14" s="586"/>
      <c r="AT14" s="586">
        <f t="shared" ca="1" si="1"/>
        <v>0</v>
      </c>
      <c r="AU14" s="156" t="str">
        <f t="array" aca="1" ref="AU14" ca="1">IF(OR(AND(AS12:AT12=""),NOT(OR(AR12=AS12:AT12))),"Error","")</f>
        <v/>
      </c>
    </row>
    <row r="15" spans="2:80" ht="15" customHeight="1" thickBot="1">
      <c r="B15" s="1786"/>
      <c r="C15" s="117">
        <v>1800</v>
      </c>
      <c r="D15" s="118">
        <v>8</v>
      </c>
      <c r="E15" s="664"/>
      <c r="F15" s="664"/>
      <c r="G15" s="664"/>
      <c r="H15" s="664"/>
      <c r="I15" s="664"/>
      <c r="J15" s="664"/>
      <c r="K15" s="664"/>
      <c r="L15" s="664"/>
      <c r="M15" s="664"/>
      <c r="N15" s="664"/>
      <c r="O15" s="664"/>
      <c r="P15" s="664"/>
      <c r="Q15" s="664"/>
      <c r="R15" s="664"/>
      <c r="S15" s="664"/>
      <c r="T15" s="664"/>
      <c r="U15" s="664"/>
      <c r="V15" s="664"/>
      <c r="W15" s="664"/>
      <c r="X15" s="664"/>
      <c r="Y15" s="665"/>
      <c r="Z15" s="1777"/>
      <c r="AA15" s="1097"/>
      <c r="AB15" s="676"/>
      <c r="AQ15" s="156" t="s">
        <v>2735</v>
      </c>
      <c r="AR15" s="95" cm="1">
        <f t="array" aca="1" ref="AR15" ca="1">INDIRECT(AQ15)</f>
        <v>0</v>
      </c>
      <c r="AS15" s="586"/>
      <c r="AT15" s="586">
        <f t="shared" ca="1" si="1"/>
        <v>0</v>
      </c>
      <c r="AU15" s="156" t="str">
        <f t="array" aca="1" ref="AU15" ca="1">IF(OR(AND(AS13:AT13=""),NOT(OR(AR13=AS13:AT13))),"Error","")</f>
        <v/>
      </c>
    </row>
    <row r="16" spans="2:80" ht="15" customHeight="1">
      <c r="B16" s="1786"/>
      <c r="C16" s="116">
        <v>1700</v>
      </c>
      <c r="D16" s="675">
        <v>7</v>
      </c>
      <c r="E16" s="711"/>
      <c r="F16" s="711"/>
      <c r="G16" s="711"/>
      <c r="H16" s="711"/>
      <c r="I16" s="711"/>
      <c r="J16" s="711"/>
      <c r="K16" s="711"/>
      <c r="L16" s="711"/>
      <c r="M16" s="711"/>
      <c r="N16" s="711"/>
      <c r="O16" s="711"/>
      <c r="P16" s="711"/>
      <c r="Q16" s="711"/>
      <c r="R16" s="711"/>
      <c r="S16" s="711"/>
      <c r="T16" s="711"/>
      <c r="U16" s="711"/>
      <c r="V16" s="711"/>
      <c r="W16" s="711"/>
      <c r="X16" s="711"/>
      <c r="Y16" s="712"/>
      <c r="Z16" s="1771" t="s">
        <v>2648</v>
      </c>
      <c r="AA16" s="1772"/>
      <c r="AB16" s="772"/>
      <c r="AC16" s="772"/>
      <c r="AD16" s="1775" t="s">
        <v>2649</v>
      </c>
      <c r="AE16"/>
      <c r="AF16" s="589"/>
      <c r="AG16"/>
      <c r="AH16"/>
      <c r="AI16"/>
      <c r="AQ16" s="156" t="s">
        <v>2736</v>
      </c>
      <c r="AR16" s="95" cm="1">
        <f t="array" aca="1" ref="AR16" ca="1">INDIRECT(AQ16)</f>
        <v>0</v>
      </c>
      <c r="AS16" s="586"/>
      <c r="AT16" s="586">
        <f t="shared" ca="1" si="1"/>
        <v>0</v>
      </c>
      <c r="AU16" s="156" t="str">
        <f t="array" aca="1" ref="AU16" ca="1">IF(OR(AND(AS14:AT14=""),NOT(OR(AR14=AS14:AT14))),"Error","")</f>
        <v/>
      </c>
    </row>
    <row r="17" spans="2:47" ht="15" customHeight="1" thickBot="1">
      <c r="B17" s="1786"/>
      <c r="C17" s="117">
        <v>1600</v>
      </c>
      <c r="D17" s="118">
        <v>6</v>
      </c>
      <c r="E17" s="664"/>
      <c r="F17" s="664"/>
      <c r="G17" s="664"/>
      <c r="H17" s="664"/>
      <c r="I17" s="664"/>
      <c r="J17" s="664"/>
      <c r="K17" s="664"/>
      <c r="L17" s="664"/>
      <c r="M17" s="664"/>
      <c r="N17" s="664"/>
      <c r="O17" s="664"/>
      <c r="P17" s="664"/>
      <c r="Q17" s="664"/>
      <c r="R17" s="664"/>
      <c r="S17" s="664"/>
      <c r="T17" s="664"/>
      <c r="U17" s="664"/>
      <c r="V17" s="664"/>
      <c r="W17" s="664"/>
      <c r="X17" s="664"/>
      <c r="Y17" s="665"/>
      <c r="Z17" s="1773"/>
      <c r="AA17" s="1774"/>
      <c r="AB17" s="772"/>
      <c r="AC17" s="772"/>
      <c r="AD17" s="1775"/>
      <c r="AE17"/>
      <c r="AF17"/>
      <c r="AG17"/>
      <c r="AH17"/>
      <c r="AI17"/>
      <c r="AL17" s="676"/>
      <c r="AQ17" s="156" t="s">
        <v>2737</v>
      </c>
      <c r="AR17" s="95" cm="1">
        <f t="array" aca="1" ref="AR17" ca="1">INDIRECT(AQ17)</f>
        <v>0</v>
      </c>
      <c r="AS17" s="586">
        <f t="shared" ca="1" si="0"/>
        <v>0</v>
      </c>
      <c r="AT17" s="586"/>
      <c r="AU17" s="156" t="str">
        <f t="array" aca="1" ref="AU17" ca="1">IF(OR(AND(AS15:AT15=""),NOT(OR(AR15=AS15:AT15))),"Error","")</f>
        <v/>
      </c>
    </row>
    <row r="18" spans="2:47" ht="15" customHeight="1">
      <c r="B18" s="1786"/>
      <c r="C18" s="116">
        <v>1500</v>
      </c>
      <c r="D18" s="675">
        <v>5</v>
      </c>
      <c r="E18" s="711"/>
      <c r="F18" s="711"/>
      <c r="G18" s="711"/>
      <c r="H18" s="711"/>
      <c r="I18" s="711"/>
      <c r="J18" s="711"/>
      <c r="K18" s="711"/>
      <c r="L18" s="711"/>
      <c r="M18" s="711"/>
      <c r="N18" s="711"/>
      <c r="O18" s="711"/>
      <c r="P18" s="711"/>
      <c r="Q18" s="711"/>
      <c r="R18" s="711"/>
      <c r="S18" s="711"/>
      <c r="T18" s="711"/>
      <c r="U18" s="711"/>
      <c r="V18" s="711"/>
      <c r="W18" s="711"/>
      <c r="X18" s="711"/>
      <c r="Y18" s="712"/>
      <c r="Z18" s="1793" t="s">
        <v>2498</v>
      </c>
      <c r="AA18" s="1098"/>
      <c r="AB18" s="676"/>
      <c r="AC18" s="749"/>
      <c r="AJ18" s="676"/>
      <c r="AL18" s="750"/>
      <c r="AQ18" s="156" t="s">
        <v>2738</v>
      </c>
      <c r="AR18" s="95" cm="1">
        <f t="array" aca="1" ref="AR18" ca="1">INDIRECT(AQ18)</f>
        <v>0</v>
      </c>
      <c r="AS18" s="586">
        <f t="shared" ca="1" si="0"/>
        <v>0</v>
      </c>
      <c r="AT18" s="586"/>
      <c r="AU18" s="156" t="str">
        <f t="array" aca="1" ref="AU18" ca="1">IF(OR(AND(AS16:AT16=""),NOT(OR(AR16=AS16:AT16))),"Error","")</f>
        <v/>
      </c>
    </row>
    <row r="19" spans="2:47" ht="15" customHeight="1">
      <c r="B19" s="1786"/>
      <c r="C19" s="116">
        <v>1400</v>
      </c>
      <c r="D19" s="675">
        <v>4</v>
      </c>
      <c r="E19" s="771"/>
      <c r="F19" s="771"/>
      <c r="G19" s="771"/>
      <c r="H19" s="771"/>
      <c r="I19" s="771"/>
      <c r="J19" s="771"/>
      <c r="K19" s="771"/>
      <c r="L19" s="771"/>
      <c r="M19" s="771"/>
      <c r="N19" s="771"/>
      <c r="O19" s="771"/>
      <c r="P19" s="771"/>
      <c r="Q19" s="771"/>
      <c r="R19" s="771"/>
      <c r="S19" s="771"/>
      <c r="T19" s="771"/>
      <c r="U19" s="771"/>
      <c r="V19" s="771"/>
      <c r="W19" s="771"/>
      <c r="X19" s="771"/>
      <c r="Y19" s="663"/>
      <c r="Z19" s="1794"/>
      <c r="AA19" s="1099"/>
      <c r="AB19" s="676"/>
      <c r="AJ19" s="676"/>
      <c r="AL19" s="750"/>
      <c r="AQ19" s="156" t="s">
        <v>2739</v>
      </c>
      <c r="AR19" s="95" cm="1">
        <f t="array" aca="1" ref="AR19" ca="1">INDIRECT(AQ19)</f>
        <v>0</v>
      </c>
      <c r="AS19" s="586">
        <f t="shared" ca="1" si="0"/>
        <v>0</v>
      </c>
      <c r="AT19" s="586"/>
      <c r="AU19" s="156" t="str">
        <f t="array" aca="1" ref="AU19" ca="1">IF(OR(AND(AS17:AT17=""),NOT(OR(AR17=AS17:AT17))),"Error","")</f>
        <v/>
      </c>
    </row>
    <row r="20" spans="2:47" ht="15" customHeight="1">
      <c r="B20" s="1786"/>
      <c r="C20" s="116">
        <v>1300</v>
      </c>
      <c r="D20" s="675">
        <v>3</v>
      </c>
      <c r="E20" s="771"/>
      <c r="F20" s="771"/>
      <c r="G20" s="771"/>
      <c r="H20" s="771"/>
      <c r="I20" s="771"/>
      <c r="J20" s="771"/>
      <c r="K20" s="771"/>
      <c r="L20" s="771"/>
      <c r="M20" s="771"/>
      <c r="N20" s="771"/>
      <c r="O20" s="771"/>
      <c r="P20" s="771"/>
      <c r="Q20" s="771"/>
      <c r="R20" s="771"/>
      <c r="S20" s="771"/>
      <c r="T20" s="771"/>
      <c r="U20" s="771"/>
      <c r="V20" s="771"/>
      <c r="W20" s="771"/>
      <c r="X20" s="771"/>
      <c r="Y20" s="663"/>
      <c r="Z20" s="1794"/>
      <c r="AA20" s="1099"/>
      <c r="AB20" s="676"/>
      <c r="AJ20" s="676"/>
      <c r="AL20" s="750"/>
      <c r="AQ20" s="156" t="s">
        <v>2740</v>
      </c>
      <c r="AR20" s="95" cm="1">
        <f t="array" aca="1" ref="AR20" ca="1">INDIRECT(AQ20)</f>
        <v>0</v>
      </c>
      <c r="AS20" s="586">
        <f t="shared" ca="1" si="0"/>
        <v>0</v>
      </c>
      <c r="AT20" s="586"/>
      <c r="AU20" s="156" t="str">
        <f t="array" aca="1" ref="AU20" ca="1">IF(OR(AND(AS18:AT18=""),NOT(OR(AR18=AS18:AT18))),"Error","")</f>
        <v/>
      </c>
    </row>
    <row r="21" spans="2:47" ht="15" customHeight="1">
      <c r="B21" s="1786"/>
      <c r="C21" s="116">
        <v>1200</v>
      </c>
      <c r="D21" s="675">
        <v>2</v>
      </c>
      <c r="E21" s="771"/>
      <c r="F21" s="771"/>
      <c r="G21" s="771"/>
      <c r="H21" s="771"/>
      <c r="I21" s="771"/>
      <c r="J21" s="771"/>
      <c r="K21" s="771"/>
      <c r="L21" s="771"/>
      <c r="M21" s="771"/>
      <c r="N21" s="771"/>
      <c r="O21" s="771"/>
      <c r="P21" s="771"/>
      <c r="Q21" s="771"/>
      <c r="R21" s="771"/>
      <c r="S21" s="771"/>
      <c r="T21" s="771"/>
      <c r="U21" s="771"/>
      <c r="V21" s="771"/>
      <c r="W21" s="771"/>
      <c r="X21" s="771"/>
      <c r="Y21" s="663"/>
      <c r="Z21" s="1794"/>
      <c r="AA21" s="1099"/>
      <c r="AB21" s="676"/>
      <c r="AJ21" s="676"/>
      <c r="AL21" s="750"/>
      <c r="AQ21" s="156" t="s">
        <v>2741</v>
      </c>
      <c r="AR21" s="95" cm="1">
        <f t="array" aca="1" ref="AR21" ca="1">INDIRECT(AQ21)</f>
        <v>0</v>
      </c>
      <c r="AS21" s="586">
        <f t="shared" ca="1" si="0"/>
        <v>0</v>
      </c>
      <c r="AT21" s="586"/>
      <c r="AU21" s="156" t="str">
        <f t="array" aca="1" ref="AU21" ca="1">IF(OR(AND(AS19:AT19=""),NOT(OR(AR19=AS19:AT19))),"Error","")</f>
        <v/>
      </c>
    </row>
    <row r="22" spans="2:47" ht="15" customHeight="1">
      <c r="B22" s="1786"/>
      <c r="C22" s="116">
        <v>1100</v>
      </c>
      <c r="D22" s="675">
        <v>1</v>
      </c>
      <c r="E22" s="771"/>
      <c r="F22" s="771"/>
      <c r="G22" s="771"/>
      <c r="H22" s="771"/>
      <c r="I22" s="771"/>
      <c r="J22" s="771"/>
      <c r="K22" s="771"/>
      <c r="L22" s="771"/>
      <c r="M22" s="771"/>
      <c r="N22" s="771"/>
      <c r="O22" s="771"/>
      <c r="P22" s="771"/>
      <c r="Q22" s="771"/>
      <c r="R22" s="771"/>
      <c r="S22" s="771"/>
      <c r="T22" s="771"/>
      <c r="U22" s="771"/>
      <c r="V22" s="771"/>
      <c r="W22" s="771"/>
      <c r="X22" s="771"/>
      <c r="Y22" s="663"/>
      <c r="Z22" s="1794"/>
      <c r="AA22" s="1099"/>
      <c r="AB22" s="676"/>
      <c r="AJ22" s="676"/>
      <c r="AL22" s="750"/>
      <c r="AO22" s="676"/>
      <c r="AQ22" s="156" t="s">
        <v>2742</v>
      </c>
      <c r="AR22" s="95" cm="1">
        <f t="array" aca="1" ref="AR22" ca="1">INDIRECT(AQ22)</f>
        <v>0</v>
      </c>
      <c r="AS22" s="586">
        <f t="shared" ca="1" si="0"/>
        <v>0</v>
      </c>
      <c r="AT22" s="586"/>
      <c r="AU22" s="156" t="str">
        <f t="array" aca="1" ref="AU22" ca="1">IF(OR(AND(AS20:AT20=""),NOT(OR(AR20=AS20:AT20))),"Error","")</f>
        <v/>
      </c>
    </row>
    <row r="23" spans="2:47" ht="15" customHeight="1" thickBot="1">
      <c r="B23" s="1787"/>
      <c r="C23" s="117">
        <v>1000</v>
      </c>
      <c r="D23" s="118">
        <v>0</v>
      </c>
      <c r="E23" s="664"/>
      <c r="F23" s="664"/>
      <c r="G23" s="664"/>
      <c r="H23" s="664"/>
      <c r="I23" s="664"/>
      <c r="J23" s="664"/>
      <c r="K23" s="664"/>
      <c r="L23" s="664"/>
      <c r="M23" s="664"/>
      <c r="N23" s="664"/>
      <c r="O23" s="664"/>
      <c r="P23" s="664"/>
      <c r="Q23" s="664"/>
      <c r="R23" s="664"/>
      <c r="S23" s="664"/>
      <c r="T23" s="664"/>
      <c r="U23" s="664"/>
      <c r="V23" s="664"/>
      <c r="W23" s="664"/>
      <c r="X23" s="664"/>
      <c r="Y23" s="665"/>
      <c r="Z23" s="1795"/>
      <c r="AA23" s="1100"/>
      <c r="AB23" s="676"/>
      <c r="AJ23" s="676"/>
      <c r="AL23" s="750"/>
      <c r="AQ23" s="156" t="s">
        <v>2743</v>
      </c>
      <c r="AR23" s="95" cm="1">
        <f t="array" aca="1" ref="AR23" ca="1">INDIRECT(AQ23)</f>
        <v>0</v>
      </c>
      <c r="AS23" s="586"/>
      <c r="AT23" s="586">
        <f t="shared" ref="AT23:AT43" ca="1" si="2">AR23</f>
        <v>0</v>
      </c>
      <c r="AU23" s="156" t="str">
        <f t="array" aca="1" ref="AU23" ca="1">IF(OR(AND(AS21:AT21=""),NOT(OR(AR21=AS21:AT21))),"Error","")</f>
        <v/>
      </c>
    </row>
    <row r="24" spans="2:47" ht="13.5" thickBot="1">
      <c r="AJ24" s="676"/>
      <c r="AL24" s="750"/>
      <c r="AQ24" s="156" t="s">
        <v>2744</v>
      </c>
      <c r="AR24" s="95" cm="1">
        <f t="array" aca="1" ref="AR24" ca="1">INDIRECT(AQ24)</f>
        <v>0</v>
      </c>
      <c r="AS24" s="586"/>
      <c r="AT24" s="586">
        <f t="shared" ca="1" si="2"/>
        <v>0</v>
      </c>
      <c r="AU24" s="156" t="str">
        <f t="array" aca="1" ref="AU24" ca="1">IF(OR(AND(AS22:AT22=""),NOT(OR(AR22=AS22:AT22))),"Error","")</f>
        <v/>
      </c>
    </row>
    <row r="25" spans="2:47" ht="15" customHeight="1" thickBot="1">
      <c r="B25" s="1788" t="s">
        <v>220</v>
      </c>
      <c r="C25" s="1789"/>
      <c r="D25" s="1789"/>
      <c r="E25" s="1790"/>
      <c r="F25" s="1790"/>
      <c r="G25" s="1790"/>
      <c r="H25" s="1790"/>
      <c r="I25" s="1790"/>
      <c r="J25" s="1790"/>
      <c r="K25" s="1790"/>
      <c r="L25" s="1790"/>
      <c r="M25" s="1790"/>
      <c r="N25" s="1790"/>
      <c r="O25" s="1790"/>
      <c r="P25" s="1791"/>
      <c r="Q25" s="1558" t="s">
        <v>221</v>
      </c>
      <c r="R25" s="1559"/>
      <c r="S25" s="1792"/>
      <c r="T25" s="1559" t="s">
        <v>40</v>
      </c>
      <c r="U25" s="1559"/>
      <c r="V25" s="1792"/>
      <c r="W25" s="1559" t="s">
        <v>222</v>
      </c>
      <c r="X25" s="1559"/>
      <c r="Y25" s="1560"/>
      <c r="AQ25" s="156" t="s">
        <v>2745</v>
      </c>
      <c r="AR25" s="95" cm="1">
        <f t="array" aca="1" ref="AR25" ca="1">INDIRECT(AQ25)</f>
        <v>0</v>
      </c>
      <c r="AS25" s="586"/>
      <c r="AT25" s="586">
        <f t="shared" ca="1" si="2"/>
        <v>0</v>
      </c>
      <c r="AU25" s="156" t="str">
        <f t="array" aca="1" ref="AU25" ca="1">IF(OR(AND(AS23:AT23=""),NOT(OR(AR23=AS23:AT23))),"Error","")</f>
        <v/>
      </c>
    </row>
    <row r="26" spans="2:47" ht="15" customHeight="1">
      <c r="B26" s="152"/>
      <c r="C26" s="160"/>
      <c r="D26" s="160"/>
      <c r="E26" s="1800" t="s">
        <v>2764</v>
      </c>
      <c r="F26" s="1800"/>
      <c r="G26" s="1800"/>
      <c r="H26" s="1800"/>
      <c r="I26" s="1800"/>
      <c r="J26" s="1800"/>
      <c r="K26" s="1800"/>
      <c r="L26" s="1800"/>
      <c r="M26" s="1800"/>
      <c r="N26" s="1800"/>
      <c r="O26" s="1800"/>
      <c r="P26" s="1806"/>
      <c r="Q26" s="1799">
        <f>COUNTIF($E$5:$Y$23,"D Green")</f>
        <v>0</v>
      </c>
      <c r="R26" s="1800"/>
      <c r="S26" s="1801"/>
      <c r="T26" s="1802">
        <f>Q26*1</f>
        <v>0</v>
      </c>
      <c r="U26" s="1802"/>
      <c r="V26" s="1803"/>
      <c r="W26" s="1804" t="str">
        <f>IF(COUNTBLANK(E4:Y22)&gt;0,"",Q26/$Q$34)</f>
        <v/>
      </c>
      <c r="X26" s="1804"/>
      <c r="Y26" s="1805"/>
      <c r="AL26" s="676"/>
      <c r="AQ26" s="156" t="s">
        <v>2746</v>
      </c>
      <c r="AR26" s="95" cm="1">
        <f t="array" aca="1" ref="AR26" ca="1">INDIRECT(AQ26)</f>
        <v>0</v>
      </c>
      <c r="AS26" s="586"/>
      <c r="AT26" s="586">
        <f t="shared" ca="1" si="2"/>
        <v>0</v>
      </c>
      <c r="AU26" s="156" t="str">
        <f t="array" aca="1" ref="AU26" ca="1">IF(OR(AND(AS24:AT24=""),NOT(OR(AR24=AS24:AT24))),"Error","")</f>
        <v/>
      </c>
    </row>
    <row r="27" spans="2:47" ht="15" customHeight="1">
      <c r="B27" s="1796"/>
      <c r="C27" s="1797"/>
      <c r="D27" s="1797"/>
      <c r="E27" s="1256" t="s">
        <v>150</v>
      </c>
      <c r="F27" s="1256"/>
      <c r="G27" s="1256"/>
      <c r="H27" s="1256"/>
      <c r="I27" s="1256"/>
      <c r="J27" s="1256"/>
      <c r="K27" s="1256"/>
      <c r="L27" s="1256"/>
      <c r="M27" s="1256"/>
      <c r="N27" s="1256"/>
      <c r="O27" s="1256"/>
      <c r="P27" s="1798"/>
      <c r="Q27" s="1799">
        <f>COUNTIF($E$5:$Y$23,"Green")</f>
        <v>0</v>
      </c>
      <c r="R27" s="1800"/>
      <c r="S27" s="1801"/>
      <c r="T27" s="1802">
        <f>Q27*1</f>
        <v>0</v>
      </c>
      <c r="U27" s="1802"/>
      <c r="V27" s="1803"/>
      <c r="W27" s="1804" t="str">
        <f>IF(COUNTBLANK(E5:Y23)&gt;0,"",Q27/$Q$34)</f>
        <v/>
      </c>
      <c r="X27" s="1804"/>
      <c r="Y27" s="1805"/>
      <c r="AA27" s="770"/>
      <c r="AB27" s="770"/>
      <c r="AC27" s="770"/>
      <c r="AD27" s="770"/>
      <c r="AE27" s="770"/>
      <c r="AF27" s="770"/>
      <c r="AG27" s="770"/>
      <c r="AH27" s="770"/>
      <c r="AJ27" s="676"/>
      <c r="AL27" s="750"/>
      <c r="AQ27" s="156" t="s">
        <v>2747</v>
      </c>
      <c r="AR27" s="95" cm="1">
        <f t="array" aca="1" ref="AR27" ca="1">INDIRECT(AQ27)</f>
        <v>0</v>
      </c>
      <c r="AS27" s="586"/>
      <c r="AT27" s="586">
        <f t="shared" ca="1" si="2"/>
        <v>0</v>
      </c>
      <c r="AU27" s="156" t="str">
        <f t="array" aca="1" ref="AU27" ca="1">IF(OR(AND(AS25:AT25=""),NOT(OR(AR25=AS25:AT25))),"Error","")</f>
        <v/>
      </c>
    </row>
    <row r="28" spans="2:47" ht="15" customHeight="1">
      <c r="B28" s="1796"/>
      <c r="C28" s="1797"/>
      <c r="D28" s="1797"/>
      <c r="E28" s="1256" t="s">
        <v>149</v>
      </c>
      <c r="F28" s="1256"/>
      <c r="G28" s="1256"/>
      <c r="H28" s="1256"/>
      <c r="I28" s="1256"/>
      <c r="J28" s="1256"/>
      <c r="K28" s="1256"/>
      <c r="L28" s="1256"/>
      <c r="M28" s="1256"/>
      <c r="N28" s="1256"/>
      <c r="O28" s="1256"/>
      <c r="P28" s="1798"/>
      <c r="Q28" s="1799">
        <f>COUNTIF($E$5:$Y$23,"Yellow")</f>
        <v>0</v>
      </c>
      <c r="R28" s="1800"/>
      <c r="S28" s="1801"/>
      <c r="T28" s="1802">
        <f>Q28*0.75</f>
        <v>0</v>
      </c>
      <c r="U28" s="1802"/>
      <c r="V28" s="1803"/>
      <c r="W28" s="1804" t="str">
        <f>IF(COUNTBLANK(E5:Y23)&gt;0,"",Q28/$Q$34)</f>
        <v/>
      </c>
      <c r="X28" s="1804"/>
      <c r="Y28" s="1805"/>
      <c r="AA28" s="770"/>
      <c r="AB28" s="770"/>
      <c r="AC28" s="770"/>
      <c r="AD28" s="770"/>
      <c r="AE28" s="770"/>
      <c r="AF28" s="770"/>
      <c r="AG28" s="770"/>
      <c r="AH28" s="770"/>
      <c r="AJ28" s="676"/>
      <c r="AL28" s="750"/>
      <c r="AQ28" s="156" t="s">
        <v>2748</v>
      </c>
      <c r="AR28" s="95" cm="1">
        <f t="array" aca="1" ref="AR28" ca="1">INDIRECT(AQ28)</f>
        <v>0</v>
      </c>
      <c r="AS28" s="586"/>
      <c r="AT28" s="586">
        <f t="shared" ca="1" si="2"/>
        <v>0</v>
      </c>
      <c r="AU28" s="156" t="str">
        <f t="array" aca="1" ref="AU28" ca="1">IF(OR(AND(AS26:AT26=""),NOT(OR(AR26=AS26:AT26))),"Error","")</f>
        <v/>
      </c>
    </row>
    <row r="29" spans="2:47" ht="15" customHeight="1">
      <c r="B29" s="1796"/>
      <c r="C29" s="1797"/>
      <c r="D29" s="1797"/>
      <c r="E29" s="1256" t="s">
        <v>148</v>
      </c>
      <c r="F29" s="1256"/>
      <c r="G29" s="1256"/>
      <c r="H29" s="1256"/>
      <c r="I29" s="1256"/>
      <c r="J29" s="1256"/>
      <c r="K29" s="1256"/>
      <c r="L29" s="1256"/>
      <c r="M29" s="1256"/>
      <c r="N29" s="1256"/>
      <c r="O29" s="1256"/>
      <c r="P29" s="1798"/>
      <c r="Q29" s="1799">
        <f>COUNTIF($E$5:$Y$23,"Orange")</f>
        <v>0</v>
      </c>
      <c r="R29" s="1800"/>
      <c r="S29" s="1801"/>
      <c r="T29" s="1802">
        <f>Q29*0.5</f>
        <v>0</v>
      </c>
      <c r="U29" s="1802"/>
      <c r="V29" s="1803"/>
      <c r="W29" s="1804" t="str">
        <f>IF(COUNTBLANK(E5:Y23)&gt;0,"",Q29/$Q$34)</f>
        <v/>
      </c>
      <c r="X29" s="1804"/>
      <c r="Y29" s="1805"/>
      <c r="AA29" s="770"/>
      <c r="AB29" s="770"/>
      <c r="AC29" s="770"/>
      <c r="AD29" s="770"/>
      <c r="AE29" s="770"/>
      <c r="AF29" s="770"/>
      <c r="AG29" s="770"/>
      <c r="AH29" s="770"/>
      <c r="AJ29" s="676"/>
      <c r="AL29" s="750"/>
      <c r="AQ29" s="156" t="s">
        <v>2749</v>
      </c>
      <c r="AR29" s="95" cm="1">
        <f t="array" aca="1" ref="AR29" ca="1">INDIRECT(AQ29)</f>
        <v>0</v>
      </c>
      <c r="AS29" s="586"/>
      <c r="AT29" s="586">
        <f t="shared" ca="1" si="2"/>
        <v>0</v>
      </c>
      <c r="AU29" s="156" t="str">
        <f t="array" aca="1" ref="AU29" ca="1">IF(OR(AND(AS27:AT27=""),NOT(OR(AR27=AS27:AT27))),"Error","")</f>
        <v/>
      </c>
    </row>
    <row r="30" spans="2:47" ht="15" customHeight="1">
      <c r="B30" s="1796"/>
      <c r="C30" s="1797"/>
      <c r="D30" s="1797"/>
      <c r="E30" s="1256" t="s">
        <v>147</v>
      </c>
      <c r="F30" s="1256"/>
      <c r="G30" s="1256"/>
      <c r="H30" s="1256"/>
      <c r="I30" s="1256"/>
      <c r="J30" s="1256"/>
      <c r="K30" s="1256"/>
      <c r="L30" s="1256"/>
      <c r="M30" s="1256"/>
      <c r="N30" s="1256"/>
      <c r="O30" s="1256"/>
      <c r="P30" s="1798"/>
      <c r="Q30" s="1799">
        <f>COUNTIF($E$5:$Y$23,"Brown")</f>
        <v>0</v>
      </c>
      <c r="R30" s="1800"/>
      <c r="S30" s="1801"/>
      <c r="T30" s="1802">
        <f>Q30*0.25</f>
        <v>0</v>
      </c>
      <c r="U30" s="1802"/>
      <c r="V30" s="1803"/>
      <c r="W30" s="1804" t="str">
        <f>IF(COUNTBLANK(E5:Y23)&gt;0,"",Q30/$Q$34)</f>
        <v/>
      </c>
      <c r="X30" s="1804"/>
      <c r="Y30" s="1805"/>
      <c r="AA30" s="770"/>
      <c r="AB30" s="770"/>
      <c r="AC30" s="770"/>
      <c r="AD30" s="770"/>
      <c r="AE30" s="770"/>
      <c r="AF30" s="770"/>
      <c r="AG30" s="770"/>
      <c r="AH30" s="770"/>
      <c r="AJ30" s="676"/>
      <c r="AL30" s="750"/>
      <c r="AQ30" s="156" t="s">
        <v>2750</v>
      </c>
      <c r="AR30" s="95" cm="1">
        <f t="array" aca="1" ref="AR30" ca="1">INDIRECT(AQ30)</f>
        <v>0</v>
      </c>
      <c r="AS30" s="586"/>
      <c r="AT30" s="586">
        <f t="shared" ca="1" si="2"/>
        <v>0</v>
      </c>
      <c r="AU30" s="156" t="str">
        <f t="array" aca="1" ref="AU30" ca="1">IF(OR(AND(AS28:AT28=""),NOT(OR(AR28=AS28:AT28))),"Error","")</f>
        <v/>
      </c>
    </row>
    <row r="31" spans="2:47" ht="15" customHeight="1">
      <c r="B31" s="1796"/>
      <c r="C31" s="1797"/>
      <c r="D31" s="1797"/>
      <c r="E31" s="1256" t="s">
        <v>146</v>
      </c>
      <c r="F31" s="1256"/>
      <c r="G31" s="1256"/>
      <c r="H31" s="1256"/>
      <c r="I31" s="1256"/>
      <c r="J31" s="1256"/>
      <c r="K31" s="1256"/>
      <c r="L31" s="1256"/>
      <c r="M31" s="1256"/>
      <c r="N31" s="1256"/>
      <c r="O31" s="1256"/>
      <c r="P31" s="1798"/>
      <c r="Q31" s="1799">
        <f>COUNTIF($E$5:$Y$23,"Red")</f>
        <v>0</v>
      </c>
      <c r="R31" s="1800"/>
      <c r="S31" s="1801"/>
      <c r="T31" s="1802">
        <f>Q31*0</f>
        <v>0</v>
      </c>
      <c r="U31" s="1802"/>
      <c r="V31" s="1803"/>
      <c r="W31" s="1804" t="str">
        <f>IF(COUNTBLANK(E5:Y23)&gt;0,"",Q31/$Q$34)</f>
        <v/>
      </c>
      <c r="X31" s="1804"/>
      <c r="Y31" s="1805"/>
      <c r="AA31" s="770"/>
      <c r="AB31" s="770"/>
      <c r="AC31" s="770"/>
      <c r="AD31" s="770"/>
      <c r="AE31" s="770"/>
      <c r="AF31" s="770"/>
      <c r="AG31" s="770"/>
      <c r="AH31" s="770"/>
      <c r="AJ31" s="676"/>
      <c r="AL31" s="750"/>
      <c r="AQ31" s="156" t="s">
        <v>2751</v>
      </c>
      <c r="AR31" s="95" cm="1">
        <f t="array" aca="1" ref="AR31" ca="1">INDIRECT(AQ31)</f>
        <v>0</v>
      </c>
      <c r="AS31" s="586"/>
      <c r="AT31" s="586">
        <f t="shared" ca="1" si="2"/>
        <v>0</v>
      </c>
      <c r="AU31" s="156" t="str">
        <f t="array" aca="1" ref="AU31" ca="1">IF(OR(AND(AS29:AT29=""),NOT(OR(AR29=AS29:AT29))),"Error","")</f>
        <v/>
      </c>
    </row>
    <row r="32" spans="2:47" ht="15" customHeight="1">
      <c r="B32" s="1796"/>
      <c r="C32" s="1797"/>
      <c r="D32" s="1797"/>
      <c r="E32" s="1256" t="s">
        <v>223</v>
      </c>
      <c r="F32" s="1256"/>
      <c r="G32" s="1256"/>
      <c r="H32" s="1256"/>
      <c r="I32" s="1256"/>
      <c r="J32" s="1256"/>
      <c r="K32" s="1256"/>
      <c r="L32" s="1256"/>
      <c r="M32" s="1256"/>
      <c r="N32" s="1256"/>
      <c r="O32" s="1256"/>
      <c r="P32" s="1798"/>
      <c r="Q32" s="1799">
        <f>COUNTIF($E$5:$Y$23,"D Red")</f>
        <v>0</v>
      </c>
      <c r="R32" s="1800"/>
      <c r="S32" s="1801"/>
      <c r="T32" s="1802">
        <f>Q32*0</f>
        <v>0</v>
      </c>
      <c r="U32" s="1802"/>
      <c r="V32" s="1803"/>
      <c r="W32" s="1804" t="str">
        <f>IF(COUNTBLANK(E5:Y23)&gt;0,"",Q32/$Q$34)</f>
        <v/>
      </c>
      <c r="X32" s="1804"/>
      <c r="Y32" s="1805"/>
      <c r="AA32" s="770"/>
      <c r="AB32" s="770"/>
      <c r="AC32" s="770"/>
      <c r="AD32" s="770"/>
      <c r="AE32" s="770"/>
      <c r="AF32" s="770"/>
      <c r="AG32" s="770"/>
      <c r="AH32" s="770"/>
      <c r="AJ32" s="676"/>
      <c r="AL32" s="750"/>
      <c r="AQ32" s="156" t="s">
        <v>2752</v>
      </c>
      <c r="AR32" s="95" cm="1">
        <f t="array" aca="1" ref="AR32" ca="1">INDIRECT(AQ32)</f>
        <v>0</v>
      </c>
      <c r="AS32" s="586">
        <f ca="1">AR32</f>
        <v>0</v>
      </c>
      <c r="AT32" s="586"/>
      <c r="AU32" s="156" t="str">
        <f t="array" aca="1" ref="AU32" ca="1">IF(OR(AND(AS30:AT30=""),NOT(OR(AR30=AS30:AT30))),"Error","")</f>
        <v/>
      </c>
    </row>
    <row r="33" spans="2:47" ht="15" customHeight="1" thickBot="1">
      <c r="B33" s="1796"/>
      <c r="C33" s="1797"/>
      <c r="D33" s="1797"/>
      <c r="E33" s="1259" t="s">
        <v>151</v>
      </c>
      <c r="F33" s="1259"/>
      <c r="G33" s="1259"/>
      <c r="H33" s="1259"/>
      <c r="I33" s="1259"/>
      <c r="J33" s="1259"/>
      <c r="K33" s="1259"/>
      <c r="L33" s="1259"/>
      <c r="M33" s="1259"/>
      <c r="N33" s="1259"/>
      <c r="O33" s="1259"/>
      <c r="P33" s="1807"/>
      <c r="Q33" s="1799">
        <f>COUNTIF($E$5:$Y$23,"Blue")</f>
        <v>0</v>
      </c>
      <c r="R33" s="1800"/>
      <c r="S33" s="1801"/>
      <c r="T33" s="1802"/>
      <c r="U33" s="1802"/>
      <c r="V33" s="1803"/>
      <c r="W33" s="1804" t="str">
        <f>IF(COUNTBLANK(E5:Y23)&gt;0,"",Q33/$Q$34)</f>
        <v/>
      </c>
      <c r="X33" s="1804"/>
      <c r="Y33" s="1805"/>
      <c r="AJ33" s="676"/>
      <c r="AL33" s="750"/>
      <c r="AQ33" s="156" t="s">
        <v>2753</v>
      </c>
      <c r="AR33" s="95" cm="1">
        <f t="array" aca="1" ref="AR33" ca="1">INDIRECT(AQ33)</f>
        <v>0</v>
      </c>
      <c r="AS33" s="586">
        <f ca="1">AR33</f>
        <v>0</v>
      </c>
      <c r="AT33" s="586"/>
      <c r="AU33" s="156" t="str">
        <f t="array" aca="1" ref="AU33" ca="1">IF(OR(AND(AS31:AT31=""),NOT(OR(AR31=AS31:AT31))),"Error","")</f>
        <v/>
      </c>
    </row>
    <row r="34" spans="2:47" ht="15" customHeight="1" thickBot="1">
      <c r="B34" s="1808" t="s">
        <v>224</v>
      </c>
      <c r="C34" s="1809"/>
      <c r="D34" s="1809"/>
      <c r="E34" s="1809"/>
      <c r="F34" s="1809"/>
      <c r="G34" s="1809"/>
      <c r="H34" s="1809"/>
      <c r="I34" s="1809"/>
      <c r="J34" s="1809"/>
      <c r="K34" s="1809"/>
      <c r="L34" s="1809"/>
      <c r="M34" s="1809"/>
      <c r="N34" s="1809"/>
      <c r="O34" s="1809"/>
      <c r="P34" s="1810"/>
      <c r="Q34" s="1811">
        <f>SUM(Q26:S33)</f>
        <v>0</v>
      </c>
      <c r="R34" s="1811"/>
      <c r="S34" s="1812"/>
      <c r="T34" s="1813">
        <f>SUM(T26:V32)</f>
        <v>0</v>
      </c>
      <c r="U34" s="1813"/>
      <c r="V34" s="1814"/>
      <c r="W34" s="1815">
        <f>SUM(W26:Y33)</f>
        <v>0</v>
      </c>
      <c r="X34" s="1816"/>
      <c r="Y34" s="1817"/>
      <c r="AQ34" s="156" t="s">
        <v>2754</v>
      </c>
      <c r="AR34" s="95" cm="1">
        <f t="array" aca="1" ref="AR34" ca="1">INDIRECT(AQ34)</f>
        <v>0</v>
      </c>
      <c r="AS34" s="586">
        <f ca="1">AR34</f>
        <v>0</v>
      </c>
      <c r="AT34" s="586"/>
      <c r="AU34" s="156" t="str">
        <f t="array" aca="1" ref="AU34" ca="1">IF(OR(AND(AS32:AT32=""),NOT(OR(AR32=AS32:AT32))),"Error","")</f>
        <v/>
      </c>
    </row>
    <row r="35" spans="2:47" ht="15" customHeight="1" thickBot="1">
      <c r="AL35" s="676"/>
      <c r="AQ35" s="156" t="s">
        <v>2755</v>
      </c>
      <c r="AR35" s="95" cm="1">
        <f t="array" aca="1" ref="AR35" ca="1">INDIRECT(AQ35)</f>
        <v>0</v>
      </c>
      <c r="AS35" s="586">
        <f ca="1">AR35</f>
        <v>0</v>
      </c>
      <c r="AT35" s="586"/>
      <c r="AU35" s="156" t="str">
        <f t="array" aca="1" ref="AU35" ca="1">IF(OR(AND(AS33:AT33=""),NOT(OR(AR33=AS33:AT33))),"Error","")</f>
        <v/>
      </c>
    </row>
    <row r="36" spans="2:47" ht="15" customHeight="1" thickBot="1">
      <c r="B36" s="1818" t="s">
        <v>225</v>
      </c>
      <c r="C36" s="1819"/>
      <c r="D36" s="1819"/>
      <c r="E36" s="1819"/>
      <c r="F36" s="1819"/>
      <c r="G36" s="1819"/>
      <c r="H36" s="1819"/>
      <c r="I36" s="1819"/>
      <c r="J36" s="1819"/>
      <c r="K36" s="1819"/>
      <c r="L36" s="1819"/>
      <c r="M36" s="1819"/>
      <c r="N36" s="1819"/>
      <c r="O36" s="1819"/>
      <c r="P36" s="1819"/>
      <c r="Q36" s="1819"/>
      <c r="R36" s="1819"/>
      <c r="S36" s="1819"/>
      <c r="T36" s="1819"/>
      <c r="U36" s="1819"/>
      <c r="V36" s="1819"/>
      <c r="W36" s="1819"/>
      <c r="X36" s="1819"/>
      <c r="Y36" s="1820"/>
      <c r="AJ36" s="676"/>
      <c r="AL36" s="750"/>
      <c r="AQ36" s="156" t="s">
        <v>2756</v>
      </c>
      <c r="AR36" s="95" cm="1">
        <f t="array" aca="1" ref="AR36" ca="1">INDIRECT(AQ36)</f>
        <v>0</v>
      </c>
      <c r="AS36" s="586"/>
      <c r="AT36" s="586">
        <f t="shared" ca="1" si="2"/>
        <v>0</v>
      </c>
      <c r="AU36" s="156" t="str">
        <f t="array" aca="1" ref="AU36" ca="1">IF(OR(AND(AS34:AT34=""),NOT(OR(AR34=AS34:AT34))),"Error","")</f>
        <v/>
      </c>
    </row>
    <row r="37" spans="2:47" ht="15" customHeight="1">
      <c r="B37" s="1821" t="s">
        <v>226</v>
      </c>
      <c r="C37" s="1822"/>
      <c r="D37" s="1822" t="s">
        <v>227</v>
      </c>
      <c r="E37" s="1822"/>
      <c r="F37" s="1822"/>
      <c r="G37" s="1822" t="s">
        <v>99</v>
      </c>
      <c r="H37" s="1822"/>
      <c r="I37" s="1822"/>
      <c r="J37" s="1822" t="s">
        <v>40</v>
      </c>
      <c r="K37" s="1822"/>
      <c r="L37" s="1822"/>
      <c r="M37" s="119"/>
      <c r="N37" s="1822" t="s">
        <v>226</v>
      </c>
      <c r="O37" s="1822"/>
      <c r="P37" s="1822"/>
      <c r="Q37" s="1822" t="s">
        <v>227</v>
      </c>
      <c r="R37" s="1822"/>
      <c r="S37" s="1822"/>
      <c r="T37" s="1822" t="s">
        <v>99</v>
      </c>
      <c r="U37" s="1822"/>
      <c r="V37" s="1822"/>
      <c r="W37" s="1822" t="s">
        <v>40</v>
      </c>
      <c r="X37" s="1822"/>
      <c r="Y37" s="1823"/>
      <c r="AJ37" s="676"/>
      <c r="AL37" s="750"/>
      <c r="AQ37" s="156" t="s">
        <v>2757</v>
      </c>
      <c r="AR37" s="95" cm="1">
        <f t="array" aca="1" ref="AR37" ca="1">INDIRECT(AQ37)</f>
        <v>0</v>
      </c>
      <c r="AS37" s="586"/>
      <c r="AT37" s="586">
        <f t="shared" ca="1" si="2"/>
        <v>0</v>
      </c>
      <c r="AU37" s="156" t="str">
        <f t="array" aca="1" ref="AU37" ca="1">IF(OR(AND(AS35:AT35=""),NOT(OR(AR35=AS35:AT35))),"Error","")</f>
        <v/>
      </c>
    </row>
    <row r="38" spans="2:47" ht="15" customHeight="1">
      <c r="B38" s="1824"/>
      <c r="C38" s="1825"/>
      <c r="D38" s="1826"/>
      <c r="E38" s="1826"/>
      <c r="F38" s="1826"/>
      <c r="G38" s="1827"/>
      <c r="H38" s="1827"/>
      <c r="I38" s="1827"/>
      <c r="J38" s="1828" t="str">
        <f>IF(G38="","",actual_score(G38,D38))</f>
        <v/>
      </c>
      <c r="K38" s="1828"/>
      <c r="L38" s="1828"/>
      <c r="M38" s="120"/>
      <c r="N38" s="1829"/>
      <c r="O38" s="1829"/>
      <c r="P38" s="1829"/>
      <c r="Q38" s="1829"/>
      <c r="R38" s="1829"/>
      <c r="S38" s="1829"/>
      <c r="T38" s="1830"/>
      <c r="U38" s="1830"/>
      <c r="V38" s="1830"/>
      <c r="W38" s="1828" t="str">
        <f t="shared" ref="W38:W47" si="3">IF(T38="","",actual_score(T38,Q38))</f>
        <v/>
      </c>
      <c r="X38" s="1828"/>
      <c r="Y38" s="1831"/>
      <c r="AJ38" s="676"/>
      <c r="AL38" s="750"/>
      <c r="AQ38" s="156" t="s">
        <v>2758</v>
      </c>
      <c r="AR38" s="95" cm="1">
        <f t="array" aca="1" ref="AR38" ca="1">INDIRECT(AQ38)</f>
        <v>0</v>
      </c>
      <c r="AS38" s="586"/>
      <c r="AT38" s="586">
        <f t="shared" ca="1" si="2"/>
        <v>0</v>
      </c>
      <c r="AU38" s="156" t="str">
        <f t="array" aca="1" ref="AU38" ca="1">IF(OR(AND(AS36:AT36=""),NOT(OR(AR36=AS36:AT36))),"Error","")</f>
        <v/>
      </c>
    </row>
    <row r="39" spans="2:47" ht="15" customHeight="1">
      <c r="B39" s="1824"/>
      <c r="C39" s="1825"/>
      <c r="D39" s="1826"/>
      <c r="E39" s="1826"/>
      <c r="F39" s="1826"/>
      <c r="G39" s="1827"/>
      <c r="H39" s="1827"/>
      <c r="I39" s="1827"/>
      <c r="J39" s="1828" t="str">
        <f t="shared" ref="J39:J47" si="4">IF(G39="","",actual_score(G39,D39))</f>
        <v/>
      </c>
      <c r="K39" s="1828"/>
      <c r="L39" s="1828"/>
      <c r="M39" s="120"/>
      <c r="N39" s="1829"/>
      <c r="O39" s="1829"/>
      <c r="P39" s="1829"/>
      <c r="Q39" s="1829"/>
      <c r="R39" s="1829"/>
      <c r="S39" s="1829"/>
      <c r="T39" s="1830"/>
      <c r="U39" s="1830"/>
      <c r="V39" s="1830"/>
      <c r="W39" s="1828" t="str">
        <f t="shared" si="3"/>
        <v/>
      </c>
      <c r="X39" s="1828"/>
      <c r="Y39" s="1831"/>
      <c r="AJ39" s="676"/>
      <c r="AL39" s="750"/>
      <c r="AQ39" s="156" t="s">
        <v>2759</v>
      </c>
      <c r="AR39" s="95" cm="1">
        <f t="array" aca="1" ref="AR39" ca="1">INDIRECT(AQ39)</f>
        <v>0</v>
      </c>
      <c r="AS39" s="586"/>
      <c r="AT39" s="586">
        <f t="shared" ca="1" si="2"/>
        <v>0</v>
      </c>
      <c r="AU39" s="156" t="str">
        <f t="array" aca="1" ref="AU39" ca="1">IF(OR(AND(AS37:AT37=""),NOT(OR(AR37=AS37:AT37))),"Error","")</f>
        <v/>
      </c>
    </row>
    <row r="40" spans="2:47" ht="15" customHeight="1">
      <c r="B40" s="1824"/>
      <c r="C40" s="1825"/>
      <c r="D40" s="1826"/>
      <c r="E40" s="1826"/>
      <c r="F40" s="1826"/>
      <c r="G40" s="1827"/>
      <c r="H40" s="1827"/>
      <c r="I40" s="1827"/>
      <c r="J40" s="1828" t="str">
        <f t="shared" si="4"/>
        <v/>
      </c>
      <c r="K40" s="1828"/>
      <c r="L40" s="1828"/>
      <c r="M40" s="120"/>
      <c r="N40" s="1832"/>
      <c r="O40" s="1832"/>
      <c r="P40" s="1832"/>
      <c r="Q40" s="1832"/>
      <c r="R40" s="1832"/>
      <c r="S40" s="1832"/>
      <c r="T40" s="1833"/>
      <c r="U40" s="1833"/>
      <c r="V40" s="1833"/>
      <c r="W40" s="1828" t="str">
        <f t="shared" si="3"/>
        <v/>
      </c>
      <c r="X40" s="1828"/>
      <c r="Y40" s="1831"/>
      <c r="AJ40" s="676"/>
      <c r="AL40" s="750"/>
      <c r="AQ40" s="156" t="s">
        <v>2760</v>
      </c>
      <c r="AR40" s="95" cm="1">
        <f t="array" aca="1" ref="AR40" ca="1">INDIRECT(AQ40)</f>
        <v>0</v>
      </c>
      <c r="AS40" s="586"/>
      <c r="AT40" s="586">
        <f t="shared" ca="1" si="2"/>
        <v>0</v>
      </c>
      <c r="AU40" s="156" t="str">
        <f t="array" aca="1" ref="AU40" ca="1">IF(OR(AND(AS38:AT38=""),NOT(OR(AR38=AS38:AT38))),"Error","")</f>
        <v/>
      </c>
    </row>
    <row r="41" spans="2:47" ht="15" customHeight="1">
      <c r="B41" s="1824"/>
      <c r="C41" s="1825"/>
      <c r="D41" s="1826"/>
      <c r="E41" s="1826"/>
      <c r="F41" s="1826"/>
      <c r="G41" s="1827"/>
      <c r="H41" s="1827"/>
      <c r="I41" s="1827"/>
      <c r="J41" s="1828" t="str">
        <f t="shared" si="4"/>
        <v/>
      </c>
      <c r="K41" s="1828"/>
      <c r="L41" s="1828"/>
      <c r="M41" s="120"/>
      <c r="N41" s="1832"/>
      <c r="O41" s="1832"/>
      <c r="P41" s="1832"/>
      <c r="Q41" s="1832"/>
      <c r="R41" s="1832"/>
      <c r="S41" s="1832"/>
      <c r="T41" s="1833"/>
      <c r="U41" s="1833"/>
      <c r="V41" s="1833"/>
      <c r="W41" s="1828" t="str">
        <f t="shared" si="3"/>
        <v/>
      </c>
      <c r="X41" s="1828"/>
      <c r="Y41" s="1831"/>
      <c r="AJ41" s="676"/>
      <c r="AL41" s="750"/>
      <c r="AQ41" s="156" t="s">
        <v>2761</v>
      </c>
      <c r="AR41" s="95" cm="1">
        <f t="array" aca="1" ref="AR41" ca="1">INDIRECT(AQ41)</f>
        <v>0</v>
      </c>
      <c r="AS41" s="586"/>
      <c r="AT41" s="586">
        <f t="shared" ca="1" si="2"/>
        <v>0</v>
      </c>
      <c r="AU41" s="156" t="str">
        <f t="array" aca="1" ref="AU41" ca="1">IF(OR(AND(AS39:AT39=""),NOT(OR(AR39=AS39:AT39))),"Error","")</f>
        <v/>
      </c>
    </row>
    <row r="42" spans="2:47" ht="15" customHeight="1">
      <c r="B42" s="1824"/>
      <c r="C42" s="1825"/>
      <c r="D42" s="1826"/>
      <c r="E42" s="1826"/>
      <c r="F42" s="1826"/>
      <c r="G42" s="1827"/>
      <c r="H42" s="1827"/>
      <c r="I42" s="1827"/>
      <c r="J42" s="1828" t="str">
        <f t="shared" si="4"/>
        <v/>
      </c>
      <c r="K42" s="1828"/>
      <c r="L42" s="1828"/>
      <c r="M42" s="120"/>
      <c r="N42" s="1832"/>
      <c r="O42" s="1832"/>
      <c r="P42" s="1832"/>
      <c r="Q42" s="1832"/>
      <c r="R42" s="1832"/>
      <c r="S42" s="1832"/>
      <c r="T42" s="1833"/>
      <c r="U42" s="1833"/>
      <c r="V42" s="1833"/>
      <c r="W42" s="1828" t="str">
        <f t="shared" si="3"/>
        <v/>
      </c>
      <c r="X42" s="1828"/>
      <c r="Y42" s="1831"/>
      <c r="AJ42" s="676"/>
      <c r="AL42" s="750"/>
      <c r="AQ42" s="156" t="s">
        <v>2762</v>
      </c>
      <c r="AR42" s="95" cm="1">
        <f t="array" aca="1" ref="AR42" ca="1">INDIRECT(AQ42)</f>
        <v>0</v>
      </c>
      <c r="AS42" s="586"/>
      <c r="AT42" s="586">
        <f t="shared" ca="1" si="2"/>
        <v>0</v>
      </c>
      <c r="AU42" s="156" t="str">
        <f t="array" aca="1" ref="AU42" ca="1">IF(OR(AND(AS40:AT40=""),NOT(OR(AR40=AS40:AT40))),"Error","")</f>
        <v/>
      </c>
    </row>
    <row r="43" spans="2:47" ht="15" customHeight="1">
      <c r="B43" s="1824"/>
      <c r="C43" s="1825"/>
      <c r="D43" s="1826"/>
      <c r="E43" s="1826"/>
      <c r="F43" s="1826"/>
      <c r="G43" s="1827"/>
      <c r="H43" s="1827"/>
      <c r="I43" s="1827"/>
      <c r="J43" s="1828" t="str">
        <f t="shared" si="4"/>
        <v/>
      </c>
      <c r="K43" s="1828"/>
      <c r="L43" s="1828"/>
      <c r="M43" s="120"/>
      <c r="N43" s="1832"/>
      <c r="O43" s="1832"/>
      <c r="P43" s="1832"/>
      <c r="Q43" s="1832"/>
      <c r="R43" s="1832"/>
      <c r="S43" s="1832"/>
      <c r="T43" s="1833"/>
      <c r="U43" s="1833"/>
      <c r="V43" s="1833"/>
      <c r="W43" s="1828" t="str">
        <f t="shared" si="3"/>
        <v/>
      </c>
      <c r="X43" s="1828"/>
      <c r="Y43" s="1831"/>
      <c r="AQ43" s="156" t="s">
        <v>2763</v>
      </c>
      <c r="AR43" s="95" cm="1">
        <f t="array" aca="1" ref="AR43" ca="1">INDIRECT(AQ43)</f>
        <v>0</v>
      </c>
      <c r="AS43" s="586"/>
      <c r="AT43" s="586">
        <f t="shared" ca="1" si="2"/>
        <v>0</v>
      </c>
      <c r="AU43" s="156" t="str">
        <f t="array" aca="1" ref="AU43" ca="1">IF(OR(AND(AS41:AT41=""),NOT(OR(AR41=AS41:AT41))),"Error","")</f>
        <v/>
      </c>
    </row>
    <row r="44" spans="2:47" ht="15" customHeight="1">
      <c r="B44" s="1824"/>
      <c r="C44" s="1825"/>
      <c r="D44" s="1826"/>
      <c r="E44" s="1826"/>
      <c r="F44" s="1826"/>
      <c r="G44" s="1827"/>
      <c r="H44" s="1827"/>
      <c r="I44" s="1827"/>
      <c r="J44" s="1828" t="str">
        <f t="shared" si="4"/>
        <v/>
      </c>
      <c r="K44" s="1828"/>
      <c r="L44" s="1828"/>
      <c r="M44" s="120"/>
      <c r="N44" s="1832"/>
      <c r="O44" s="1832"/>
      <c r="P44" s="1832"/>
      <c r="Q44" s="1832"/>
      <c r="R44" s="1832"/>
      <c r="S44" s="1832"/>
      <c r="T44" s="1833"/>
      <c r="U44" s="1833"/>
      <c r="V44" s="1833"/>
      <c r="W44" s="1828" t="str">
        <f t="shared" si="3"/>
        <v/>
      </c>
      <c r="X44" s="1828"/>
      <c r="Y44" s="1831"/>
      <c r="AL44" s="676"/>
      <c r="AU44" s="156" t="str">
        <f t="array" aca="1" ref="AU44" ca="1">IF(OR(AND(AS42:AT42=""),NOT(OR(AR42=AS42:AT42))),"Error","")</f>
        <v/>
      </c>
    </row>
    <row r="45" spans="2:47" ht="15" customHeight="1">
      <c r="B45" s="1824"/>
      <c r="C45" s="1825"/>
      <c r="D45" s="1826"/>
      <c r="E45" s="1826"/>
      <c r="F45" s="1826"/>
      <c r="G45" s="1827"/>
      <c r="H45" s="1827"/>
      <c r="I45" s="1827"/>
      <c r="J45" s="1828" t="str">
        <f t="shared" si="4"/>
        <v/>
      </c>
      <c r="K45" s="1828"/>
      <c r="L45" s="1828"/>
      <c r="M45" s="120"/>
      <c r="N45" s="1832"/>
      <c r="O45" s="1832"/>
      <c r="P45" s="1832"/>
      <c r="Q45" s="1832"/>
      <c r="R45" s="1832"/>
      <c r="S45" s="1832"/>
      <c r="T45" s="1833"/>
      <c r="U45" s="1833"/>
      <c r="V45" s="1833"/>
      <c r="W45" s="1828" t="str">
        <f t="shared" si="3"/>
        <v/>
      </c>
      <c r="X45" s="1828"/>
      <c r="Y45" s="1831"/>
      <c r="AJ45" s="676"/>
      <c r="AL45" s="750"/>
      <c r="AU45" s="156" t="str">
        <f t="array" aca="1" ref="AU45" ca="1">IF(OR(AND(AS43:AT43=""),NOT(OR(AR43=AS43:AT43))),"Error","")</f>
        <v/>
      </c>
    </row>
    <row r="46" spans="2:47" ht="15" customHeight="1">
      <c r="B46" s="1824"/>
      <c r="C46" s="1825"/>
      <c r="D46" s="1826"/>
      <c r="E46" s="1826"/>
      <c r="F46" s="1826"/>
      <c r="G46" s="1827"/>
      <c r="H46" s="1827"/>
      <c r="I46" s="1827"/>
      <c r="J46" s="1828" t="str">
        <f t="shared" si="4"/>
        <v/>
      </c>
      <c r="K46" s="1828"/>
      <c r="L46" s="1828"/>
      <c r="M46" s="120"/>
      <c r="N46" s="1832"/>
      <c r="O46" s="1832"/>
      <c r="P46" s="1832"/>
      <c r="Q46" s="1832"/>
      <c r="R46" s="1832"/>
      <c r="S46" s="1832"/>
      <c r="T46" s="1833"/>
      <c r="U46" s="1833"/>
      <c r="V46" s="1833"/>
      <c r="W46" s="1828" t="str">
        <f t="shared" si="3"/>
        <v/>
      </c>
      <c r="X46" s="1828"/>
      <c r="Y46" s="1831"/>
      <c r="AJ46" s="676"/>
      <c r="AL46" s="750"/>
    </row>
    <row r="47" spans="2:47" ht="15" customHeight="1" thickBot="1">
      <c r="B47" s="1824"/>
      <c r="C47" s="1825"/>
      <c r="D47" s="1826"/>
      <c r="E47" s="1826"/>
      <c r="F47" s="1826"/>
      <c r="G47" s="1827"/>
      <c r="H47" s="1827"/>
      <c r="I47" s="1827"/>
      <c r="J47" s="1828" t="str">
        <f t="shared" si="4"/>
        <v/>
      </c>
      <c r="K47" s="1828"/>
      <c r="L47" s="1828"/>
      <c r="M47" s="120"/>
      <c r="N47" s="1832"/>
      <c r="O47" s="1832"/>
      <c r="P47" s="1832"/>
      <c r="Q47" s="1832"/>
      <c r="R47" s="1832"/>
      <c r="S47" s="1832"/>
      <c r="T47" s="1833"/>
      <c r="U47" s="1833"/>
      <c r="V47" s="1833"/>
      <c r="W47" s="1828" t="str">
        <f t="shared" si="3"/>
        <v/>
      </c>
      <c r="X47" s="1828"/>
      <c r="Y47" s="1831"/>
      <c r="AJ47" s="676"/>
      <c r="AL47" s="750"/>
    </row>
    <row r="48" spans="2:47" ht="15" customHeight="1" thickBot="1">
      <c r="B48" s="1834" t="s">
        <v>82</v>
      </c>
      <c r="C48" s="1835"/>
      <c r="D48" s="1836">
        <f>(COUNTIF(D38:F47,"Green")*1)+(COUNTIF(D38:F47,"Yellow")*0.75)+(COUNTIF(D38:F47,"Orange")*0.5)+(COUNTIF(D38:F47,"Brown")*0.25)</f>
        <v>0</v>
      </c>
      <c r="E48" s="1836"/>
      <c r="F48" s="1836"/>
      <c r="G48" s="1837"/>
      <c r="H48" s="1837"/>
      <c r="I48" s="1837"/>
      <c r="J48" s="1838">
        <f>SUM(J38:L47)</f>
        <v>0</v>
      </c>
      <c r="K48" s="1838"/>
      <c r="L48" s="1838"/>
      <c r="M48" s="121"/>
      <c r="N48" s="1839" t="s">
        <v>82</v>
      </c>
      <c r="O48" s="1840"/>
      <c r="P48" s="1835"/>
      <c r="Q48" s="1836">
        <f>(COUNTIF(Q38:S47,"Green")*1)+(COUNTIF(Q38:S47,"Yellow")*0.75)+(COUNTIF(Q38:S47,"Orange")*0.5)+(COUNTIF(Q38:S47,"Brown")*0.25)</f>
        <v>0</v>
      </c>
      <c r="R48" s="1836"/>
      <c r="S48" s="1836"/>
      <c r="T48" s="1837"/>
      <c r="U48" s="1837"/>
      <c r="V48" s="1837"/>
      <c r="W48" s="1838">
        <f>SUM(W38:Y47)</f>
        <v>0</v>
      </c>
      <c r="X48" s="1838"/>
      <c r="Y48" s="1841"/>
      <c r="AJ48" s="676"/>
      <c r="AL48" s="750"/>
    </row>
    <row r="49" spans="2:38" ht="15" customHeight="1" thickBot="1">
      <c r="AJ49" s="676"/>
      <c r="AL49" s="750"/>
    </row>
    <row r="50" spans="2:38" ht="15" customHeight="1" thickBot="1">
      <c r="B50" s="1387" t="s">
        <v>228</v>
      </c>
      <c r="C50" s="1655"/>
      <c r="D50" s="1655"/>
      <c r="E50" s="1655"/>
      <c r="F50" s="1655"/>
      <c r="G50" s="1655"/>
      <c r="H50" s="1655"/>
      <c r="I50" s="1655"/>
      <c r="J50" s="1655"/>
      <c r="K50" s="1655"/>
      <c r="L50" s="1655"/>
      <c r="M50" s="1655"/>
      <c r="N50" s="1655"/>
      <c r="O50" s="1655"/>
      <c r="P50" s="1655"/>
      <c r="Q50" s="1655"/>
      <c r="R50" s="1655"/>
      <c r="S50" s="1388"/>
      <c r="T50" s="1842">
        <f>ROUND(IF((J48+W48)=0,1,(J48+W48)/(D48+Q48)),Round)</f>
        <v>1</v>
      </c>
      <c r="U50" s="1842"/>
      <c r="V50" s="1842"/>
      <c r="W50" s="1842"/>
      <c r="X50" s="1842"/>
      <c r="Y50" s="1843"/>
      <c r="AJ50" s="676"/>
      <c r="AL50" s="750"/>
    </row>
    <row r="51" spans="2:38" ht="15" customHeight="1" thickBot="1">
      <c r="B51" s="109"/>
      <c r="C51" s="109"/>
      <c r="D51" s="109"/>
      <c r="E51" s="109"/>
      <c r="F51" s="109"/>
      <c r="G51" s="109"/>
      <c r="H51" s="109"/>
      <c r="I51" s="109"/>
      <c r="K51" s="109"/>
      <c r="L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AJ51" s="676"/>
      <c r="AL51" s="750"/>
    </row>
    <row r="52" spans="2:38" ht="15" customHeight="1" thickBot="1">
      <c r="B52" s="1818" t="s">
        <v>229</v>
      </c>
      <c r="C52" s="1819"/>
      <c r="D52" s="1819"/>
      <c r="E52" s="1819"/>
      <c r="F52" s="1819"/>
      <c r="G52" s="1819"/>
      <c r="H52" s="1819"/>
      <c r="I52" s="1819"/>
      <c r="J52" s="1819"/>
      <c r="K52" s="1819"/>
      <c r="L52" s="1819"/>
      <c r="M52" s="1819"/>
      <c r="N52" s="1819"/>
      <c r="O52" s="1819"/>
      <c r="P52" s="1819"/>
      <c r="Q52" s="1819"/>
      <c r="R52" s="1819"/>
      <c r="S52" s="1819"/>
      <c r="T52" s="1819"/>
      <c r="U52" s="1819"/>
      <c r="V52" s="1819"/>
      <c r="W52" s="1819"/>
      <c r="X52" s="1819"/>
      <c r="Y52" s="1820"/>
    </row>
    <row r="53" spans="2:38" ht="15" customHeight="1">
      <c r="B53" s="1821" t="s">
        <v>230</v>
      </c>
      <c r="C53" s="1822"/>
      <c r="D53" s="1822" t="s">
        <v>231</v>
      </c>
      <c r="E53" s="1822"/>
      <c r="F53" s="1822"/>
      <c r="G53" s="1822" t="s">
        <v>99</v>
      </c>
      <c r="H53" s="1822"/>
      <c r="I53" s="1822"/>
      <c r="J53" s="1822" t="s">
        <v>40</v>
      </c>
      <c r="K53" s="1822"/>
      <c r="L53" s="1822"/>
      <c r="M53" s="119"/>
      <c r="N53" s="1822" t="s">
        <v>230</v>
      </c>
      <c r="O53" s="1822"/>
      <c r="P53" s="1822"/>
      <c r="Q53" s="1822" t="s">
        <v>231</v>
      </c>
      <c r="R53" s="1822"/>
      <c r="S53" s="1822"/>
      <c r="T53" s="1822" t="s">
        <v>99</v>
      </c>
      <c r="U53" s="1822"/>
      <c r="V53" s="1822"/>
      <c r="W53" s="1822" t="s">
        <v>40</v>
      </c>
      <c r="X53" s="1822"/>
      <c r="Y53" s="1823"/>
    </row>
    <row r="54" spans="2:38" ht="15" customHeight="1">
      <c r="B54" s="1844">
        <v>1</v>
      </c>
      <c r="C54" s="1845"/>
      <c r="D54" s="1846"/>
      <c r="E54" s="1846"/>
      <c r="F54" s="1846"/>
      <c r="G54" s="1847"/>
      <c r="H54" s="1847"/>
      <c r="I54" s="1847"/>
      <c r="J54" s="1845" t="str">
        <f>IF(G54="","",IF(G54&lt;=650,1,IF(G54&lt;=1000,0.75,IF(G54&lt;=1350,0.5,IF(G54&lt;=1700,0.25,0)))))</f>
        <v/>
      </c>
      <c r="K54" s="1845"/>
      <c r="L54" s="1845"/>
      <c r="M54" s="120"/>
      <c r="N54" s="1845">
        <v>5</v>
      </c>
      <c r="O54" s="1845"/>
      <c r="P54" s="1845"/>
      <c r="Q54" s="1846"/>
      <c r="R54" s="1846"/>
      <c r="S54" s="1846"/>
      <c r="T54" s="1847"/>
      <c r="U54" s="1847"/>
      <c r="V54" s="1847"/>
      <c r="W54" s="1845" t="str">
        <f>IF(T54="","",IF(T54&lt;=650,1,IF(T54&lt;=1000,0.75,IF(T54&lt;=1350,0.5,IF(T54&lt;=1700,0.25,0)))))</f>
        <v/>
      </c>
      <c r="X54" s="1845"/>
      <c r="Y54" s="1848"/>
    </row>
    <row r="55" spans="2:38" ht="15" customHeight="1">
      <c r="B55" s="1844"/>
      <c r="C55" s="1845"/>
      <c r="D55" s="1846"/>
      <c r="E55" s="1846"/>
      <c r="F55" s="1846"/>
      <c r="G55" s="1845"/>
      <c r="H55" s="1845"/>
      <c r="I55" s="1845"/>
      <c r="J55" s="1845" t="str">
        <f>IF(D55="","",IF(G54&lt;=650,1,IF(G54&lt;=1000,0.75,IF(G54&lt;=1350,0.5,IF(G54&lt;=1700,0.25,0)))))</f>
        <v/>
      </c>
      <c r="K55" s="1845"/>
      <c r="L55" s="1845"/>
      <c r="M55" s="120"/>
      <c r="N55" s="1845"/>
      <c r="O55" s="1845"/>
      <c r="P55" s="1845"/>
      <c r="Q55" s="1846"/>
      <c r="R55" s="1846"/>
      <c r="S55" s="1846"/>
      <c r="T55" s="1845"/>
      <c r="U55" s="1845"/>
      <c r="V55" s="1845"/>
      <c r="W55" s="1845" t="str">
        <f>IF(Q55="","",IF(T54&lt;=650,1,IF(T54&lt;=1000,0.75,IF(T54&lt;=1350,0.5,IF(T54&lt;=1700,0.25,0)))))</f>
        <v/>
      </c>
      <c r="X55" s="1845"/>
      <c r="Y55" s="1848"/>
    </row>
    <row r="56" spans="2:38" ht="15" customHeight="1">
      <c r="B56" s="1844">
        <v>2</v>
      </c>
      <c r="C56" s="1845"/>
      <c r="D56" s="1846"/>
      <c r="E56" s="1846"/>
      <c r="F56" s="1846"/>
      <c r="G56" s="1847"/>
      <c r="H56" s="1847"/>
      <c r="I56" s="1847"/>
      <c r="J56" s="1845" t="str">
        <f>IF(G56="","",IF(G56&lt;=650,1,IF(G56&lt;=1000,0.75,IF(G56&lt;=1350,0.5,IF(G56&lt;=1700,0.25,0)))))</f>
        <v/>
      </c>
      <c r="K56" s="1845"/>
      <c r="L56" s="1845"/>
      <c r="M56" s="120"/>
      <c r="N56" s="1845">
        <v>6</v>
      </c>
      <c r="O56" s="1845"/>
      <c r="P56" s="1845"/>
      <c r="Q56" s="1846"/>
      <c r="R56" s="1846"/>
      <c r="S56" s="1846"/>
      <c r="T56" s="1847"/>
      <c r="U56" s="1847"/>
      <c r="V56" s="1847"/>
      <c r="W56" s="1845" t="str">
        <f>IF(T56="","",IF(T56&lt;=650,1,IF(T56&lt;=1000,0.75,IF(T56&lt;=1350,0.5,IF(T56&lt;=1700,0.25,0)))))</f>
        <v/>
      </c>
      <c r="X56" s="1845"/>
      <c r="Y56" s="1848"/>
    </row>
    <row r="57" spans="2:38" ht="15" customHeight="1">
      <c r="B57" s="1844"/>
      <c r="C57" s="1845"/>
      <c r="D57" s="1846"/>
      <c r="E57" s="1846"/>
      <c r="F57" s="1846"/>
      <c r="G57" s="1845"/>
      <c r="H57" s="1845"/>
      <c r="I57" s="1845"/>
      <c r="J57" s="1845" t="str">
        <f>IF(D57="","",IF(G56&lt;=650,1,IF(G56&lt;=1000,0.75,IF(G56&lt;=1350,0.5,IF(G56&lt;=1700,0.25,0)))))</f>
        <v/>
      </c>
      <c r="K57" s="1845"/>
      <c r="L57" s="1845"/>
      <c r="M57" s="120"/>
      <c r="N57" s="1845"/>
      <c r="O57" s="1845"/>
      <c r="P57" s="1845"/>
      <c r="Q57" s="1846"/>
      <c r="R57" s="1846"/>
      <c r="S57" s="1846"/>
      <c r="T57" s="1845"/>
      <c r="U57" s="1845"/>
      <c r="V57" s="1845"/>
      <c r="W57" s="1845" t="str">
        <f>IF(Q57="","",IF(T56&lt;=650,1,IF(T56&lt;=1000,0.75,IF(T56&lt;=1350,0.5,IF(T56&lt;=1700,0.25,0)))))</f>
        <v/>
      </c>
      <c r="X57" s="1845"/>
      <c r="Y57" s="1848"/>
    </row>
    <row r="58" spans="2:38" ht="15" customHeight="1">
      <c r="B58" s="1844">
        <v>3</v>
      </c>
      <c r="C58" s="1845"/>
      <c r="D58" s="1846"/>
      <c r="E58" s="1846"/>
      <c r="F58" s="1846"/>
      <c r="G58" s="1847"/>
      <c r="H58" s="1847"/>
      <c r="I58" s="1847"/>
      <c r="J58" s="1845" t="str">
        <f>IF(G58="","",IF(G58&lt;=650,1,IF(G58&lt;=1000,0.75,IF(G58&lt;=1350,0.5,IF(G58&lt;=1700,0.25,0)))))</f>
        <v/>
      </c>
      <c r="K58" s="1845"/>
      <c r="L58" s="1845"/>
      <c r="M58" s="120"/>
      <c r="N58" s="1845">
        <v>7</v>
      </c>
      <c r="O58" s="1845"/>
      <c r="P58" s="1845"/>
      <c r="Q58" s="1846"/>
      <c r="R58" s="1846"/>
      <c r="S58" s="1846"/>
      <c r="T58" s="1847"/>
      <c r="U58" s="1847"/>
      <c r="V58" s="1847"/>
      <c r="W58" s="1845" t="str">
        <f>IF(T58="","",IF(T58&lt;=650,1,IF(T58&lt;=1000,0.75,IF(T58&lt;=1350,0.5,IF(T58&lt;=1700,0.25,0)))))</f>
        <v/>
      </c>
      <c r="X58" s="1845"/>
      <c r="Y58" s="1848"/>
      <c r="AA58" s="749"/>
      <c r="AC58"/>
      <c r="AD58"/>
    </row>
    <row r="59" spans="2:38" ht="15" customHeight="1">
      <c r="B59" s="1844"/>
      <c r="C59" s="1845"/>
      <c r="D59" s="1846"/>
      <c r="E59" s="1846"/>
      <c r="F59" s="1846"/>
      <c r="G59" s="1845"/>
      <c r="H59" s="1845"/>
      <c r="I59" s="1845"/>
      <c r="J59" s="1845" t="str">
        <f>IF(D59="","",IF(G58&lt;=650,1,IF(G58&lt;=1000,0.75,IF(G58&lt;=1350,0.5,IF(G58&lt;=1700,0.25,0)))))</f>
        <v/>
      </c>
      <c r="K59" s="1845"/>
      <c r="L59" s="1845"/>
      <c r="M59" s="120"/>
      <c r="N59" s="1845"/>
      <c r="O59" s="1845"/>
      <c r="P59" s="1845"/>
      <c r="Q59" s="1846"/>
      <c r="R59" s="1846"/>
      <c r="S59" s="1846"/>
      <c r="T59" s="1845"/>
      <c r="U59" s="1845"/>
      <c r="V59" s="1845"/>
      <c r="W59" s="1845" t="str">
        <f>IF(Q59="","",IF(T58&lt;=650,1,IF(T58&lt;=1000,0.75,IF(T58&lt;=1350,0.5,IF(T58&lt;=1700,0.25,0)))))</f>
        <v/>
      </c>
      <c r="X59" s="1845"/>
      <c r="Y59" s="1848"/>
    </row>
    <row r="60" spans="2:38" ht="15" customHeight="1">
      <c r="B60" s="1844">
        <v>4</v>
      </c>
      <c r="C60" s="1845"/>
      <c r="D60" s="1846"/>
      <c r="E60" s="1846"/>
      <c r="F60" s="1846"/>
      <c r="G60" s="1847"/>
      <c r="H60" s="1847"/>
      <c r="I60" s="1847"/>
      <c r="J60" s="1845" t="str">
        <f>IF(G60="","",IF(G60&lt;=650,1,IF(G60&lt;=1000,0.75,IF(G60&lt;=1350,0.5,IF(G60&lt;=1700,0.25,0)))))</f>
        <v/>
      </c>
      <c r="K60" s="1845"/>
      <c r="L60" s="1845"/>
      <c r="M60" s="120"/>
      <c r="N60" s="1845">
        <v>8</v>
      </c>
      <c r="O60" s="1845"/>
      <c r="P60" s="1845"/>
      <c r="Q60" s="1846"/>
      <c r="R60" s="1846"/>
      <c r="S60" s="1846"/>
      <c r="T60" s="1850"/>
      <c r="U60" s="1850"/>
      <c r="V60" s="1850"/>
      <c r="W60" s="1845" t="str">
        <f>IF(T60="","",IF(T60&lt;=650,1,IF(T60&lt;=1000,0.75,IF(T60&lt;=1350,0.5,IF(T60&lt;=1700,0.25,0)))))</f>
        <v/>
      </c>
      <c r="X60" s="1845"/>
      <c r="Y60" s="1848"/>
    </row>
    <row r="61" spans="2:38" ht="15" customHeight="1">
      <c r="B61" s="1844"/>
      <c r="C61" s="1845"/>
      <c r="D61" s="1846"/>
      <c r="E61" s="1846"/>
      <c r="F61" s="1846"/>
      <c r="G61" s="1845"/>
      <c r="H61" s="1845"/>
      <c r="I61" s="1845"/>
      <c r="J61" s="1665" t="str">
        <f>IF(D61="","",IF(G60&lt;=650,1,IF(G60&lt;=1000,0.75,IF(G60&lt;=1350,0.5,IF(G60&lt;=1700,0.25,0)))))</f>
        <v/>
      </c>
      <c r="K61" s="1680"/>
      <c r="L61" s="1664"/>
      <c r="M61" s="120"/>
      <c r="N61" s="1845"/>
      <c r="O61" s="1845"/>
      <c r="P61" s="1845"/>
      <c r="Q61" s="1846"/>
      <c r="R61" s="1846"/>
      <c r="S61" s="1846"/>
      <c r="T61" s="1845"/>
      <c r="U61" s="1845"/>
      <c r="V61" s="1845"/>
      <c r="W61" s="1845" t="str">
        <f>IF(Q61="","",IF(T60&lt;=650,1,IF(T60&lt;=1000,0.75,IF(T60&lt;=1350,0.5,IF(T60&lt;=1700,0.25,0)))))</f>
        <v/>
      </c>
      <c r="X61" s="1845"/>
      <c r="Y61" s="1848"/>
    </row>
    <row r="62" spans="2:38" ht="15" customHeight="1" thickBot="1">
      <c r="B62" s="1844"/>
      <c r="C62" s="1845"/>
      <c r="D62" s="1849"/>
      <c r="E62" s="1849"/>
      <c r="F62" s="1849"/>
      <c r="G62" s="1845"/>
      <c r="H62" s="1845"/>
      <c r="I62" s="1845"/>
      <c r="J62" s="1845"/>
      <c r="K62" s="1845"/>
      <c r="L62" s="1845"/>
      <c r="M62" s="120"/>
      <c r="N62" s="1845"/>
      <c r="O62" s="1845"/>
      <c r="P62" s="1845"/>
      <c r="Q62" s="1849"/>
      <c r="R62" s="1849"/>
      <c r="S62" s="1849"/>
      <c r="T62" s="1845"/>
      <c r="U62" s="1845"/>
      <c r="V62" s="1845"/>
      <c r="W62" s="1845"/>
      <c r="X62" s="1845"/>
      <c r="Y62" s="1848"/>
    </row>
    <row r="63" spans="2:38" ht="15" customHeight="1" thickBot="1">
      <c r="B63" s="1358" t="s">
        <v>232</v>
      </c>
      <c r="C63" s="1359"/>
      <c r="D63" s="1359"/>
      <c r="E63" s="1359"/>
      <c r="F63" s="1359"/>
      <c r="G63" s="1359"/>
      <c r="H63" s="1359"/>
      <c r="I63" s="1359"/>
      <c r="J63" s="1359"/>
      <c r="K63" s="1359"/>
      <c r="L63" s="1359"/>
      <c r="M63" s="1359"/>
      <c r="N63" s="1359"/>
      <c r="O63" s="1359"/>
      <c r="P63" s="1359"/>
      <c r="Q63" s="1359"/>
      <c r="R63" s="1359"/>
      <c r="S63" s="1470"/>
      <c r="T63" s="1851">
        <f>SUM(J54:L61,W54:Y61)</f>
        <v>0</v>
      </c>
      <c r="U63" s="1842"/>
      <c r="V63" s="1842"/>
      <c r="W63" s="1842"/>
      <c r="X63" s="1842"/>
      <c r="Y63" s="1843"/>
    </row>
    <row r="64" spans="2:38" ht="15" customHeight="1" thickBot="1"/>
    <row r="65" spans="2:30" ht="15" customHeight="1" thickBot="1">
      <c r="B65" s="1852" t="s">
        <v>37</v>
      </c>
      <c r="C65" s="1853"/>
      <c r="D65" s="1853"/>
      <c r="E65" s="1853"/>
      <c r="F65" s="1853"/>
      <c r="G65" s="1853"/>
      <c r="H65" s="1853"/>
      <c r="I65" s="1853"/>
      <c r="J65" s="1853"/>
      <c r="K65" s="1853"/>
      <c r="L65" s="1853"/>
      <c r="M65" s="1853"/>
      <c r="N65" s="1853"/>
      <c r="O65" s="1853"/>
      <c r="P65" s="1853"/>
      <c r="Q65" s="1853"/>
      <c r="R65" s="1853"/>
      <c r="S65" s="1854"/>
      <c r="T65" s="1855"/>
      <c r="U65" s="1855"/>
      <c r="V65" s="1855"/>
      <c r="W65" s="1855"/>
      <c r="X65" s="1855"/>
      <c r="Y65" s="1856"/>
    </row>
    <row r="66" spans="2:30" ht="15" customHeight="1">
      <c r="B66" s="1585"/>
      <c r="C66" s="1857"/>
      <c r="D66" s="1858" t="s">
        <v>233</v>
      </c>
      <c r="E66" s="1858"/>
      <c r="F66" s="1858"/>
      <c r="G66" s="1858"/>
      <c r="H66" s="1858"/>
      <c r="I66" s="1858"/>
      <c r="J66" s="1858"/>
      <c r="K66" s="1858"/>
      <c r="L66" s="1858"/>
      <c r="M66" s="1858"/>
      <c r="N66" s="1858"/>
      <c r="O66" s="1858"/>
      <c r="P66" s="1858"/>
      <c r="Q66" s="1858"/>
      <c r="R66" s="1858"/>
      <c r="S66" s="1859"/>
      <c r="T66" s="1860">
        <f>T34</f>
        <v>0</v>
      </c>
      <c r="U66" s="1860"/>
      <c r="V66" s="1860"/>
      <c r="W66" s="1860"/>
      <c r="X66" s="1860"/>
      <c r="Y66" s="1861"/>
    </row>
    <row r="67" spans="2:30" ht="15" customHeight="1">
      <c r="B67" s="1663"/>
      <c r="C67" s="1680"/>
      <c r="D67" s="1269" t="s">
        <v>234</v>
      </c>
      <c r="E67" s="1269"/>
      <c r="F67" s="1269"/>
      <c r="G67" s="1269"/>
      <c r="H67" s="1269"/>
      <c r="I67" s="1269"/>
      <c r="J67" s="1269"/>
      <c r="K67" s="1269"/>
      <c r="L67" s="1269"/>
      <c r="M67" s="1269"/>
      <c r="N67" s="1269"/>
      <c r="O67" s="1269"/>
      <c r="P67" s="1269"/>
      <c r="Q67" s="1269"/>
      <c r="R67" s="1269"/>
      <c r="S67" s="1868"/>
      <c r="T67" s="1864">
        <f>T63</f>
        <v>0</v>
      </c>
      <c r="U67" s="1864"/>
      <c r="V67" s="1864"/>
      <c r="W67" s="1864"/>
      <c r="X67" s="1864"/>
      <c r="Y67" s="1865"/>
      <c r="AB67" s="676"/>
    </row>
    <row r="68" spans="2:30" ht="15" customHeight="1" thickBot="1">
      <c r="B68" s="1869"/>
      <c r="C68" s="1870"/>
      <c r="D68" s="1862" t="s">
        <v>228</v>
      </c>
      <c r="E68" s="1862"/>
      <c r="F68" s="1862"/>
      <c r="G68" s="1862"/>
      <c r="H68" s="1862"/>
      <c r="I68" s="1862"/>
      <c r="J68" s="1862"/>
      <c r="K68" s="1862"/>
      <c r="L68" s="1862"/>
      <c r="M68" s="1862"/>
      <c r="N68" s="1862"/>
      <c r="O68" s="1862"/>
      <c r="P68" s="1862"/>
      <c r="Q68" s="1862"/>
      <c r="R68" s="1862"/>
      <c r="S68" s="1863"/>
      <c r="T68" s="1866">
        <f>T50</f>
        <v>1</v>
      </c>
      <c r="U68" s="1866"/>
      <c r="V68" s="1866"/>
      <c r="W68" s="1866"/>
      <c r="X68" s="1866"/>
      <c r="Y68" s="1867"/>
    </row>
    <row r="69" spans="2:30" ht="15" customHeight="1" thickBot="1">
      <c r="B69" s="1358" t="s">
        <v>235</v>
      </c>
      <c r="C69" s="1359"/>
      <c r="D69" s="1359"/>
      <c r="E69" s="1359"/>
      <c r="F69" s="1359"/>
      <c r="G69" s="1359"/>
      <c r="H69" s="1359"/>
      <c r="I69" s="1359"/>
      <c r="J69" s="1359"/>
      <c r="K69" s="1359"/>
      <c r="L69" s="1359"/>
      <c r="M69" s="1359"/>
      <c r="N69" s="1359"/>
      <c r="O69" s="1359"/>
      <c r="P69" s="1359"/>
      <c r="Q69" s="1359"/>
      <c r="R69" s="1359"/>
      <c r="S69" s="1470"/>
      <c r="T69" s="1851">
        <f>IF(T68="","",ROUND((T66)*T68+T67,Round))</f>
        <v>0</v>
      </c>
      <c r="U69" s="1842"/>
      <c r="V69" s="1842"/>
      <c r="W69" s="1842"/>
      <c r="X69" s="1842"/>
      <c r="Y69" s="1843"/>
    </row>
    <row r="70" spans="2:30" ht="15" customHeight="1" thickBot="1">
      <c r="Z70" s="315"/>
      <c r="AA70" s="589"/>
      <c r="AB70"/>
      <c r="AC70"/>
      <c r="AD70"/>
    </row>
    <row r="71" spans="2:30" ht="15" customHeight="1">
      <c r="B71" s="1585"/>
      <c r="C71" s="1857"/>
      <c r="D71" s="1858" t="s">
        <v>2817</v>
      </c>
      <c r="E71" s="1858"/>
      <c r="F71" s="1858"/>
      <c r="G71" s="1858"/>
      <c r="H71" s="1858"/>
      <c r="I71" s="1858"/>
      <c r="J71" s="1858"/>
      <c r="K71" s="1858"/>
      <c r="L71" s="1858"/>
      <c r="M71" s="1858"/>
      <c r="N71" s="1858"/>
      <c r="O71" s="1858"/>
      <c r="P71" s="1858"/>
      <c r="Q71" s="1858"/>
      <c r="R71" s="1858"/>
      <c r="S71" s="1859"/>
      <c r="T71" s="1860" t="str">
        <f>IF(COUNTIF(cyclist,"&lt;&gt;*N/A")=COUNTIF(cyclist,"=*red*"),"Star Cap","No")</f>
        <v>No</v>
      </c>
      <c r="U71" s="1860"/>
      <c r="V71" s="1860"/>
      <c r="W71" s="1860"/>
      <c r="X71" s="1860"/>
      <c r="Y71" s="1861"/>
      <c r="AA71" s="589"/>
      <c r="AB71"/>
      <c r="AC71"/>
      <c r="AD71"/>
    </row>
    <row r="72" spans="2:30" ht="15" customHeight="1">
      <c r="B72" s="1663"/>
      <c r="C72" s="1680"/>
      <c r="D72" s="1269" t="s">
        <v>2587</v>
      </c>
      <c r="E72" s="1269"/>
      <c r="F72" s="1269"/>
      <c r="G72" s="1269"/>
      <c r="H72" s="1269"/>
      <c r="I72" s="1269"/>
      <c r="J72" s="1269"/>
      <c r="K72" s="1269"/>
      <c r="L72" s="1269"/>
      <c r="M72" s="1269"/>
      <c r="N72" s="1269"/>
      <c r="O72" s="1269"/>
      <c r="P72" s="1269"/>
      <c r="Q72" s="1269"/>
      <c r="R72" s="1269"/>
      <c r="S72" s="1868"/>
      <c r="T72" s="1864" t="str">
        <f ca="1">IF(AND(COUNTIF(adult,"&lt;&gt;*N/A")=COUNTIF(adult,"=*red*"),COUNTA(BRRL_adult)=COUNTIF(BRRL_adult,"=*red*")),"Star Cap","No")</f>
        <v>No</v>
      </c>
      <c r="U72" s="1864"/>
      <c r="V72" s="1864"/>
      <c r="W72" s="1864"/>
      <c r="X72" s="1864"/>
      <c r="Y72" s="1865"/>
      <c r="AA72" s="589"/>
      <c r="AB72"/>
      <c r="AC72"/>
      <c r="AD72"/>
    </row>
    <row r="73" spans="2:30" ht="15" customHeight="1" thickBot="1">
      <c r="B73" s="1869"/>
      <c r="C73" s="1870"/>
      <c r="D73" s="1862" t="s">
        <v>2588</v>
      </c>
      <c r="E73" s="1862"/>
      <c r="F73" s="1862"/>
      <c r="G73" s="1862"/>
      <c r="H73" s="1862"/>
      <c r="I73" s="1862"/>
      <c r="J73" s="1862"/>
      <c r="K73" s="1862"/>
      <c r="L73" s="1862"/>
      <c r="M73" s="1862"/>
      <c r="N73" s="1862"/>
      <c r="O73" s="1862"/>
      <c r="P73" s="1862"/>
      <c r="Q73" s="1862"/>
      <c r="R73" s="1862"/>
      <c r="S73" s="1863"/>
      <c r="T73" s="1866" t="str">
        <f ca="1">IF(AND(COUNTIF(child,"&lt;&gt;*N/A")=COUNTIF(child,"=*red*"),COUNTA(BRRL_child)=COUNTIF(BRRL_child,"=*red*")),"Star Cap","No")</f>
        <v>No</v>
      </c>
      <c r="U73" s="1866"/>
      <c r="V73" s="1866"/>
      <c r="W73" s="1866"/>
      <c r="X73" s="1866"/>
      <c r="Y73" s="1867"/>
      <c r="AA73" s="589"/>
      <c r="AB73"/>
      <c r="AC73"/>
      <c r="AD73"/>
    </row>
    <row r="74" spans="2:30" ht="13.5" thickBot="1">
      <c r="T74" s="1871" t="b">
        <f ca="1">IF(OR(T71="Star Cap",T72="Star Cap",T73="Star Cap",'VRU Upper Legform'!G35=0,'VRU Legform'!E32=0,'VRU Legform'!E36=0),TRUE,FALSE)</f>
        <v>1</v>
      </c>
      <c r="U74" s="1871"/>
      <c r="V74" s="1871"/>
      <c r="W74" s="1871"/>
      <c r="X74" s="1871"/>
      <c r="Y74" s="1871"/>
      <c r="Z74" s="257">
        <f>ROUND(T75,1)</f>
        <v>0</v>
      </c>
    </row>
    <row r="75" spans="2:30" ht="21.75" thickBot="1">
      <c r="B75" s="1549" t="s">
        <v>2460</v>
      </c>
      <c r="C75" s="1719"/>
      <c r="D75" s="1719"/>
      <c r="E75" s="1719"/>
      <c r="F75" s="1719"/>
      <c r="G75" s="1719"/>
      <c r="H75" s="1719"/>
      <c r="I75" s="1719"/>
      <c r="J75" s="1719"/>
      <c r="K75" s="1719"/>
      <c r="L75" s="1719"/>
      <c r="M75" s="1719"/>
      <c r="N75" s="1719"/>
      <c r="O75" s="1719"/>
      <c r="P75" s="1719"/>
      <c r="Q75" s="1719"/>
      <c r="R75" s="1719"/>
      <c r="S75" s="1550"/>
      <c r="T75" s="1561">
        <f>IF(COUNTBLANK(E5:Y23)&gt;0,0,ROUND(T69/Q34*18,Round))</f>
        <v>0</v>
      </c>
      <c r="U75" s="1562"/>
      <c r="V75" s="1562"/>
      <c r="W75" s="1562"/>
      <c r="X75" s="1562"/>
      <c r="Y75" s="1563"/>
    </row>
  </sheetData>
  <mergeCells count="263">
    <mergeCell ref="D73:S73"/>
    <mergeCell ref="T71:Y71"/>
    <mergeCell ref="T72:Y72"/>
    <mergeCell ref="T73:Y73"/>
    <mergeCell ref="B69:S69"/>
    <mergeCell ref="T69:Y69"/>
    <mergeCell ref="B75:S75"/>
    <mergeCell ref="T75:Y75"/>
    <mergeCell ref="B67:C67"/>
    <mergeCell ref="D67:S67"/>
    <mergeCell ref="T67:Y67"/>
    <mergeCell ref="B68:C68"/>
    <mergeCell ref="D68:S68"/>
    <mergeCell ref="T68:Y68"/>
    <mergeCell ref="B71:C71"/>
    <mergeCell ref="D71:S71"/>
    <mergeCell ref="B72:C72"/>
    <mergeCell ref="D72:S72"/>
    <mergeCell ref="B73:C73"/>
    <mergeCell ref="T74:Y74"/>
    <mergeCell ref="B63:S63"/>
    <mergeCell ref="T63:Y63"/>
    <mergeCell ref="B65:S65"/>
    <mergeCell ref="T65:Y65"/>
    <mergeCell ref="B62:C62"/>
    <mergeCell ref="D62:F62"/>
    <mergeCell ref="G62:I62"/>
    <mergeCell ref="J62:L62"/>
    <mergeCell ref="B66:C66"/>
    <mergeCell ref="D66:S66"/>
    <mergeCell ref="T66:Y66"/>
    <mergeCell ref="T61:V61"/>
    <mergeCell ref="W61:Y61"/>
    <mergeCell ref="B60:C60"/>
    <mergeCell ref="D60:F60"/>
    <mergeCell ref="G60:I60"/>
    <mergeCell ref="J60:L60"/>
    <mergeCell ref="N60:P60"/>
    <mergeCell ref="Q60:S60"/>
    <mergeCell ref="N62:P62"/>
    <mergeCell ref="Q62:S62"/>
    <mergeCell ref="T60:V60"/>
    <mergeCell ref="W60:Y60"/>
    <mergeCell ref="B61:C61"/>
    <mergeCell ref="D61:F61"/>
    <mergeCell ref="G61:I61"/>
    <mergeCell ref="J61:L61"/>
    <mergeCell ref="N61:P61"/>
    <mergeCell ref="Q61:S61"/>
    <mergeCell ref="T62:V62"/>
    <mergeCell ref="W62:Y62"/>
    <mergeCell ref="B58:C58"/>
    <mergeCell ref="D58:F58"/>
    <mergeCell ref="G58:I58"/>
    <mergeCell ref="J58:L58"/>
    <mergeCell ref="N58:P58"/>
    <mergeCell ref="Q58:S58"/>
    <mergeCell ref="T58:V58"/>
    <mergeCell ref="W58:Y58"/>
    <mergeCell ref="B59:C59"/>
    <mergeCell ref="D59:F59"/>
    <mergeCell ref="G59:I59"/>
    <mergeCell ref="J59:L59"/>
    <mergeCell ref="N59:P59"/>
    <mergeCell ref="Q59:S59"/>
    <mergeCell ref="T59:V59"/>
    <mergeCell ref="W59:Y59"/>
    <mergeCell ref="B56:C56"/>
    <mergeCell ref="D56:F56"/>
    <mergeCell ref="G56:I56"/>
    <mergeCell ref="J56:L56"/>
    <mergeCell ref="N56:P56"/>
    <mergeCell ref="Q56:S56"/>
    <mergeCell ref="T56:V56"/>
    <mergeCell ref="W56:Y56"/>
    <mergeCell ref="B57:C57"/>
    <mergeCell ref="D57:F57"/>
    <mergeCell ref="G57:I57"/>
    <mergeCell ref="J57:L57"/>
    <mergeCell ref="N57:P57"/>
    <mergeCell ref="Q57:S57"/>
    <mergeCell ref="T57:V57"/>
    <mergeCell ref="W57:Y57"/>
    <mergeCell ref="B54:C54"/>
    <mergeCell ref="D54:F54"/>
    <mergeCell ref="G54:I54"/>
    <mergeCell ref="J54:L54"/>
    <mergeCell ref="N54:P54"/>
    <mergeCell ref="Q54:S54"/>
    <mergeCell ref="T54:V54"/>
    <mergeCell ref="W54:Y54"/>
    <mergeCell ref="B55:C55"/>
    <mergeCell ref="D55:F55"/>
    <mergeCell ref="G55:I55"/>
    <mergeCell ref="J55:L55"/>
    <mergeCell ref="N55:P55"/>
    <mergeCell ref="Q55:S55"/>
    <mergeCell ref="T55:V55"/>
    <mergeCell ref="W55:Y55"/>
    <mergeCell ref="B52:Y52"/>
    <mergeCell ref="B53:C53"/>
    <mergeCell ref="D53:F53"/>
    <mergeCell ref="G53:I53"/>
    <mergeCell ref="J53:L53"/>
    <mergeCell ref="N53:P53"/>
    <mergeCell ref="Q53:S53"/>
    <mergeCell ref="T53:V53"/>
    <mergeCell ref="W53:Y53"/>
    <mergeCell ref="B48:C48"/>
    <mergeCell ref="D48:F48"/>
    <mergeCell ref="G48:I48"/>
    <mergeCell ref="J48:L48"/>
    <mergeCell ref="N48:P48"/>
    <mergeCell ref="Q48:S48"/>
    <mergeCell ref="T48:V48"/>
    <mergeCell ref="W48:Y48"/>
    <mergeCell ref="B50:S50"/>
    <mergeCell ref="T50:Y50"/>
    <mergeCell ref="B46:C46"/>
    <mergeCell ref="D46:F46"/>
    <mergeCell ref="G46:I46"/>
    <mergeCell ref="J46:L46"/>
    <mergeCell ref="N46:P46"/>
    <mergeCell ref="Q46:S46"/>
    <mergeCell ref="T46:V46"/>
    <mergeCell ref="W46:Y46"/>
    <mergeCell ref="B47:C47"/>
    <mergeCell ref="D47:F47"/>
    <mergeCell ref="G47:I47"/>
    <mergeCell ref="J47:L47"/>
    <mergeCell ref="N47:P47"/>
    <mergeCell ref="Q47:S47"/>
    <mergeCell ref="T47:V47"/>
    <mergeCell ref="W47:Y47"/>
    <mergeCell ref="B44:C44"/>
    <mergeCell ref="D44:F44"/>
    <mergeCell ref="G44:I44"/>
    <mergeCell ref="J44:L44"/>
    <mergeCell ref="N44:P44"/>
    <mergeCell ref="Q44:S44"/>
    <mergeCell ref="T44:V44"/>
    <mergeCell ref="W44:Y44"/>
    <mergeCell ref="B45:C45"/>
    <mergeCell ref="D45:F45"/>
    <mergeCell ref="G45:I45"/>
    <mergeCell ref="J45:L45"/>
    <mergeCell ref="N45:P45"/>
    <mergeCell ref="Q45:S45"/>
    <mergeCell ref="T45:V45"/>
    <mergeCell ref="W45:Y45"/>
    <mergeCell ref="B42:C42"/>
    <mergeCell ref="D42:F42"/>
    <mergeCell ref="G42:I42"/>
    <mergeCell ref="J42:L42"/>
    <mergeCell ref="N42:P42"/>
    <mergeCell ref="Q42:S42"/>
    <mergeCell ref="T42:V42"/>
    <mergeCell ref="W42:Y42"/>
    <mergeCell ref="B43:C43"/>
    <mergeCell ref="D43:F43"/>
    <mergeCell ref="G43:I43"/>
    <mergeCell ref="J43:L43"/>
    <mergeCell ref="N43:P43"/>
    <mergeCell ref="Q43:S43"/>
    <mergeCell ref="T43:V43"/>
    <mergeCell ref="W43:Y43"/>
    <mergeCell ref="B40:C40"/>
    <mergeCell ref="D40:F40"/>
    <mergeCell ref="G40:I40"/>
    <mergeCell ref="J40:L40"/>
    <mergeCell ref="N40:P40"/>
    <mergeCell ref="Q40:S40"/>
    <mergeCell ref="T40:V40"/>
    <mergeCell ref="W40:Y40"/>
    <mergeCell ref="B41:C41"/>
    <mergeCell ref="D41:F41"/>
    <mergeCell ref="G41:I41"/>
    <mergeCell ref="J41:L41"/>
    <mergeCell ref="N41:P41"/>
    <mergeCell ref="Q41:S41"/>
    <mergeCell ref="T41:V41"/>
    <mergeCell ref="W41:Y41"/>
    <mergeCell ref="B38:C38"/>
    <mergeCell ref="D38:F38"/>
    <mergeCell ref="G38:I38"/>
    <mergeCell ref="J38:L38"/>
    <mergeCell ref="N38:P38"/>
    <mergeCell ref="Q38:S38"/>
    <mergeCell ref="T38:V38"/>
    <mergeCell ref="W38:Y38"/>
    <mergeCell ref="B39:C39"/>
    <mergeCell ref="D39:F39"/>
    <mergeCell ref="G39:I39"/>
    <mergeCell ref="J39:L39"/>
    <mergeCell ref="N39:P39"/>
    <mergeCell ref="Q39:S39"/>
    <mergeCell ref="T39:V39"/>
    <mergeCell ref="W39:Y39"/>
    <mergeCell ref="B34:P34"/>
    <mergeCell ref="Q34:S34"/>
    <mergeCell ref="T34:V34"/>
    <mergeCell ref="W34:Y34"/>
    <mergeCell ref="B36:Y36"/>
    <mergeCell ref="B37:C37"/>
    <mergeCell ref="D37:F37"/>
    <mergeCell ref="G37:I37"/>
    <mergeCell ref="J37:L37"/>
    <mergeCell ref="N37:P37"/>
    <mergeCell ref="Q37:S37"/>
    <mergeCell ref="T37:V37"/>
    <mergeCell ref="W37:Y37"/>
    <mergeCell ref="B32:D32"/>
    <mergeCell ref="E32:P32"/>
    <mergeCell ref="Q32:S32"/>
    <mergeCell ref="T32:V32"/>
    <mergeCell ref="W32:Y32"/>
    <mergeCell ref="B33:D33"/>
    <mergeCell ref="E33:P33"/>
    <mergeCell ref="Q33:S33"/>
    <mergeCell ref="T33:V33"/>
    <mergeCell ref="W33:Y33"/>
    <mergeCell ref="B30:D30"/>
    <mergeCell ref="E30:P30"/>
    <mergeCell ref="Q30:S30"/>
    <mergeCell ref="T30:V30"/>
    <mergeCell ref="W30:Y30"/>
    <mergeCell ref="B31:D31"/>
    <mergeCell ref="E31:P31"/>
    <mergeCell ref="Q31:S31"/>
    <mergeCell ref="T31:V31"/>
    <mergeCell ref="W31:Y31"/>
    <mergeCell ref="B28:D28"/>
    <mergeCell ref="E28:P28"/>
    <mergeCell ref="Q28:S28"/>
    <mergeCell ref="T28:V28"/>
    <mergeCell ref="W28:Y28"/>
    <mergeCell ref="B29:D29"/>
    <mergeCell ref="E29:P29"/>
    <mergeCell ref="Q29:S29"/>
    <mergeCell ref="T29:V29"/>
    <mergeCell ref="W29:Y29"/>
    <mergeCell ref="B27:D27"/>
    <mergeCell ref="E27:P27"/>
    <mergeCell ref="Q27:S27"/>
    <mergeCell ref="T27:V27"/>
    <mergeCell ref="W27:Y27"/>
    <mergeCell ref="E26:P26"/>
    <mergeCell ref="Q26:S26"/>
    <mergeCell ref="T26:V26"/>
    <mergeCell ref="W26:Y26"/>
    <mergeCell ref="Z16:AA17"/>
    <mergeCell ref="AD16:AD17"/>
    <mergeCell ref="Z5:Z11"/>
    <mergeCell ref="Z12:Z15"/>
    <mergeCell ref="B2:Y3"/>
    <mergeCell ref="B4:D4"/>
    <mergeCell ref="B5:B23"/>
    <mergeCell ref="B25:D25"/>
    <mergeCell ref="E25:P25"/>
    <mergeCell ref="Q25:S25"/>
    <mergeCell ref="T25:V25"/>
    <mergeCell ref="W25:Y25"/>
    <mergeCell ref="Z18:Z23"/>
  </mergeCells>
  <conditionalFormatting sqref="Q38:S47">
    <cfRule type="cellIs" dxfId="1435" priority="297" operator="equal">
      <formula>"Green"</formula>
    </cfRule>
    <cfRule type="cellIs" dxfId="1434" priority="298" operator="equal">
      <formula>"Yellow"</formula>
    </cfRule>
    <cfRule type="cellIs" dxfId="1433" priority="299" operator="equal">
      <formula>"Orange"</formula>
    </cfRule>
    <cfRule type="cellIs" dxfId="1432" priority="300" operator="equal">
      <formula>"Brown"</formula>
    </cfRule>
    <cfRule type="cellIs" dxfId="1431" priority="301" operator="equal">
      <formula>"Red"</formula>
    </cfRule>
  </conditionalFormatting>
  <conditionalFormatting sqref="G9:S9 U9:W9 G8:W8">
    <cfRule type="cellIs" dxfId="1430" priority="246" stopIfTrue="1" operator="equal">
      <formula>"D Green"</formula>
    </cfRule>
    <cfRule type="cellIs" dxfId="1429" priority="247" stopIfTrue="1" operator="equal">
      <formula>"Green"</formula>
    </cfRule>
    <cfRule type="cellIs" dxfId="1428" priority="248" stopIfTrue="1" operator="equal">
      <formula>"Yellow"</formula>
    </cfRule>
  </conditionalFormatting>
  <conditionalFormatting sqref="G9:S9 U9:W9 G8:W8">
    <cfRule type="cellIs" dxfId="1427" priority="237" operator="equal">
      <formula>"D Green"</formula>
    </cfRule>
    <cfRule type="cellIs" dxfId="1426" priority="243" operator="equal">
      <formula>"D Red"</formula>
    </cfRule>
    <cfRule type="cellIs" dxfId="1425" priority="244" operator="equal">
      <formula>"N/A"</formula>
    </cfRule>
    <cfRule type="cellIs" dxfId="1424" priority="245" operator="equal">
      <formula>"Blue"</formula>
    </cfRule>
  </conditionalFormatting>
  <conditionalFormatting sqref="G9:S9 U9:W9 G8:W8">
    <cfRule type="cellIs" dxfId="1423" priority="238" operator="equal">
      <formula>"Green"</formula>
    </cfRule>
    <cfRule type="cellIs" dxfId="1422" priority="239" operator="equal">
      <formula>"Yellow"</formula>
    </cfRule>
    <cfRule type="cellIs" dxfId="1421" priority="240" operator="equal">
      <formula>"Orange"</formula>
    </cfRule>
    <cfRule type="cellIs" dxfId="1420" priority="241" operator="equal">
      <formula>"Brown"</formula>
    </cfRule>
    <cfRule type="cellIs" dxfId="1419" priority="242" operator="equal">
      <formula>"Red"</formula>
    </cfRule>
  </conditionalFormatting>
  <conditionalFormatting sqref="G9:S9 U9:W9 G8:W8">
    <cfRule type="cellIs" dxfId="1418" priority="233" operator="equal">
      <formula>"D Green"</formula>
    </cfRule>
    <cfRule type="cellIs" dxfId="1417" priority="234" operator="equal">
      <formula>"D Red"</formula>
    </cfRule>
    <cfRule type="cellIs" dxfId="1416" priority="235" operator="equal">
      <formula>"N/A"</formula>
    </cfRule>
    <cfRule type="cellIs" dxfId="1415" priority="236" operator="equal">
      <formula>"Blue"</formula>
    </cfRule>
  </conditionalFormatting>
  <conditionalFormatting sqref="G9:S9 U9:W9 G8:W8">
    <cfRule type="cellIs" dxfId="1414" priority="228" operator="equal">
      <formula>"Green"</formula>
    </cfRule>
    <cfRule type="cellIs" dxfId="1413" priority="229" operator="equal">
      <formula>"Yellow"</formula>
    </cfRule>
    <cfRule type="cellIs" dxfId="1412" priority="230" operator="equal">
      <formula>"Orange"</formula>
    </cfRule>
    <cfRule type="cellIs" dxfId="1411" priority="231" operator="equal">
      <formula>"Brown"</formula>
    </cfRule>
    <cfRule type="cellIs" dxfId="1410" priority="232" operator="equal">
      <formula>"Red"</formula>
    </cfRule>
  </conditionalFormatting>
  <conditionalFormatting sqref="G9:S9 U9:W9 G8:W8">
    <cfRule type="cellIs" dxfId="1409" priority="224" operator="equal">
      <formula>"D Green"</formula>
    </cfRule>
    <cfRule type="cellIs" dxfId="1408" priority="225" operator="equal">
      <formula>"D Red"</formula>
    </cfRule>
    <cfRule type="cellIs" dxfId="1407" priority="226" operator="equal">
      <formula>"N/A"</formula>
    </cfRule>
    <cfRule type="cellIs" dxfId="1406" priority="227" operator="equal">
      <formula>"Blue"</formula>
    </cfRule>
  </conditionalFormatting>
  <conditionalFormatting sqref="G9:S9 U9:W9 G8:W8">
    <cfRule type="cellIs" dxfId="1405" priority="219" operator="equal">
      <formula>"Green"</formula>
    </cfRule>
    <cfRule type="cellIs" dxfId="1404" priority="220" operator="equal">
      <formula>"Yellow"</formula>
    </cfRule>
    <cfRule type="cellIs" dxfId="1403" priority="221" operator="equal">
      <formula>"Orange"</formula>
    </cfRule>
    <cfRule type="cellIs" dxfId="1402" priority="222" operator="equal">
      <formula>"Brown"</formula>
    </cfRule>
    <cfRule type="cellIs" dxfId="1401" priority="223" operator="equal">
      <formula>"Red"</formula>
    </cfRule>
  </conditionalFormatting>
  <conditionalFormatting sqref="G9:S9 U9:W9 G8:W8">
    <cfRule type="cellIs" dxfId="1400" priority="215" operator="equal">
      <formula>"D Green"</formula>
    </cfRule>
    <cfRule type="cellIs" dxfId="1399" priority="216" operator="equal">
      <formula>"D Red"</formula>
    </cfRule>
    <cfRule type="cellIs" dxfId="1398" priority="217" operator="equal">
      <formula>"N/A"</formula>
    </cfRule>
    <cfRule type="cellIs" dxfId="1397" priority="218" operator="equal">
      <formula>"Blue"</formula>
    </cfRule>
  </conditionalFormatting>
  <conditionalFormatting sqref="G9:S9 U9:W9 G8:W8">
    <cfRule type="cellIs" dxfId="1396" priority="210" operator="equal">
      <formula>"Green"</formula>
    </cfRule>
    <cfRule type="cellIs" dxfId="1395" priority="211" operator="equal">
      <formula>"Yellow"</formula>
    </cfRule>
    <cfRule type="cellIs" dxfId="1394" priority="212" operator="equal">
      <formula>"Orange"</formula>
    </cfRule>
    <cfRule type="cellIs" dxfId="1393" priority="213" operator="equal">
      <formula>"Brown"</formula>
    </cfRule>
    <cfRule type="cellIs" dxfId="1392" priority="214" operator="equal">
      <formula>"Red"</formula>
    </cfRule>
  </conditionalFormatting>
  <conditionalFormatting sqref="G9:S9 U9:W9 G8:W8">
    <cfRule type="cellIs" dxfId="1391" priority="206" operator="equal">
      <formula>"D Green"</formula>
    </cfRule>
    <cfRule type="cellIs" dxfId="1390" priority="207" operator="equal">
      <formula>"D Red"</formula>
    </cfRule>
    <cfRule type="cellIs" dxfId="1389" priority="208" operator="equal">
      <formula>"N/A"</formula>
    </cfRule>
    <cfRule type="cellIs" dxfId="1388" priority="209" operator="equal">
      <formula>"Blue"</formula>
    </cfRule>
  </conditionalFormatting>
  <conditionalFormatting sqref="G9:S9 U9:W9 G8:W8">
    <cfRule type="cellIs" dxfId="1387" priority="201" operator="equal">
      <formula>"Green"</formula>
    </cfRule>
    <cfRule type="cellIs" dxfId="1386" priority="202" operator="equal">
      <formula>"Yellow"</formula>
    </cfRule>
    <cfRule type="cellIs" dxfId="1385" priority="203" operator="equal">
      <formula>"Orange"</formula>
    </cfRule>
    <cfRule type="cellIs" dxfId="1384" priority="204" operator="equal">
      <formula>"Brown"</formula>
    </cfRule>
    <cfRule type="cellIs" dxfId="1383" priority="205" operator="equal">
      <formula>"Red"</formula>
    </cfRule>
  </conditionalFormatting>
  <conditionalFormatting sqref="T9">
    <cfRule type="cellIs" dxfId="1382" priority="198" stopIfTrue="1" operator="equal">
      <formula>"D Green"</formula>
    </cfRule>
    <cfRule type="cellIs" dxfId="1381" priority="199" stopIfTrue="1" operator="equal">
      <formula>"Green"</formula>
    </cfRule>
    <cfRule type="cellIs" dxfId="1380" priority="200" stopIfTrue="1" operator="equal">
      <formula>"Yellow"</formula>
    </cfRule>
  </conditionalFormatting>
  <conditionalFormatting sqref="T9">
    <cfRule type="cellIs" dxfId="1379" priority="189" operator="equal">
      <formula>"D Green"</formula>
    </cfRule>
    <cfRule type="cellIs" dxfId="1378" priority="195" operator="equal">
      <formula>"D Red"</formula>
    </cfRule>
    <cfRule type="cellIs" dxfId="1377" priority="196" operator="equal">
      <formula>"N/A"</formula>
    </cfRule>
    <cfRule type="cellIs" dxfId="1376" priority="197" operator="equal">
      <formula>"Blue"</formula>
    </cfRule>
  </conditionalFormatting>
  <conditionalFormatting sqref="T9">
    <cfRule type="cellIs" dxfId="1375" priority="190" operator="equal">
      <formula>"Green"</formula>
    </cfRule>
    <cfRule type="cellIs" dxfId="1374" priority="191" operator="equal">
      <formula>"Yellow"</formula>
    </cfRule>
    <cfRule type="cellIs" dxfId="1373" priority="192" operator="equal">
      <formula>"Orange"</formula>
    </cfRule>
    <cfRule type="cellIs" dxfId="1372" priority="193" operator="equal">
      <formula>"Brown"</formula>
    </cfRule>
    <cfRule type="cellIs" dxfId="1371" priority="194" operator="equal">
      <formula>"Red"</formula>
    </cfRule>
  </conditionalFormatting>
  <conditionalFormatting sqref="T9">
    <cfRule type="cellIs" dxfId="1370" priority="185" operator="equal">
      <formula>"D Green"</formula>
    </cfRule>
    <cfRule type="cellIs" dxfId="1369" priority="186" operator="equal">
      <formula>"D Red"</formula>
    </cfRule>
    <cfRule type="cellIs" dxfId="1368" priority="187" operator="equal">
      <formula>"N/A"</formula>
    </cfRule>
    <cfRule type="cellIs" dxfId="1367" priority="188" operator="equal">
      <formula>"Blue"</formula>
    </cfRule>
  </conditionalFormatting>
  <conditionalFormatting sqref="T9">
    <cfRule type="cellIs" dxfId="1366" priority="180" operator="equal">
      <formula>"Green"</formula>
    </cfRule>
    <cfRule type="cellIs" dxfId="1365" priority="181" operator="equal">
      <formula>"Yellow"</formula>
    </cfRule>
    <cfRule type="cellIs" dxfId="1364" priority="182" operator="equal">
      <formula>"Orange"</formula>
    </cfRule>
    <cfRule type="cellIs" dxfId="1363" priority="183" operator="equal">
      <formula>"Brown"</formula>
    </cfRule>
    <cfRule type="cellIs" dxfId="1362" priority="184" operator="equal">
      <formula>"Red"</formula>
    </cfRule>
  </conditionalFormatting>
  <conditionalFormatting sqref="T9">
    <cfRule type="cellIs" dxfId="1361" priority="176" operator="equal">
      <formula>"D Green"</formula>
    </cfRule>
    <cfRule type="cellIs" dxfId="1360" priority="177" operator="equal">
      <formula>"D Red"</formula>
    </cfRule>
    <cfRule type="cellIs" dxfId="1359" priority="178" operator="equal">
      <formula>"N/A"</formula>
    </cfRule>
    <cfRule type="cellIs" dxfId="1358" priority="179" operator="equal">
      <formula>"Blue"</formula>
    </cfRule>
  </conditionalFormatting>
  <conditionalFormatting sqref="T9">
    <cfRule type="cellIs" dxfId="1357" priority="171" operator="equal">
      <formula>"Green"</formula>
    </cfRule>
    <cfRule type="cellIs" dxfId="1356" priority="172" operator="equal">
      <formula>"Yellow"</formula>
    </cfRule>
    <cfRule type="cellIs" dxfId="1355" priority="173" operator="equal">
      <formula>"Orange"</formula>
    </cfRule>
    <cfRule type="cellIs" dxfId="1354" priority="174" operator="equal">
      <formula>"Brown"</formula>
    </cfRule>
    <cfRule type="cellIs" dxfId="1353" priority="175" operator="equal">
      <formula>"Red"</formula>
    </cfRule>
  </conditionalFormatting>
  <conditionalFormatting sqref="T9">
    <cfRule type="cellIs" dxfId="1352" priority="167" operator="equal">
      <formula>"D Green"</formula>
    </cfRule>
    <cfRule type="cellIs" dxfId="1351" priority="168" operator="equal">
      <formula>"D Red"</formula>
    </cfRule>
    <cfRule type="cellIs" dxfId="1350" priority="169" operator="equal">
      <formula>"N/A"</formula>
    </cfRule>
    <cfRule type="cellIs" dxfId="1349" priority="170" operator="equal">
      <formula>"Blue"</formula>
    </cfRule>
  </conditionalFormatting>
  <conditionalFormatting sqref="T9">
    <cfRule type="cellIs" dxfId="1348" priority="162" operator="equal">
      <formula>"Green"</formula>
    </cfRule>
    <cfRule type="cellIs" dxfId="1347" priority="163" operator="equal">
      <formula>"Yellow"</formula>
    </cfRule>
    <cfRule type="cellIs" dxfId="1346" priority="164" operator="equal">
      <formula>"Orange"</formula>
    </cfRule>
    <cfRule type="cellIs" dxfId="1345" priority="165" operator="equal">
      <formula>"Brown"</formula>
    </cfRule>
    <cfRule type="cellIs" dxfId="1344" priority="166" operator="equal">
      <formula>"Red"</formula>
    </cfRule>
  </conditionalFormatting>
  <conditionalFormatting sqref="T9">
    <cfRule type="cellIs" dxfId="1343" priority="158" operator="equal">
      <formula>"D Green"</formula>
    </cfRule>
    <cfRule type="cellIs" dxfId="1342" priority="159" operator="equal">
      <formula>"D Red"</formula>
    </cfRule>
    <cfRule type="cellIs" dxfId="1341" priority="160" operator="equal">
      <formula>"N/A"</formula>
    </cfRule>
    <cfRule type="cellIs" dxfId="1340" priority="161" operator="equal">
      <formula>"Blue"</formula>
    </cfRule>
  </conditionalFormatting>
  <conditionalFormatting sqref="T9">
    <cfRule type="cellIs" dxfId="1339" priority="153" operator="equal">
      <formula>"Green"</formula>
    </cfRule>
    <cfRule type="cellIs" dxfId="1338" priority="154" operator="equal">
      <formula>"Yellow"</formula>
    </cfRule>
    <cfRule type="cellIs" dxfId="1337" priority="155" operator="equal">
      <formula>"Orange"</formula>
    </cfRule>
    <cfRule type="cellIs" dxfId="1336" priority="156" operator="equal">
      <formula>"Brown"</formula>
    </cfRule>
    <cfRule type="cellIs" dxfId="1335" priority="157" operator="equal">
      <formula>"Red"</formula>
    </cfRule>
  </conditionalFormatting>
  <conditionalFormatting sqref="D38:F47">
    <cfRule type="cellIs" dxfId="1334" priority="148" operator="equal">
      <formula>"Green"</formula>
    </cfRule>
    <cfRule type="cellIs" dxfId="1333" priority="149" operator="equal">
      <formula>"Yellow"</formula>
    </cfRule>
    <cfRule type="cellIs" dxfId="1332" priority="150" operator="equal">
      <formula>"Orange"</formula>
    </cfRule>
    <cfRule type="cellIs" dxfId="1331" priority="151" operator="equal">
      <formula>"Brown"</formula>
    </cfRule>
    <cfRule type="cellIs" dxfId="1330" priority="152" operator="equal">
      <formula>"Red"</formula>
    </cfRule>
  </conditionalFormatting>
  <conditionalFormatting sqref="X5:Y23">
    <cfRule type="cellIs" dxfId="1329" priority="144" operator="equal">
      <formula>"D Green"</formula>
    </cfRule>
    <cfRule type="cellIs" dxfId="1328" priority="145" operator="equal">
      <formula>"D Red"</formula>
    </cfRule>
    <cfRule type="cellIs" dxfId="1327" priority="146" operator="equal">
      <formula>"N/A"</formula>
    </cfRule>
    <cfRule type="cellIs" dxfId="1326" priority="147" operator="equal">
      <formula>"Blue"</formula>
    </cfRule>
  </conditionalFormatting>
  <conditionalFormatting sqref="X5:Y23">
    <cfRule type="cellIs" dxfId="1325" priority="139" operator="equal">
      <formula>"Green"</formula>
    </cfRule>
    <cfRule type="cellIs" dxfId="1324" priority="140" operator="equal">
      <formula>"Yellow"</formula>
    </cfRule>
    <cfRule type="cellIs" dxfId="1323" priority="141" operator="equal">
      <formula>"Orange"</formula>
    </cfRule>
    <cfRule type="cellIs" dxfId="1322" priority="142" operator="equal">
      <formula>"Brown"</formula>
    </cfRule>
    <cfRule type="cellIs" dxfId="1321" priority="143" operator="equal">
      <formula>"Red"</formula>
    </cfRule>
  </conditionalFormatting>
  <conditionalFormatting sqref="E5:Y23">
    <cfRule type="cellIs" dxfId="1320" priority="253" operator="equal">
      <formula>"Green"</formula>
    </cfRule>
    <cfRule type="cellIs" dxfId="1319" priority="254" operator="equal">
      <formula>"Yellow"</formula>
    </cfRule>
    <cfRule type="cellIs" dxfId="1318" priority="255" operator="equal">
      <formula>"Orange"</formula>
    </cfRule>
    <cfRule type="cellIs" dxfId="1317" priority="256" operator="equal">
      <formula>"Brown"</formula>
    </cfRule>
    <cfRule type="cellIs" dxfId="1316" priority="257" operator="equal">
      <formula>"Red"</formula>
    </cfRule>
    <cfRule type="cellIs" dxfId="1315" priority="1620" operator="equal">
      <formula>"D Green"</formula>
    </cfRule>
    <cfRule type="cellIs" dxfId="1314" priority="1621" operator="equal">
      <formula>"D Red"</formula>
    </cfRule>
    <cfRule type="cellIs" dxfId="1313" priority="1658" operator="equal">
      <formula>"N/A"</formula>
    </cfRule>
    <cfRule type="cellIs" dxfId="1312" priority="1659" operator="equal">
      <formula>"Blue"</formula>
    </cfRule>
  </conditionalFormatting>
  <conditionalFormatting sqref="E16">
    <cfRule type="expression" dxfId="1311" priority="42">
      <formula>AND($AP$2,$AT$2&lt;&gt;"")</formula>
    </cfRule>
    <cfRule type="expression" dxfId="1310" priority="84">
      <formula>AND($AP$1,$AS$2&lt;&gt;"")</formula>
    </cfRule>
    <cfRule type="expression" dxfId="1309" priority="126">
      <formula>$AU$2="Error"</formula>
    </cfRule>
  </conditionalFormatting>
  <conditionalFormatting sqref="F16">
    <cfRule type="expression" dxfId="1308" priority="125">
      <formula>$AU$3="Error"</formula>
    </cfRule>
  </conditionalFormatting>
  <conditionalFormatting sqref="G16">
    <cfRule type="expression" dxfId="1307" priority="124">
      <formula>$AU$4="Error"</formula>
    </cfRule>
  </conditionalFormatting>
  <conditionalFormatting sqref="H16">
    <cfRule type="expression" dxfId="1306" priority="123">
      <formula>$AU$5="Error"</formula>
    </cfRule>
  </conditionalFormatting>
  <conditionalFormatting sqref="I16">
    <cfRule type="expression" dxfId="1305" priority="250">
      <formula>$AU$8="Error"</formula>
    </cfRule>
  </conditionalFormatting>
  <conditionalFormatting sqref="J16">
    <cfRule type="expression" dxfId="1304" priority="252">
      <formula>$AU$9="Error"</formula>
    </cfRule>
  </conditionalFormatting>
  <conditionalFormatting sqref="K16">
    <cfRule type="expression" dxfId="1303" priority="120">
      <formula>$AU$10="Error"</formula>
    </cfRule>
  </conditionalFormatting>
  <conditionalFormatting sqref="L16">
    <cfRule type="expression" dxfId="1302" priority="119">
      <formula>$AU$11="Error"</formula>
    </cfRule>
  </conditionalFormatting>
  <conditionalFormatting sqref="M16">
    <cfRule type="expression" dxfId="1301" priority="118">
      <formula>$AU$12="Error"</formula>
    </cfRule>
  </conditionalFormatting>
  <conditionalFormatting sqref="N16">
    <cfRule type="expression" dxfId="1300" priority="117">
      <formula>$AU$13="Error"</formula>
    </cfRule>
  </conditionalFormatting>
  <conditionalFormatting sqref="O16">
    <cfRule type="expression" dxfId="1299" priority="116">
      <formula>$AU$14="Error"</formula>
    </cfRule>
  </conditionalFormatting>
  <conditionalFormatting sqref="P16">
    <cfRule type="expression" dxfId="1298" priority="115">
      <formula>$AU$15="Error"</formula>
    </cfRule>
  </conditionalFormatting>
  <conditionalFormatting sqref="Q16">
    <cfRule type="expression" dxfId="1297" priority="114">
      <formula>$AU$16="Error"</formula>
    </cfRule>
  </conditionalFormatting>
  <conditionalFormatting sqref="R16">
    <cfRule type="expression" dxfId="1296" priority="113">
      <formula>$AU$17="Error"</formula>
    </cfRule>
  </conditionalFormatting>
  <conditionalFormatting sqref="S16">
    <cfRule type="expression" dxfId="1295" priority="112">
      <formula>$AU$18="Error"</formula>
    </cfRule>
  </conditionalFormatting>
  <conditionalFormatting sqref="T16">
    <cfRule type="expression" dxfId="1294" priority="111">
      <formula>$AU$19="Error"</formula>
    </cfRule>
  </conditionalFormatting>
  <conditionalFormatting sqref="U16">
    <cfRule type="expression" dxfId="1293" priority="110">
      <formula>$AU$20="Error"</formula>
    </cfRule>
  </conditionalFormatting>
  <conditionalFormatting sqref="V16">
    <cfRule type="expression" dxfId="1292" priority="109">
      <formula>$AU$21="Error"</formula>
    </cfRule>
  </conditionalFormatting>
  <conditionalFormatting sqref="W16">
    <cfRule type="expression" dxfId="1291" priority="108">
      <formula>$AU$22="Error"</formula>
    </cfRule>
  </conditionalFormatting>
  <conditionalFormatting sqref="X16">
    <cfRule type="expression" dxfId="1290" priority="107">
      <formula>$AU$23="Error"</formula>
    </cfRule>
  </conditionalFormatting>
  <conditionalFormatting sqref="Y16">
    <cfRule type="expression" dxfId="1289" priority="106">
      <formula>$AU$24="Error"</formula>
    </cfRule>
  </conditionalFormatting>
  <conditionalFormatting sqref="E17">
    <cfRule type="expression" dxfId="1288" priority="105">
      <formula>$AU$25="Error"</formula>
    </cfRule>
  </conditionalFormatting>
  <conditionalFormatting sqref="F17">
    <cfRule type="expression" dxfId="1287" priority="104">
      <formula>$AU$26="Error"</formula>
    </cfRule>
  </conditionalFormatting>
  <conditionalFormatting sqref="G17">
    <cfRule type="expression" dxfId="1286" priority="103">
      <formula>$AU$27="Error"</formula>
    </cfRule>
  </conditionalFormatting>
  <conditionalFormatting sqref="H17">
    <cfRule type="expression" dxfId="1285" priority="102">
      <formula>$AU$28="Error"</formula>
    </cfRule>
  </conditionalFormatting>
  <conditionalFormatting sqref="I17">
    <cfRule type="expression" dxfId="1284" priority="101">
      <formula>$AU$29="Error"</formula>
    </cfRule>
  </conditionalFormatting>
  <conditionalFormatting sqref="J17">
    <cfRule type="expression" dxfId="1283" priority="100">
      <formula>$AU$30="Error"</formula>
    </cfRule>
  </conditionalFormatting>
  <conditionalFormatting sqref="K17">
    <cfRule type="expression" dxfId="1282" priority="99">
      <formula>$AU$31="Error"</formula>
    </cfRule>
  </conditionalFormatting>
  <conditionalFormatting sqref="L17">
    <cfRule type="expression" dxfId="1281" priority="98">
      <formula>$AU$32="Error"</formula>
    </cfRule>
  </conditionalFormatting>
  <conditionalFormatting sqref="M17">
    <cfRule type="expression" dxfId="1280" priority="97">
      <formula>$AU$33="Error"</formula>
    </cfRule>
  </conditionalFormatting>
  <conditionalFormatting sqref="N17">
    <cfRule type="expression" dxfId="1279" priority="96">
      <formula>$AU$34="Error"</formula>
    </cfRule>
  </conditionalFormatting>
  <conditionalFormatting sqref="O17">
    <cfRule type="expression" dxfId="1278" priority="95">
      <formula>$AU$35="Error"</formula>
    </cfRule>
  </conditionalFormatting>
  <conditionalFormatting sqref="P17">
    <cfRule type="expression" dxfId="1277" priority="94">
      <formula>$AU$36="Error"</formula>
    </cfRule>
  </conditionalFormatting>
  <conditionalFormatting sqref="Q17">
    <cfRule type="expression" dxfId="1276" priority="93">
      <formula>$AU$37="Error"</formula>
    </cfRule>
  </conditionalFormatting>
  <conditionalFormatting sqref="R17">
    <cfRule type="expression" dxfId="1275" priority="92">
      <formula>$AU$38="Error"</formula>
    </cfRule>
  </conditionalFormatting>
  <conditionalFormatting sqref="S17">
    <cfRule type="expression" dxfId="1274" priority="91">
      <formula>$AU$39="Error"</formula>
    </cfRule>
  </conditionalFormatting>
  <conditionalFormatting sqref="T17">
    <cfRule type="expression" dxfId="1273" priority="90">
      <formula>$AU$40="Error"</formula>
    </cfRule>
  </conditionalFormatting>
  <conditionalFormatting sqref="U17">
    <cfRule type="expression" dxfId="1272" priority="89">
      <formula>$AU$41="Error"</formula>
    </cfRule>
  </conditionalFormatting>
  <conditionalFormatting sqref="V17">
    <cfRule type="expression" dxfId="1271" priority="88">
      <formula>$AU$42="Error"</formula>
    </cfRule>
  </conditionalFormatting>
  <conditionalFormatting sqref="W17">
    <cfRule type="expression" dxfId="1270" priority="87">
      <formula>$AU$43="Error"</formula>
    </cfRule>
  </conditionalFormatting>
  <conditionalFormatting sqref="X17">
    <cfRule type="expression" dxfId="1269" priority="86">
      <formula>$AU$44="Error"</formula>
    </cfRule>
  </conditionalFormatting>
  <conditionalFormatting sqref="Y17">
    <cfRule type="expression" dxfId="1268" priority="85">
      <formula>$AU$45="Error"</formula>
    </cfRule>
  </conditionalFormatting>
  <conditionalFormatting sqref="F16">
    <cfRule type="expression" dxfId="1267" priority="83">
      <formula>AND($AP$1,$AS$3&lt;&gt;"")</formula>
    </cfRule>
  </conditionalFormatting>
  <conditionalFormatting sqref="G16">
    <cfRule type="expression" dxfId="1266" priority="82">
      <formula>AND($AP$1,$AS$4&lt;&gt;"")</formula>
    </cfRule>
  </conditionalFormatting>
  <conditionalFormatting sqref="H16">
    <cfRule type="expression" dxfId="1265" priority="81">
      <formula>AND($AP$1,$AS$5&lt;&gt;"")</formula>
    </cfRule>
  </conditionalFormatting>
  <conditionalFormatting sqref="K16">
    <cfRule type="expression" dxfId="1264" priority="80">
      <formula>AND($AP$1,$AS$8&lt;&gt;"")</formula>
    </cfRule>
  </conditionalFormatting>
  <conditionalFormatting sqref="L16">
    <cfRule type="expression" dxfId="1263" priority="79">
      <formula>AND($AP$1,$AS$9&lt;&gt;"")</formula>
    </cfRule>
  </conditionalFormatting>
  <conditionalFormatting sqref="M16">
    <cfRule type="expression" dxfId="1262" priority="78">
      <formula>AND($AP$1,$AS$10&lt;&gt;"")</formula>
    </cfRule>
  </conditionalFormatting>
  <conditionalFormatting sqref="N16">
    <cfRule type="expression" dxfId="1261" priority="77">
      <formula>AND($AP$1,$AS$11&lt;&gt;"")</formula>
    </cfRule>
  </conditionalFormatting>
  <conditionalFormatting sqref="O16">
    <cfRule type="expression" dxfId="1260" priority="76">
      <formula>AND($AP$1,$AS$12&lt;&gt;"")</formula>
    </cfRule>
  </conditionalFormatting>
  <conditionalFormatting sqref="P16">
    <cfRule type="expression" dxfId="1259" priority="75">
      <formula>AND($AP$1,$AS$13&lt;&gt;"")</formula>
    </cfRule>
  </conditionalFormatting>
  <conditionalFormatting sqref="Q16">
    <cfRule type="expression" dxfId="1258" priority="74">
      <formula>AND($AP$1,$AS$14&lt;&gt;"")</formula>
    </cfRule>
  </conditionalFormatting>
  <conditionalFormatting sqref="R16">
    <cfRule type="expression" dxfId="1257" priority="73">
      <formula>AND($AP$1,$AS$15&lt;&gt;"")</formula>
    </cfRule>
  </conditionalFormatting>
  <conditionalFormatting sqref="S16">
    <cfRule type="expression" dxfId="1256" priority="72">
      <formula>AND($AP$1,$AS$16&lt;&gt;"")</formula>
    </cfRule>
  </conditionalFormatting>
  <conditionalFormatting sqref="T16">
    <cfRule type="expression" dxfId="1255" priority="71">
      <formula>AND($AP$1,$AS$17&lt;&gt;"")</formula>
    </cfRule>
  </conditionalFormatting>
  <conditionalFormatting sqref="U16">
    <cfRule type="expression" dxfId="1254" priority="70">
      <formula>AND($AP$1,$AS$18&lt;&gt;"")</formula>
    </cfRule>
  </conditionalFormatting>
  <conditionalFormatting sqref="V16">
    <cfRule type="expression" dxfId="1253" priority="69">
      <formula>AND($AP$1,$AS$19&lt;&gt;"")</formula>
    </cfRule>
  </conditionalFormatting>
  <conditionalFormatting sqref="W16">
    <cfRule type="expression" dxfId="1252" priority="68">
      <formula>AND($AP$1,$AS$20&lt;&gt;"")</formula>
    </cfRule>
  </conditionalFormatting>
  <conditionalFormatting sqref="X16">
    <cfRule type="expression" dxfId="1251" priority="67">
      <formula>AND($AP$1,$AS$21&lt;&gt;"")</formula>
    </cfRule>
  </conditionalFormatting>
  <conditionalFormatting sqref="Y16">
    <cfRule type="expression" dxfId="1250" priority="66">
      <formula>AND($AP$1,$AS$22&lt;&gt;"")</formula>
    </cfRule>
  </conditionalFormatting>
  <conditionalFormatting sqref="E17">
    <cfRule type="expression" dxfId="1249" priority="65">
      <formula>AND($AP$1,$AS$23&lt;&gt;"")</formula>
    </cfRule>
  </conditionalFormatting>
  <conditionalFormatting sqref="F17">
    <cfRule type="expression" dxfId="1248" priority="64">
      <formula>AND($AP$1,$AS$24&lt;&gt;"")</formula>
    </cfRule>
  </conditionalFormatting>
  <conditionalFormatting sqref="G17">
    <cfRule type="expression" dxfId="1247" priority="63">
      <formula>AND($AP$1,$AS$25&lt;&gt;"")</formula>
    </cfRule>
  </conditionalFormatting>
  <conditionalFormatting sqref="H17">
    <cfRule type="expression" dxfId="1246" priority="62">
      <formula>AND($AP$1,$AS$26&lt;&gt;"")</formula>
    </cfRule>
  </conditionalFormatting>
  <conditionalFormatting sqref="I17">
    <cfRule type="expression" dxfId="1245" priority="61">
      <formula>AND($AP$1,$AS$27&lt;&gt;"")</formula>
    </cfRule>
  </conditionalFormatting>
  <conditionalFormatting sqref="J17">
    <cfRule type="expression" dxfId="1244" priority="60">
      <formula>AND($AP$1,$AS$28&lt;&gt;"")</formula>
    </cfRule>
  </conditionalFormatting>
  <conditionalFormatting sqref="K17">
    <cfRule type="expression" dxfId="1243" priority="59">
      <formula>AND($AP$1,$AS$29&lt;&gt;"")</formula>
    </cfRule>
  </conditionalFormatting>
  <conditionalFormatting sqref="L17">
    <cfRule type="expression" dxfId="1242" priority="58">
      <formula>AND($AP$1,$AS$30&lt;&gt;"")</formula>
    </cfRule>
  </conditionalFormatting>
  <conditionalFormatting sqref="M17">
    <cfRule type="expression" dxfId="1241" priority="57">
      <formula>AND($AP$1,$AS$31&lt;&gt;"")</formula>
    </cfRule>
  </conditionalFormatting>
  <conditionalFormatting sqref="N17">
    <cfRule type="expression" dxfId="1240" priority="56">
      <formula>AND($AP$1,$AS$32&lt;&gt;"")</formula>
    </cfRule>
  </conditionalFormatting>
  <conditionalFormatting sqref="O17">
    <cfRule type="expression" dxfId="1239" priority="55">
      <formula>AND($AP$1,$AS$33&lt;&gt;"")</formula>
    </cfRule>
  </conditionalFormatting>
  <conditionalFormatting sqref="P17">
    <cfRule type="expression" dxfId="1238" priority="54">
      <formula>AND($AP$1,$AS$34&lt;&gt;"")</formula>
    </cfRule>
  </conditionalFormatting>
  <conditionalFormatting sqref="Q17">
    <cfRule type="expression" dxfId="1237" priority="53">
      <formula>AND($AP$1,$AS$35&lt;&gt;"")</formula>
    </cfRule>
  </conditionalFormatting>
  <conditionalFormatting sqref="R17">
    <cfRule type="expression" dxfId="1236" priority="52">
      <formula>AND($AP$1,$AS$36&lt;&gt;"")</formula>
    </cfRule>
  </conditionalFormatting>
  <conditionalFormatting sqref="S17">
    <cfRule type="expression" dxfId="1235" priority="51">
      <formula>AND($AP$1,$AS$37&lt;&gt;"")</formula>
    </cfRule>
  </conditionalFormatting>
  <conditionalFormatting sqref="T17">
    <cfRule type="expression" dxfId="1234" priority="50">
      <formula>AND($AP$1,$AS$38&lt;&gt;"")</formula>
    </cfRule>
  </conditionalFormatting>
  <conditionalFormatting sqref="U17">
    <cfRule type="expression" dxfId="1233" priority="49">
      <formula>AND($AP$1,$AS$39&lt;&gt;"")</formula>
    </cfRule>
  </conditionalFormatting>
  <conditionalFormatting sqref="V17">
    <cfRule type="expression" dxfId="1232" priority="48">
      <formula>AND($AP$1,$AS$40&lt;&gt;"")</formula>
    </cfRule>
  </conditionalFormatting>
  <conditionalFormatting sqref="W17">
    <cfRule type="expression" dxfId="1231" priority="47">
      <formula>AND($AP$1,$AS$41&lt;&gt;"")</formula>
    </cfRule>
  </conditionalFormatting>
  <conditionalFormatting sqref="X17">
    <cfRule type="expression" dxfId="1230" priority="46">
      <formula>AND($AP$1,$AS$42&lt;&gt;"")</formula>
    </cfRule>
  </conditionalFormatting>
  <conditionalFormatting sqref="Y17">
    <cfRule type="expression" dxfId="1229" priority="45">
      <formula>AND($AP$1,$AS$43&lt;&gt;"")</formula>
    </cfRule>
  </conditionalFormatting>
  <conditionalFormatting sqref="F16">
    <cfRule type="expression" dxfId="1228" priority="41">
      <formula>AND($AP$2,$AT$3&lt;&gt;"")</formula>
    </cfRule>
  </conditionalFormatting>
  <conditionalFormatting sqref="G16">
    <cfRule type="expression" dxfId="1227" priority="40">
      <formula>AND($AP$2,$AT$4&lt;&gt;"")</formula>
    </cfRule>
  </conditionalFormatting>
  <conditionalFormatting sqref="H16">
    <cfRule type="expression" dxfId="1226" priority="39">
      <formula>AND($AP$2,$AT$5&lt;&gt;"")</formula>
    </cfRule>
  </conditionalFormatting>
  <conditionalFormatting sqref="K16">
    <cfRule type="expression" dxfId="1225" priority="38">
      <formula>AND($AP$2,$AT$8&lt;&gt;"")</formula>
    </cfRule>
  </conditionalFormatting>
  <conditionalFormatting sqref="L16">
    <cfRule type="expression" dxfId="1224" priority="37">
      <formula>AND($AP$2,$AT$9&lt;&gt;"")</formula>
    </cfRule>
  </conditionalFormatting>
  <conditionalFormatting sqref="M16">
    <cfRule type="expression" dxfId="1223" priority="36">
      <formula>AND($AP$2,$AT$10&lt;&gt;"")</formula>
    </cfRule>
  </conditionalFormatting>
  <conditionalFormatting sqref="N16">
    <cfRule type="expression" dxfId="1222" priority="35">
      <formula>AND($AP$2,$AT$11&lt;&gt;"")</formula>
    </cfRule>
  </conditionalFormatting>
  <conditionalFormatting sqref="O16">
    <cfRule type="expression" dxfId="1221" priority="34">
      <formula>AND($AP$2,$AT$12&lt;&gt;"")</formula>
    </cfRule>
  </conditionalFormatting>
  <conditionalFormatting sqref="P16">
    <cfRule type="expression" dxfId="1220" priority="33">
      <formula>AND($AP$2,$AT$13&lt;&gt;"")</formula>
    </cfRule>
  </conditionalFormatting>
  <conditionalFormatting sqref="Q16">
    <cfRule type="expression" dxfId="1219" priority="32">
      <formula>AND($AP$2,$AT$14&lt;&gt;"")</formula>
    </cfRule>
  </conditionalFormatting>
  <conditionalFormatting sqref="R16">
    <cfRule type="expression" dxfId="1218" priority="31">
      <formula>AND($AP$2,$AT$15&lt;&gt;"")</formula>
    </cfRule>
  </conditionalFormatting>
  <conditionalFormatting sqref="S16">
    <cfRule type="expression" dxfId="1217" priority="30">
      <formula>AND($AP$2,$AT$16&lt;&gt;"")</formula>
    </cfRule>
  </conditionalFormatting>
  <conditionalFormatting sqref="T16">
    <cfRule type="expression" dxfId="1216" priority="29">
      <formula>AND($AP$2,$AT$17&lt;&gt;"")</formula>
    </cfRule>
  </conditionalFormatting>
  <conditionalFormatting sqref="U16">
    <cfRule type="expression" dxfId="1215" priority="28">
      <formula>AND($AP$2,$AT$18&lt;&gt;"")</formula>
    </cfRule>
  </conditionalFormatting>
  <conditionalFormatting sqref="V16">
    <cfRule type="expression" dxfId="1214" priority="27">
      <formula>AND($AP$2,$AT$19&lt;&gt;"")</formula>
    </cfRule>
  </conditionalFormatting>
  <conditionalFormatting sqref="W16">
    <cfRule type="expression" dxfId="1213" priority="26">
      <formula>AND($AP$2,$AT$20&lt;&gt;"")</formula>
    </cfRule>
  </conditionalFormatting>
  <conditionalFormatting sqref="X16">
    <cfRule type="expression" dxfId="1212" priority="25">
      <formula>AND($AP$2,$AT$21&lt;&gt;"")</formula>
    </cfRule>
  </conditionalFormatting>
  <conditionalFormatting sqref="Y16">
    <cfRule type="expression" dxfId="1211" priority="24">
      <formula>AND($AP$2,$AT$22&lt;&gt;"")</formula>
    </cfRule>
  </conditionalFormatting>
  <conditionalFormatting sqref="E17">
    <cfRule type="expression" dxfId="1210" priority="23">
      <formula>AND($AP$2,$AT$23&lt;&gt;"")</formula>
    </cfRule>
  </conditionalFormatting>
  <conditionalFormatting sqref="F17">
    <cfRule type="expression" dxfId="1209" priority="22">
      <formula>AND($AP$2,$AT$24&lt;&gt;"")</formula>
    </cfRule>
  </conditionalFormatting>
  <conditionalFormatting sqref="G17">
    <cfRule type="expression" dxfId="1208" priority="21">
      <formula>AND($AP$2,$AT$25&lt;&gt;"")</formula>
    </cfRule>
  </conditionalFormatting>
  <conditionalFormatting sqref="H17">
    <cfRule type="expression" dxfId="1207" priority="20">
      <formula>AND($AP$2,$AT$26&lt;&gt;"")</formula>
    </cfRule>
  </conditionalFormatting>
  <conditionalFormatting sqref="I17">
    <cfRule type="expression" dxfId="1206" priority="19">
      <formula>AND($AP$2,$AT$27&lt;&gt;"")</formula>
    </cfRule>
  </conditionalFormatting>
  <conditionalFormatting sqref="J17">
    <cfRule type="expression" dxfId="1205" priority="18">
      <formula>AND($AP$2,$AT$28&lt;&gt;"")</formula>
    </cfRule>
  </conditionalFormatting>
  <conditionalFormatting sqref="K17">
    <cfRule type="expression" dxfId="1204" priority="17">
      <formula>AND($AP$2,$AT$29&lt;&gt;"")</formula>
    </cfRule>
  </conditionalFormatting>
  <conditionalFormatting sqref="L17">
    <cfRule type="expression" dxfId="1203" priority="16">
      <formula>AND($AP$2,$AT$30&lt;&gt;"")</formula>
    </cfRule>
  </conditionalFormatting>
  <conditionalFormatting sqref="M17">
    <cfRule type="expression" dxfId="1202" priority="15">
      <formula>AND($AP$2,$AT$31&lt;&gt;"")</formula>
    </cfRule>
  </conditionalFormatting>
  <conditionalFormatting sqref="N17">
    <cfRule type="expression" dxfId="1201" priority="14">
      <formula>AND($AP$2,$AT$32&lt;&gt;"")</formula>
    </cfRule>
  </conditionalFormatting>
  <conditionalFormatting sqref="O17">
    <cfRule type="expression" dxfId="1200" priority="13">
      <formula>AND($AP$2,$AT$33&lt;&gt;"")</formula>
    </cfRule>
  </conditionalFormatting>
  <conditionalFormatting sqref="P17">
    <cfRule type="expression" dxfId="1199" priority="12">
      <formula>AND($AP$2,$AT$34&lt;&gt;"")</formula>
    </cfRule>
  </conditionalFormatting>
  <conditionalFormatting sqref="Q17">
    <cfRule type="expression" dxfId="1198" priority="11">
      <formula>AND($AP$2,$AT$35&lt;&gt;"")</formula>
    </cfRule>
  </conditionalFormatting>
  <conditionalFormatting sqref="R17">
    <cfRule type="expression" dxfId="1197" priority="10">
      <formula>AND($AP$2,$AT$36&lt;&gt;"")</formula>
    </cfRule>
  </conditionalFormatting>
  <conditionalFormatting sqref="S17">
    <cfRule type="expression" dxfId="1196" priority="9">
      <formula>AND($AP$2,$AT$37&lt;&gt;"")</formula>
    </cfRule>
  </conditionalFormatting>
  <conditionalFormatting sqref="T17">
    <cfRule type="expression" dxfId="1195" priority="8">
      <formula>AND($AP$2,$AT$38&lt;&gt;"")</formula>
    </cfRule>
  </conditionalFormatting>
  <conditionalFormatting sqref="U17">
    <cfRule type="expression" dxfId="1194" priority="7">
      <formula>AND($AP$2,$AT$39&lt;&gt;"")</formula>
    </cfRule>
  </conditionalFormatting>
  <conditionalFormatting sqref="V17">
    <cfRule type="expression" dxfId="1193" priority="6">
      <formula>AND($AP$2,$AT$40&lt;&gt;"")</formula>
    </cfRule>
  </conditionalFormatting>
  <conditionalFormatting sqref="W17">
    <cfRule type="expression" dxfId="1192" priority="5">
      <formula>AND($AP$2,$AT$41&lt;&gt;"")</formula>
    </cfRule>
  </conditionalFormatting>
  <conditionalFormatting sqref="X17">
    <cfRule type="expression" dxfId="1191" priority="4">
      <formula>AND($AP$2,$AT$42&lt;&gt;"")</formula>
    </cfRule>
  </conditionalFormatting>
  <conditionalFormatting sqref="Y17">
    <cfRule type="expression" dxfId="1190" priority="3">
      <formula>AND($AP$2,$AT$43&lt;&gt;"")</formula>
    </cfRule>
  </conditionalFormatting>
  <conditionalFormatting sqref="I16">
    <cfRule type="expression" dxfId="1189" priority="249">
      <formula>AND($AP$1,$AS$6&lt;&gt;"")</formula>
    </cfRule>
  </conditionalFormatting>
  <conditionalFormatting sqref="J16">
    <cfRule type="expression" dxfId="1188" priority="251">
      <formula>AND($AP$1,$AS$7&lt;&gt;"")</formula>
    </cfRule>
  </conditionalFormatting>
  <conditionalFormatting sqref="I16">
    <cfRule type="expression" dxfId="1187" priority="122">
      <formula>AND($AP$2,$AT$6&lt;&gt;"")</formula>
    </cfRule>
  </conditionalFormatting>
  <conditionalFormatting sqref="J16">
    <cfRule type="expression" dxfId="1186" priority="121">
      <formula>AND($AP$2,$AT$7&lt;&gt;"")</formula>
    </cfRule>
  </conditionalFormatting>
  <dataValidations count="2">
    <dataValidation type="list" allowBlank="1" showInputMessage="1" showErrorMessage="1" sqref="E5:F23 X5:Y23 G5:W7" xr:uid="{7FE1B461-578C-404E-8739-52215A97FF4B}">
      <formula1>"N/A,Green,Yellow,Orange,Brown,Red,D Red,Blue"</formula1>
    </dataValidation>
    <dataValidation type="list" allowBlank="1" showInputMessage="1" showErrorMessage="1" sqref="G8:W23" xr:uid="{AA96FFA7-D562-401A-A1A5-432EE969B15F}">
      <formula1>"N/A,D Green,Green,Yellow,Orange,Brown,Red,D Red,Blue"</formula1>
    </dataValidation>
  </dataValidations>
  <pageMargins left="0.8" right="0.44" top="0.53" bottom="1" header="0.5" footer="0.5"/>
  <pageSetup paperSize="9" scale="51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Check Box 7">
              <controlPr defaultSize="0" autoFill="0" autoLine="0" autoPict="0">
                <anchor moveWithCells="1">
                  <from>
                    <xdr:col>27</xdr:col>
                    <xdr:colOff>38100</xdr:colOff>
                    <xdr:row>16</xdr:row>
                    <xdr:rowOff>19050</xdr:rowOff>
                  </from>
                  <to>
                    <xdr:col>31</xdr:col>
                    <xdr:colOff>390525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Check Box 8">
              <controlPr defaultSize="0" autoFill="0" autoLine="0" autoPict="0">
                <anchor moveWithCells="1">
                  <from>
                    <xdr:col>29</xdr:col>
                    <xdr:colOff>180975</xdr:colOff>
                    <xdr:row>16</xdr:row>
                    <xdr:rowOff>19050</xdr:rowOff>
                  </from>
                  <to>
                    <xdr:col>33</xdr:col>
                    <xdr:colOff>361950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0]!Add_to_Adult">
                <anchor moveWithCells="1" sizeWithCells="1">
                  <from>
                    <xdr:col>27</xdr:col>
                    <xdr:colOff>76200</xdr:colOff>
                    <xdr:row>15</xdr:row>
                    <xdr:rowOff>66675</xdr:rowOff>
                  </from>
                  <to>
                    <xdr:col>28</xdr:col>
                    <xdr:colOff>342900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7" name="Button 13">
              <controlPr defaultSize="0" print="0" autoFill="0" autoPict="0" macro="[0]!Add_to_Child">
                <anchor moveWithCells="1" sizeWithCells="1">
                  <from>
                    <xdr:col>29</xdr:col>
                    <xdr:colOff>228600</xdr:colOff>
                    <xdr:row>15</xdr:row>
                    <xdr:rowOff>66675</xdr:rowOff>
                  </from>
                  <to>
                    <xdr:col>31</xdr:col>
                    <xdr:colOff>190500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>
    <tabColor rgb="FF00B050"/>
    <pageSetUpPr fitToPage="1"/>
  </sheetPr>
  <dimension ref="B1:AF35"/>
  <sheetViews>
    <sheetView showGridLines="0" showOutlineSymbols="0" topLeftCell="A2" zoomScaleNormal="100" workbookViewId="0"/>
  </sheetViews>
  <sheetFormatPr defaultColWidth="8.7109375" defaultRowHeight="12.75"/>
  <cols>
    <col min="1" max="2" width="8.7109375" style="1"/>
    <col min="3" max="3" width="7.28515625" style="1" customWidth="1"/>
    <col min="4" max="4" width="14.42578125" style="1" customWidth="1"/>
    <col min="5" max="5" width="14.5703125" style="1" customWidth="1"/>
    <col min="6" max="9" width="4.42578125" style="1" customWidth="1"/>
    <col min="10" max="10" width="4.42578125" style="2" customWidth="1"/>
    <col min="11" max="13" width="4.42578125" style="1" customWidth="1"/>
    <col min="14" max="14" width="4.42578125" style="2" customWidth="1"/>
    <col min="15" max="17" width="4.42578125" style="1" customWidth="1"/>
    <col min="18" max="18" width="4.42578125" style="2" customWidth="1"/>
    <col min="19" max="25" width="4.42578125" style="1" customWidth="1"/>
    <col min="26" max="28" width="4.42578125" style="2" customWidth="1"/>
    <col min="29" max="29" width="5.42578125" style="1" customWidth="1"/>
    <col min="30" max="16384" width="8.7109375" style="1"/>
  </cols>
  <sheetData>
    <row r="1" spans="2:32" ht="13.5" thickBot="1"/>
    <row r="2" spans="2:32" s="4" customFormat="1" ht="15" customHeight="1">
      <c r="B2" s="1450" t="s">
        <v>259</v>
      </c>
      <c r="C2" s="1608"/>
      <c r="D2" s="1608"/>
      <c r="E2" s="1608"/>
      <c r="F2" s="1451"/>
      <c r="G2" s="1454" t="s">
        <v>257</v>
      </c>
      <c r="H2" s="1464"/>
      <c r="I2" s="1464"/>
      <c r="J2" s="1464"/>
      <c r="K2" s="1464"/>
      <c r="L2" s="1464"/>
      <c r="M2" s="1464"/>
      <c r="N2" s="1464"/>
      <c r="O2" s="1464"/>
      <c r="P2" s="1464"/>
      <c r="Q2" s="1464"/>
      <c r="R2" s="1486"/>
      <c r="S2" s="1464" t="s">
        <v>352</v>
      </c>
      <c r="T2" s="1464"/>
      <c r="U2" s="1464"/>
      <c r="V2" s="1464"/>
      <c r="W2" s="1464"/>
      <c r="X2" s="1464"/>
      <c r="Y2" s="1464"/>
      <c r="Z2" s="1486"/>
      <c r="AA2" s="1454" t="s">
        <v>82</v>
      </c>
      <c r="AB2" s="1486"/>
    </row>
    <row r="3" spans="2:32" s="4" customFormat="1" ht="12" customHeight="1">
      <c r="B3" s="1452"/>
      <c r="C3" s="1609"/>
      <c r="D3" s="1609"/>
      <c r="E3" s="1609"/>
      <c r="F3" s="1453"/>
      <c r="G3" s="1921" t="s">
        <v>254</v>
      </c>
      <c r="H3" s="1895"/>
      <c r="I3" s="1895"/>
      <c r="J3" s="1896"/>
      <c r="K3" s="1897" t="s">
        <v>255</v>
      </c>
      <c r="L3" s="1895"/>
      <c r="M3" s="1895"/>
      <c r="N3" s="1896"/>
      <c r="O3" s="1895" t="s">
        <v>256</v>
      </c>
      <c r="P3" s="1895"/>
      <c r="Q3" s="1895"/>
      <c r="R3" s="1898"/>
      <c r="S3" s="1895" t="s">
        <v>254</v>
      </c>
      <c r="T3" s="1896"/>
      <c r="U3" s="1897" t="s">
        <v>256</v>
      </c>
      <c r="V3" s="1896"/>
      <c r="W3" s="1897" t="s">
        <v>353</v>
      </c>
      <c r="X3" s="1895"/>
      <c r="Y3" s="1895"/>
      <c r="Z3" s="1898"/>
      <c r="AA3" s="1456"/>
      <c r="AB3" s="1487"/>
      <c r="AC3" s="30"/>
      <c r="AD3" s="30"/>
      <c r="AE3" s="30"/>
      <c r="AF3" s="30"/>
    </row>
    <row r="4" spans="2:32" ht="15" customHeight="1" thickBot="1">
      <c r="B4" s="1484" t="str">
        <f>'General Overview'!G10</f>
        <v/>
      </c>
      <c r="C4" s="1610"/>
      <c r="D4" s="1610"/>
      <c r="E4" s="1610"/>
      <c r="F4" s="1485"/>
      <c r="G4" s="1909" t="s">
        <v>99</v>
      </c>
      <c r="H4" s="1910"/>
      <c r="I4" s="1910"/>
      <c r="J4" s="1902"/>
      <c r="K4" s="1901" t="s">
        <v>99</v>
      </c>
      <c r="L4" s="1910"/>
      <c r="M4" s="1910"/>
      <c r="N4" s="1902"/>
      <c r="O4" s="1901" t="s">
        <v>99</v>
      </c>
      <c r="P4" s="1910"/>
      <c r="Q4" s="1910"/>
      <c r="R4" s="1911"/>
      <c r="S4" s="1910" t="s">
        <v>99</v>
      </c>
      <c r="T4" s="1902"/>
      <c r="U4" s="1901" t="s">
        <v>99</v>
      </c>
      <c r="V4" s="1902"/>
      <c r="W4" s="1910" t="s">
        <v>99</v>
      </c>
      <c r="X4" s="1910"/>
      <c r="Y4" s="1899" t="s">
        <v>40</v>
      </c>
      <c r="Z4" s="1900"/>
      <c r="AA4" s="1903" t="s">
        <v>40</v>
      </c>
      <c r="AB4" s="1900"/>
      <c r="AC4" s="9"/>
      <c r="AD4" s="9"/>
      <c r="AE4" s="9"/>
      <c r="AF4" s="9"/>
    </row>
    <row r="5" spans="2:32" ht="15" customHeight="1">
      <c r="B5" s="1916" t="s">
        <v>44</v>
      </c>
      <c r="C5" s="1917"/>
      <c r="D5" s="1917"/>
      <c r="E5" s="1917"/>
      <c r="F5" s="1918"/>
      <c r="G5" s="1499"/>
      <c r="H5" s="1624"/>
      <c r="I5" s="1624"/>
      <c r="J5" s="1500"/>
      <c r="K5" s="1496"/>
      <c r="L5" s="1624"/>
      <c r="M5" s="1624"/>
      <c r="N5" s="1500"/>
      <c r="O5" s="1496"/>
      <c r="P5" s="1624"/>
      <c r="Q5" s="1624"/>
      <c r="R5" s="1497"/>
      <c r="S5" s="1624"/>
      <c r="T5" s="1500"/>
      <c r="U5" s="1496"/>
      <c r="V5" s="1500"/>
      <c r="W5" s="1624"/>
      <c r="X5" s="1624"/>
      <c r="Y5" s="1624"/>
      <c r="Z5" s="1497"/>
      <c r="AA5" s="1499"/>
      <c r="AB5" s="1497"/>
      <c r="AC5" s="9"/>
      <c r="AD5" s="9"/>
      <c r="AE5" s="9"/>
      <c r="AF5" s="9"/>
    </row>
    <row r="6" spans="2:32" ht="15" customHeight="1">
      <c r="B6" s="1922"/>
      <c r="C6" s="1923"/>
      <c r="D6" s="1923"/>
      <c r="E6" s="1923"/>
      <c r="F6" s="1924"/>
      <c r="G6" s="1904"/>
      <c r="H6" s="1908"/>
      <c r="I6" s="1908"/>
      <c r="J6" s="1907"/>
      <c r="K6" s="1906"/>
      <c r="L6" s="1908"/>
      <c r="M6" s="1908"/>
      <c r="N6" s="1907"/>
      <c r="O6" s="1906"/>
      <c r="P6" s="1908"/>
      <c r="Q6" s="1908"/>
      <c r="R6" s="1905"/>
      <c r="S6" s="1908"/>
      <c r="T6" s="1907"/>
      <c r="U6" s="1906"/>
      <c r="V6" s="1907"/>
      <c r="W6" s="1908"/>
      <c r="X6" s="1908"/>
      <c r="Y6" s="1908"/>
      <c r="Z6" s="1905"/>
      <c r="AA6" s="1904"/>
      <c r="AB6" s="1905"/>
    </row>
    <row r="7" spans="2:32" ht="15" customHeight="1">
      <c r="B7" s="1919" t="s">
        <v>260</v>
      </c>
      <c r="C7" s="1920"/>
      <c r="D7" s="982"/>
      <c r="E7" s="1925" t="s">
        <v>432</v>
      </c>
      <c r="F7" s="1926"/>
      <c r="G7" s="1904"/>
      <c r="H7" s="1908"/>
      <c r="I7" s="1908"/>
      <c r="J7" s="1907"/>
      <c r="K7" s="1906"/>
      <c r="L7" s="1908"/>
      <c r="M7" s="1908"/>
      <c r="N7" s="1907"/>
      <c r="O7" s="1906"/>
      <c r="P7" s="1908"/>
      <c r="Q7" s="1908"/>
      <c r="R7" s="1905"/>
      <c r="S7" s="1908"/>
      <c r="T7" s="1907"/>
      <c r="U7" s="1906"/>
      <c r="V7" s="1907"/>
      <c r="W7" s="1908"/>
      <c r="X7" s="1908"/>
      <c r="Y7" s="1908"/>
      <c r="Z7" s="1905"/>
      <c r="AA7" s="1904"/>
      <c r="AB7" s="1905"/>
    </row>
    <row r="8" spans="2:32" ht="15" customHeight="1">
      <c r="B8" s="10"/>
      <c r="C8" s="9" t="s">
        <v>261</v>
      </c>
      <c r="D8" s="236"/>
      <c r="E8" s="1912"/>
      <c r="F8" s="1913"/>
      <c r="G8" s="1894"/>
      <c r="H8" s="1872"/>
      <c r="I8" s="1872"/>
      <c r="J8" s="1872"/>
      <c r="K8" s="1879"/>
      <c r="L8" s="1872"/>
      <c r="M8" s="1872"/>
      <c r="N8" s="1880"/>
      <c r="O8" s="1872"/>
      <c r="P8" s="1872"/>
      <c r="Q8" s="1872"/>
      <c r="R8" s="1873"/>
      <c r="S8" s="1893"/>
      <c r="T8" s="1893"/>
      <c r="U8" s="1892"/>
      <c r="V8" s="1893"/>
      <c r="W8" s="1892"/>
      <c r="X8" s="1893"/>
      <c r="Y8" s="1887" t="str">
        <f t="shared" ref="Y8:Y28" si="0">IF(NOT($D8="Tested"),"",ROUND(Sliding_Scale(W8,5,6,1,0),Round))</f>
        <v/>
      </c>
      <c r="Z8" s="1888"/>
      <c r="AA8" s="1891" t="str">
        <f ca="1">IF($D8="N/A","",IF($D8="Default",1,IF($D8="Tested",MIN(Y8),IF($D8="Symmetry",INDIRECT(ADDRESS((18-ROW(C8))*2+ROW(C8),27)),IF(OR($D8="Adjacent"),MIN(AA7,AA9),"")))))</f>
        <v/>
      </c>
      <c r="AB8" s="1572"/>
      <c r="AC8" s="39"/>
    </row>
    <row r="9" spans="2:32" ht="15" customHeight="1">
      <c r="B9" s="10"/>
      <c r="C9" s="9" t="s">
        <v>262</v>
      </c>
      <c r="D9" s="236"/>
      <c r="E9" s="1912"/>
      <c r="F9" s="1913"/>
      <c r="G9" s="1894"/>
      <c r="H9" s="1872"/>
      <c r="I9" s="1872"/>
      <c r="J9" s="1872"/>
      <c r="K9" s="1879"/>
      <c r="L9" s="1872"/>
      <c r="M9" s="1872"/>
      <c r="N9" s="1880"/>
      <c r="O9" s="1872"/>
      <c r="P9" s="1872"/>
      <c r="Q9" s="1872"/>
      <c r="R9" s="1873"/>
      <c r="S9" s="1893"/>
      <c r="T9" s="1893"/>
      <c r="U9" s="1892"/>
      <c r="V9" s="1893"/>
      <c r="W9" s="1892"/>
      <c r="X9" s="1893"/>
      <c r="Y9" s="1887" t="str">
        <f t="shared" si="0"/>
        <v/>
      </c>
      <c r="Z9" s="1888"/>
      <c r="AA9" s="1891" t="str">
        <f t="shared" ref="AA9:AA28" ca="1" si="1">IF($D9="N/A","",IF($D9="Default",1,IF($D9="Tested",MIN(Y9),IF($D9="Symmetry",INDIRECT(ADDRESS((18-ROW(C9))*2+ROW(C9),27)),IF(OR($D9="Adjacent"),MIN(AA8,AA10),"")))))</f>
        <v/>
      </c>
      <c r="AB9" s="1572"/>
      <c r="AC9" s="39"/>
    </row>
    <row r="10" spans="2:32" ht="15" customHeight="1">
      <c r="B10" s="10"/>
      <c r="C10" s="9" t="s">
        <v>263</v>
      </c>
      <c r="D10" s="236"/>
      <c r="E10" s="1912"/>
      <c r="F10" s="1913"/>
      <c r="G10" s="1894"/>
      <c r="H10" s="1872"/>
      <c r="I10" s="1872"/>
      <c r="J10" s="1872"/>
      <c r="K10" s="1879"/>
      <c r="L10" s="1872"/>
      <c r="M10" s="1872"/>
      <c r="N10" s="1880"/>
      <c r="O10" s="1872"/>
      <c r="P10" s="1872"/>
      <c r="Q10" s="1872"/>
      <c r="R10" s="1873"/>
      <c r="S10" s="1893"/>
      <c r="T10" s="1893"/>
      <c r="U10" s="1892"/>
      <c r="V10" s="1893"/>
      <c r="W10" s="1892"/>
      <c r="X10" s="1893"/>
      <c r="Y10" s="1887" t="str">
        <f t="shared" si="0"/>
        <v/>
      </c>
      <c r="Z10" s="1888"/>
      <c r="AA10" s="1891" t="str">
        <f t="shared" ca="1" si="1"/>
        <v/>
      </c>
      <c r="AB10" s="1572"/>
      <c r="AC10" s="39"/>
    </row>
    <row r="11" spans="2:32" ht="15" customHeight="1">
      <c r="B11" s="10"/>
      <c r="C11" s="9" t="s">
        <v>264</v>
      </c>
      <c r="D11" s="236"/>
      <c r="E11" s="1912"/>
      <c r="F11" s="1913"/>
      <c r="G11" s="1894"/>
      <c r="H11" s="1872"/>
      <c r="I11" s="1872"/>
      <c r="J11" s="1872"/>
      <c r="K11" s="1879"/>
      <c r="L11" s="1872"/>
      <c r="M11" s="1872"/>
      <c r="N11" s="1880"/>
      <c r="O11" s="1872"/>
      <c r="P11" s="1872"/>
      <c r="Q11" s="1872"/>
      <c r="R11" s="1873"/>
      <c r="S11" s="1893"/>
      <c r="T11" s="1893"/>
      <c r="U11" s="1892"/>
      <c r="V11" s="1893"/>
      <c r="W11" s="1892"/>
      <c r="X11" s="1893"/>
      <c r="Y11" s="1887" t="str">
        <f t="shared" si="0"/>
        <v/>
      </c>
      <c r="Z11" s="1888"/>
      <c r="AA11" s="1891" t="str">
        <f t="shared" ca="1" si="1"/>
        <v/>
      </c>
      <c r="AB11" s="1572"/>
      <c r="AC11" s="39"/>
    </row>
    <row r="12" spans="2:32" ht="15" customHeight="1">
      <c r="B12" s="10"/>
      <c r="C12" s="9" t="s">
        <v>265</v>
      </c>
      <c r="D12" s="236"/>
      <c r="E12" s="1912"/>
      <c r="F12" s="1913"/>
      <c r="G12" s="1894"/>
      <c r="H12" s="1872"/>
      <c r="I12" s="1872"/>
      <c r="J12" s="1872"/>
      <c r="K12" s="1879"/>
      <c r="L12" s="1872"/>
      <c r="M12" s="1872"/>
      <c r="N12" s="1880"/>
      <c r="O12" s="1872"/>
      <c r="P12" s="1872"/>
      <c r="Q12" s="1872"/>
      <c r="R12" s="1873"/>
      <c r="S12" s="1893"/>
      <c r="T12" s="1893"/>
      <c r="U12" s="1892"/>
      <c r="V12" s="1893"/>
      <c r="W12" s="1892"/>
      <c r="X12" s="1893"/>
      <c r="Y12" s="1887" t="str">
        <f t="shared" si="0"/>
        <v/>
      </c>
      <c r="Z12" s="1888"/>
      <c r="AA12" s="1891" t="str">
        <f t="shared" ca="1" si="1"/>
        <v/>
      </c>
      <c r="AB12" s="1572"/>
      <c r="AC12" s="39"/>
    </row>
    <row r="13" spans="2:32" ht="15" customHeight="1">
      <c r="B13" s="10"/>
      <c r="C13" s="9" t="s">
        <v>266</v>
      </c>
      <c r="D13" s="236"/>
      <c r="E13" s="1912"/>
      <c r="F13" s="1913"/>
      <c r="G13" s="1894"/>
      <c r="H13" s="1872"/>
      <c r="I13" s="1872"/>
      <c r="J13" s="1872"/>
      <c r="K13" s="1879"/>
      <c r="L13" s="1872"/>
      <c r="M13" s="1872"/>
      <c r="N13" s="1880"/>
      <c r="O13" s="1872"/>
      <c r="P13" s="1872"/>
      <c r="Q13" s="1872"/>
      <c r="R13" s="1873"/>
      <c r="S13" s="1893"/>
      <c r="T13" s="1893"/>
      <c r="U13" s="1892"/>
      <c r="V13" s="1893"/>
      <c r="W13" s="1892"/>
      <c r="X13" s="1893"/>
      <c r="Y13" s="1887" t="str">
        <f t="shared" si="0"/>
        <v/>
      </c>
      <c r="Z13" s="1888"/>
      <c r="AA13" s="1891" t="str">
        <f t="shared" ca="1" si="1"/>
        <v/>
      </c>
      <c r="AB13" s="1572"/>
      <c r="AC13" s="39"/>
    </row>
    <row r="14" spans="2:32" ht="15" customHeight="1">
      <c r="B14" s="10"/>
      <c r="C14" s="9" t="s">
        <v>267</v>
      </c>
      <c r="D14" s="236"/>
      <c r="E14" s="1912"/>
      <c r="F14" s="1913"/>
      <c r="G14" s="1894"/>
      <c r="H14" s="1872"/>
      <c r="I14" s="1872"/>
      <c r="J14" s="1872"/>
      <c r="K14" s="1879"/>
      <c r="L14" s="1872"/>
      <c r="M14" s="1872"/>
      <c r="N14" s="1880"/>
      <c r="O14" s="1872"/>
      <c r="P14" s="1872"/>
      <c r="Q14" s="1872"/>
      <c r="R14" s="1873"/>
      <c r="S14" s="1893"/>
      <c r="T14" s="1893"/>
      <c r="U14" s="1892"/>
      <c r="V14" s="1893"/>
      <c r="W14" s="1892"/>
      <c r="X14" s="1893"/>
      <c r="Y14" s="1887" t="str">
        <f t="shared" si="0"/>
        <v/>
      </c>
      <c r="Z14" s="1888"/>
      <c r="AA14" s="1891" t="str">
        <f t="shared" ca="1" si="1"/>
        <v/>
      </c>
      <c r="AB14" s="1572"/>
      <c r="AC14" s="39"/>
    </row>
    <row r="15" spans="2:32" ht="15" customHeight="1">
      <c r="B15" s="10"/>
      <c r="C15" s="9" t="s">
        <v>268</v>
      </c>
      <c r="D15" s="236"/>
      <c r="E15" s="1912"/>
      <c r="F15" s="1913"/>
      <c r="G15" s="1894"/>
      <c r="H15" s="1872"/>
      <c r="I15" s="1872"/>
      <c r="J15" s="1872"/>
      <c r="K15" s="1879"/>
      <c r="L15" s="1872"/>
      <c r="M15" s="1872"/>
      <c r="N15" s="1880"/>
      <c r="O15" s="1872"/>
      <c r="P15" s="1872"/>
      <c r="Q15" s="1872"/>
      <c r="R15" s="1873"/>
      <c r="S15" s="1893"/>
      <c r="T15" s="1893"/>
      <c r="U15" s="1892"/>
      <c r="V15" s="1893"/>
      <c r="W15" s="1892"/>
      <c r="X15" s="1893"/>
      <c r="Y15" s="1887" t="str">
        <f t="shared" si="0"/>
        <v/>
      </c>
      <c r="Z15" s="1888"/>
      <c r="AA15" s="1891" t="str">
        <f t="shared" ca="1" si="1"/>
        <v/>
      </c>
      <c r="AB15" s="1572"/>
      <c r="AC15" s="39"/>
    </row>
    <row r="16" spans="2:32" ht="15" customHeight="1">
      <c r="B16" s="10"/>
      <c r="C16" s="9" t="s">
        <v>269</v>
      </c>
      <c r="D16" s="236"/>
      <c r="E16" s="1912"/>
      <c r="F16" s="1913"/>
      <c r="G16" s="1894"/>
      <c r="H16" s="1872"/>
      <c r="I16" s="1872"/>
      <c r="J16" s="1872"/>
      <c r="K16" s="1879"/>
      <c r="L16" s="1872"/>
      <c r="M16" s="1872"/>
      <c r="N16" s="1880"/>
      <c r="O16" s="1872"/>
      <c r="P16" s="1872"/>
      <c r="Q16" s="1872"/>
      <c r="R16" s="1873"/>
      <c r="S16" s="1893"/>
      <c r="T16" s="1893"/>
      <c r="U16" s="1892"/>
      <c r="V16" s="1893"/>
      <c r="W16" s="1892"/>
      <c r="X16" s="1893"/>
      <c r="Y16" s="1887" t="str">
        <f t="shared" si="0"/>
        <v/>
      </c>
      <c r="Z16" s="1888"/>
      <c r="AA16" s="1891" t="str">
        <f t="shared" ca="1" si="1"/>
        <v/>
      </c>
      <c r="AB16" s="1572"/>
      <c r="AC16" s="39"/>
    </row>
    <row r="17" spans="2:29" ht="15" customHeight="1">
      <c r="B17" s="10"/>
      <c r="C17" s="9" t="s">
        <v>270</v>
      </c>
      <c r="D17" s="236"/>
      <c r="E17" s="1912"/>
      <c r="F17" s="1913"/>
      <c r="G17" s="1894"/>
      <c r="H17" s="1872"/>
      <c r="I17" s="1872"/>
      <c r="J17" s="1872"/>
      <c r="K17" s="1879"/>
      <c r="L17" s="1872"/>
      <c r="M17" s="1872"/>
      <c r="N17" s="1880"/>
      <c r="O17" s="1872"/>
      <c r="P17" s="1872"/>
      <c r="Q17" s="1872"/>
      <c r="R17" s="1873"/>
      <c r="S17" s="1893"/>
      <c r="T17" s="1893"/>
      <c r="U17" s="1892"/>
      <c r="V17" s="1893"/>
      <c r="W17" s="1892"/>
      <c r="X17" s="1893"/>
      <c r="Y17" s="1887" t="str">
        <f t="shared" si="0"/>
        <v/>
      </c>
      <c r="Z17" s="1888"/>
      <c r="AA17" s="1891" t="str">
        <f t="shared" ca="1" si="1"/>
        <v/>
      </c>
      <c r="AB17" s="1572"/>
      <c r="AC17" s="39"/>
    </row>
    <row r="18" spans="2:29" ht="15" customHeight="1">
      <c r="B18" s="10"/>
      <c r="C18" s="9" t="s">
        <v>258</v>
      </c>
      <c r="D18" s="236"/>
      <c r="E18" s="1912"/>
      <c r="F18" s="1913"/>
      <c r="G18" s="1894"/>
      <c r="H18" s="1872"/>
      <c r="I18" s="1872"/>
      <c r="J18" s="1872"/>
      <c r="K18" s="1879"/>
      <c r="L18" s="1872"/>
      <c r="M18" s="1872"/>
      <c r="N18" s="1880"/>
      <c r="O18" s="1872"/>
      <c r="P18" s="1872"/>
      <c r="Q18" s="1872"/>
      <c r="R18" s="1873"/>
      <c r="S18" s="1893"/>
      <c r="T18" s="1893"/>
      <c r="U18" s="1892"/>
      <c r="V18" s="1893"/>
      <c r="W18" s="1892"/>
      <c r="X18" s="1893"/>
      <c r="Y18" s="1887" t="str">
        <f t="shared" si="0"/>
        <v/>
      </c>
      <c r="Z18" s="1888"/>
      <c r="AA18" s="1891" t="str">
        <f t="shared" ca="1" si="1"/>
        <v/>
      </c>
      <c r="AB18" s="1572"/>
      <c r="AC18" s="39"/>
    </row>
    <row r="19" spans="2:29" ht="15" customHeight="1">
      <c r="B19" s="10"/>
      <c r="C19" s="9" t="s">
        <v>271</v>
      </c>
      <c r="D19" s="236"/>
      <c r="E19" s="1912"/>
      <c r="F19" s="1913"/>
      <c r="G19" s="1894"/>
      <c r="H19" s="1872"/>
      <c r="I19" s="1872"/>
      <c r="J19" s="1872"/>
      <c r="K19" s="1879"/>
      <c r="L19" s="1872"/>
      <c r="M19" s="1872"/>
      <c r="N19" s="1880"/>
      <c r="O19" s="1872"/>
      <c r="P19" s="1872"/>
      <c r="Q19" s="1872"/>
      <c r="R19" s="1873"/>
      <c r="S19" s="1893"/>
      <c r="T19" s="1893"/>
      <c r="U19" s="1892"/>
      <c r="V19" s="1893"/>
      <c r="W19" s="1892"/>
      <c r="X19" s="1893"/>
      <c r="Y19" s="1887" t="str">
        <f t="shared" si="0"/>
        <v/>
      </c>
      <c r="Z19" s="1888"/>
      <c r="AA19" s="1891" t="str">
        <f t="shared" ca="1" si="1"/>
        <v/>
      </c>
      <c r="AB19" s="1572"/>
      <c r="AC19" s="39"/>
    </row>
    <row r="20" spans="2:29" ht="15" customHeight="1">
      <c r="B20" s="10"/>
      <c r="C20" s="9" t="s">
        <v>272</v>
      </c>
      <c r="D20" s="236"/>
      <c r="E20" s="1912"/>
      <c r="F20" s="1913"/>
      <c r="G20" s="1894"/>
      <c r="H20" s="1872"/>
      <c r="I20" s="1872"/>
      <c r="J20" s="1872"/>
      <c r="K20" s="1879"/>
      <c r="L20" s="1872"/>
      <c r="M20" s="1872"/>
      <c r="N20" s="1880"/>
      <c r="O20" s="1872"/>
      <c r="P20" s="1872"/>
      <c r="Q20" s="1872"/>
      <c r="R20" s="1873"/>
      <c r="S20" s="1893"/>
      <c r="T20" s="1893"/>
      <c r="U20" s="1892"/>
      <c r="V20" s="1893"/>
      <c r="W20" s="1892"/>
      <c r="X20" s="1893"/>
      <c r="Y20" s="1887" t="str">
        <f t="shared" si="0"/>
        <v/>
      </c>
      <c r="Z20" s="1888"/>
      <c r="AA20" s="1891" t="str">
        <f t="shared" ca="1" si="1"/>
        <v/>
      </c>
      <c r="AB20" s="1572"/>
      <c r="AC20" s="39"/>
    </row>
    <row r="21" spans="2:29" ht="15" customHeight="1">
      <c r="B21" s="10"/>
      <c r="C21" s="9" t="s">
        <v>273</v>
      </c>
      <c r="D21" s="236"/>
      <c r="E21" s="1912"/>
      <c r="F21" s="1913"/>
      <c r="G21" s="1894"/>
      <c r="H21" s="1872"/>
      <c r="I21" s="1872"/>
      <c r="J21" s="1872"/>
      <c r="K21" s="1879"/>
      <c r="L21" s="1872"/>
      <c r="M21" s="1872"/>
      <c r="N21" s="1880"/>
      <c r="O21" s="1872"/>
      <c r="P21" s="1872"/>
      <c r="Q21" s="1872"/>
      <c r="R21" s="1873"/>
      <c r="S21" s="1893"/>
      <c r="T21" s="1893"/>
      <c r="U21" s="1892"/>
      <c r="V21" s="1893"/>
      <c r="W21" s="1892"/>
      <c r="X21" s="1893"/>
      <c r="Y21" s="1887" t="str">
        <f t="shared" si="0"/>
        <v/>
      </c>
      <c r="Z21" s="1888"/>
      <c r="AA21" s="1891" t="str">
        <f t="shared" ca="1" si="1"/>
        <v/>
      </c>
      <c r="AB21" s="1572"/>
      <c r="AC21" s="39"/>
    </row>
    <row r="22" spans="2:29" ht="15" customHeight="1">
      <c r="B22" s="10"/>
      <c r="C22" s="9" t="s">
        <v>274</v>
      </c>
      <c r="D22" s="236"/>
      <c r="E22" s="1912"/>
      <c r="F22" s="1913"/>
      <c r="G22" s="1894"/>
      <c r="H22" s="1872"/>
      <c r="I22" s="1872"/>
      <c r="J22" s="1872"/>
      <c r="K22" s="1879"/>
      <c r="L22" s="1872"/>
      <c r="M22" s="1872"/>
      <c r="N22" s="1880"/>
      <c r="O22" s="1872"/>
      <c r="P22" s="1872"/>
      <c r="Q22" s="1872"/>
      <c r="R22" s="1873"/>
      <c r="S22" s="1893"/>
      <c r="T22" s="1893"/>
      <c r="U22" s="1892"/>
      <c r="V22" s="1893"/>
      <c r="W22" s="1892"/>
      <c r="X22" s="1893"/>
      <c r="Y22" s="1887" t="str">
        <f t="shared" si="0"/>
        <v/>
      </c>
      <c r="Z22" s="1888"/>
      <c r="AA22" s="1891" t="str">
        <f t="shared" ca="1" si="1"/>
        <v/>
      </c>
      <c r="AB22" s="1572"/>
      <c r="AC22" s="39"/>
    </row>
    <row r="23" spans="2:29" ht="15" customHeight="1">
      <c r="B23" s="10"/>
      <c r="C23" s="9" t="s">
        <v>275</v>
      </c>
      <c r="D23" s="236"/>
      <c r="E23" s="1912"/>
      <c r="F23" s="1913"/>
      <c r="G23" s="1894"/>
      <c r="H23" s="1872"/>
      <c r="I23" s="1872"/>
      <c r="J23" s="1872"/>
      <c r="K23" s="1879"/>
      <c r="L23" s="1872"/>
      <c r="M23" s="1872"/>
      <c r="N23" s="1880"/>
      <c r="O23" s="1872"/>
      <c r="P23" s="1872"/>
      <c r="Q23" s="1872"/>
      <c r="R23" s="1873"/>
      <c r="S23" s="1893"/>
      <c r="T23" s="1893"/>
      <c r="U23" s="1892"/>
      <c r="V23" s="1893"/>
      <c r="W23" s="1892"/>
      <c r="X23" s="1893"/>
      <c r="Y23" s="1887" t="str">
        <f t="shared" si="0"/>
        <v/>
      </c>
      <c r="Z23" s="1888"/>
      <c r="AA23" s="1891" t="str">
        <f t="shared" ca="1" si="1"/>
        <v/>
      </c>
      <c r="AB23" s="1572"/>
      <c r="AC23" s="39"/>
    </row>
    <row r="24" spans="2:29" ht="15" customHeight="1">
      <c r="B24" s="10"/>
      <c r="C24" s="9" t="s">
        <v>276</v>
      </c>
      <c r="D24" s="236"/>
      <c r="E24" s="1912"/>
      <c r="F24" s="1913"/>
      <c r="G24" s="1894"/>
      <c r="H24" s="1872"/>
      <c r="I24" s="1872"/>
      <c r="J24" s="1872"/>
      <c r="K24" s="1879"/>
      <c r="L24" s="1872"/>
      <c r="M24" s="1872"/>
      <c r="N24" s="1880"/>
      <c r="O24" s="1872"/>
      <c r="P24" s="1872"/>
      <c r="Q24" s="1872"/>
      <c r="R24" s="1873"/>
      <c r="S24" s="1893"/>
      <c r="T24" s="1893"/>
      <c r="U24" s="1892"/>
      <c r="V24" s="1893"/>
      <c r="W24" s="1892"/>
      <c r="X24" s="1893"/>
      <c r="Y24" s="1887" t="str">
        <f t="shared" si="0"/>
        <v/>
      </c>
      <c r="Z24" s="1888"/>
      <c r="AA24" s="1891" t="str">
        <f t="shared" ca="1" si="1"/>
        <v/>
      </c>
      <c r="AB24" s="1572"/>
      <c r="AC24" s="39"/>
    </row>
    <row r="25" spans="2:29" ht="15" customHeight="1">
      <c r="B25" s="10"/>
      <c r="C25" s="9" t="s">
        <v>277</v>
      </c>
      <c r="D25" s="236"/>
      <c r="E25" s="1912"/>
      <c r="F25" s="1913"/>
      <c r="G25" s="1894"/>
      <c r="H25" s="1872"/>
      <c r="I25" s="1872"/>
      <c r="J25" s="1872"/>
      <c r="K25" s="1879"/>
      <c r="L25" s="1872"/>
      <c r="M25" s="1872"/>
      <c r="N25" s="1880"/>
      <c r="O25" s="1872"/>
      <c r="P25" s="1872"/>
      <c r="Q25" s="1872"/>
      <c r="R25" s="1873"/>
      <c r="S25" s="1893"/>
      <c r="T25" s="1893"/>
      <c r="U25" s="1892"/>
      <c r="V25" s="1893"/>
      <c r="W25" s="1892"/>
      <c r="X25" s="1893"/>
      <c r="Y25" s="1887" t="str">
        <f t="shared" si="0"/>
        <v/>
      </c>
      <c r="Z25" s="1888"/>
      <c r="AA25" s="1891" t="str">
        <f t="shared" ca="1" si="1"/>
        <v/>
      </c>
      <c r="AB25" s="1572"/>
      <c r="AC25" s="39"/>
    </row>
    <row r="26" spans="2:29" ht="15" customHeight="1">
      <c r="B26" s="10"/>
      <c r="C26" s="9" t="s">
        <v>278</v>
      </c>
      <c r="D26" s="236"/>
      <c r="E26" s="1912"/>
      <c r="F26" s="1913"/>
      <c r="G26" s="1894"/>
      <c r="H26" s="1872"/>
      <c r="I26" s="1872"/>
      <c r="J26" s="1872"/>
      <c r="K26" s="1879"/>
      <c r="L26" s="1872"/>
      <c r="M26" s="1872"/>
      <c r="N26" s="1880"/>
      <c r="O26" s="1872"/>
      <c r="P26" s="1872"/>
      <c r="Q26" s="1872"/>
      <c r="R26" s="1873"/>
      <c r="S26" s="1893"/>
      <c r="T26" s="1893"/>
      <c r="U26" s="1892"/>
      <c r="V26" s="1893"/>
      <c r="W26" s="1892"/>
      <c r="X26" s="1893"/>
      <c r="Y26" s="1887" t="str">
        <f t="shared" si="0"/>
        <v/>
      </c>
      <c r="Z26" s="1888"/>
      <c r="AA26" s="1891" t="str">
        <f t="shared" ca="1" si="1"/>
        <v/>
      </c>
      <c r="AB26" s="1572"/>
      <c r="AC26" s="39"/>
    </row>
    <row r="27" spans="2:29" ht="15" customHeight="1">
      <c r="B27" s="10"/>
      <c r="C27" s="9" t="s">
        <v>279</v>
      </c>
      <c r="D27" s="236"/>
      <c r="E27" s="1912"/>
      <c r="F27" s="1913"/>
      <c r="G27" s="1894"/>
      <c r="H27" s="1872"/>
      <c r="I27" s="1872"/>
      <c r="J27" s="1872"/>
      <c r="K27" s="1879"/>
      <c r="L27" s="1872"/>
      <c r="M27" s="1872"/>
      <c r="N27" s="1880"/>
      <c r="O27" s="1872"/>
      <c r="P27" s="1872"/>
      <c r="Q27" s="1872"/>
      <c r="R27" s="1873"/>
      <c r="S27" s="1893"/>
      <c r="T27" s="1893"/>
      <c r="U27" s="1892"/>
      <c r="V27" s="1893"/>
      <c r="W27" s="1892"/>
      <c r="X27" s="1893"/>
      <c r="Y27" s="1887" t="str">
        <f t="shared" si="0"/>
        <v/>
      </c>
      <c r="Z27" s="1888"/>
      <c r="AA27" s="1891" t="str">
        <f t="shared" ca="1" si="1"/>
        <v/>
      </c>
      <c r="AB27" s="1572"/>
      <c r="AC27" s="39"/>
    </row>
    <row r="28" spans="2:29" ht="15" customHeight="1" thickBot="1">
      <c r="B28" s="31"/>
      <c r="C28" s="42" t="s">
        <v>280</v>
      </c>
      <c r="D28" s="237"/>
      <c r="E28" s="1914"/>
      <c r="F28" s="1915"/>
      <c r="G28" s="1878"/>
      <c r="H28" s="1875"/>
      <c r="I28" s="1875"/>
      <c r="J28" s="1875"/>
      <c r="K28" s="1874"/>
      <c r="L28" s="1875"/>
      <c r="M28" s="1875"/>
      <c r="N28" s="1876"/>
      <c r="O28" s="1875"/>
      <c r="P28" s="1875"/>
      <c r="Q28" s="1875"/>
      <c r="R28" s="1877"/>
      <c r="S28" s="1893"/>
      <c r="T28" s="1893"/>
      <c r="U28" s="1892"/>
      <c r="V28" s="1893"/>
      <c r="W28" s="1892"/>
      <c r="X28" s="1893"/>
      <c r="Y28" s="1889" t="str">
        <f t="shared" si="0"/>
        <v/>
      </c>
      <c r="Z28" s="1890"/>
      <c r="AA28" s="1891" t="str">
        <f t="shared" ca="1" si="1"/>
        <v/>
      </c>
      <c r="AB28" s="1572"/>
      <c r="AC28" s="39"/>
    </row>
    <row r="29" spans="2:29" ht="15" customHeight="1" thickBot="1">
      <c r="B29" s="1429"/>
      <c r="C29" s="1430"/>
      <c r="D29" s="1430"/>
      <c r="E29" s="1430"/>
      <c r="F29" s="1430"/>
      <c r="G29" s="1430"/>
      <c r="H29" s="1430"/>
      <c r="I29" s="1430"/>
      <c r="J29" s="1430"/>
      <c r="K29" s="1430"/>
      <c r="L29" s="1430"/>
      <c r="M29" s="1430"/>
      <c r="N29" s="1430"/>
      <c r="O29" s="1430"/>
      <c r="P29" s="1430"/>
      <c r="Q29" s="1430"/>
      <c r="R29" s="1430"/>
      <c r="S29" s="1520"/>
      <c r="T29" s="1520"/>
      <c r="U29" s="1520"/>
      <c r="V29" s="1520"/>
      <c r="W29" s="1520"/>
      <c r="X29" s="1520"/>
      <c r="Y29" s="1520"/>
      <c r="Z29" s="1520"/>
      <c r="AA29" s="1520"/>
      <c r="AB29" s="1628"/>
    </row>
    <row r="30" spans="2:29" ht="15" customHeight="1">
      <c r="B30" s="1425"/>
      <c r="C30" s="1426"/>
      <c r="D30" s="1426"/>
      <c r="E30" s="1426"/>
      <c r="F30" s="1427"/>
      <c r="G30" s="141"/>
      <c r="H30" s="139" t="s">
        <v>281</v>
      </c>
      <c r="I30" s="139" t="s">
        <v>282</v>
      </c>
      <c r="J30" s="139" t="s">
        <v>283</v>
      </c>
      <c r="K30" s="139" t="s">
        <v>284</v>
      </c>
      <c r="L30" s="139" t="s">
        <v>285</v>
      </c>
      <c r="M30" s="139" t="s">
        <v>286</v>
      </c>
      <c r="N30" s="139" t="s">
        <v>287</v>
      </c>
      <c r="O30" s="139" t="s">
        <v>288</v>
      </c>
      <c r="P30" s="139" t="s">
        <v>289</v>
      </c>
      <c r="Q30" s="139" t="s">
        <v>290</v>
      </c>
      <c r="R30" s="139" t="s">
        <v>291</v>
      </c>
      <c r="S30" s="139" t="s">
        <v>292</v>
      </c>
      <c r="T30" s="139" t="s">
        <v>293</v>
      </c>
      <c r="U30" s="139" t="s">
        <v>294</v>
      </c>
      <c r="V30" s="139" t="s">
        <v>295</v>
      </c>
      <c r="W30" s="139" t="s">
        <v>296</v>
      </c>
      <c r="X30" s="139" t="s">
        <v>297</v>
      </c>
      <c r="Y30" s="139" t="s">
        <v>298</v>
      </c>
      <c r="Z30" s="139" t="s">
        <v>299</v>
      </c>
      <c r="AA30" s="139" t="s">
        <v>300</v>
      </c>
      <c r="AB30" s="140" t="s">
        <v>301</v>
      </c>
    </row>
    <row r="31" spans="2:29" ht="15" customHeight="1" thickBot="1">
      <c r="B31" s="1429"/>
      <c r="C31" s="1430"/>
      <c r="D31" s="1430"/>
      <c r="E31" s="1430"/>
      <c r="F31" s="1431"/>
      <c r="G31" s="142"/>
      <c r="H31" s="143" t="str">
        <f ca="1">AA8</f>
        <v/>
      </c>
      <c r="I31" s="143" t="str">
        <f ca="1">AA9</f>
        <v/>
      </c>
      <c r="J31" s="143" t="str">
        <f ca="1">AA10</f>
        <v/>
      </c>
      <c r="K31" s="143" t="str">
        <f ca="1">AA11</f>
        <v/>
      </c>
      <c r="L31" s="143" t="str">
        <f ca="1">AA12</f>
        <v/>
      </c>
      <c r="M31" s="143" t="str">
        <f ca="1">AA13</f>
        <v/>
      </c>
      <c r="N31" s="143" t="str">
        <f ca="1">AA14</f>
        <v/>
      </c>
      <c r="O31" s="143" t="str">
        <f ca="1">AA15</f>
        <v/>
      </c>
      <c r="P31" s="143" t="str">
        <f ca="1">AA16</f>
        <v/>
      </c>
      <c r="Q31" s="143" t="str">
        <f ca="1">AA17</f>
        <v/>
      </c>
      <c r="R31" s="143" t="str">
        <f ca="1">AA18</f>
        <v/>
      </c>
      <c r="S31" s="143" t="str">
        <f ca="1">AA19</f>
        <v/>
      </c>
      <c r="T31" s="143" t="str">
        <f ca="1">AA20</f>
        <v/>
      </c>
      <c r="U31" s="143" t="str">
        <f ca="1">AA21</f>
        <v/>
      </c>
      <c r="V31" s="143" t="str">
        <f ca="1">AA22</f>
        <v/>
      </c>
      <c r="W31" s="143" t="str">
        <f ca="1">AA23</f>
        <v/>
      </c>
      <c r="X31" s="143" t="str">
        <f ca="1">AA24</f>
        <v/>
      </c>
      <c r="Y31" s="143" t="str">
        <f ca="1">AA25</f>
        <v/>
      </c>
      <c r="Z31" s="143" t="str">
        <f ca="1">AA26</f>
        <v/>
      </c>
      <c r="AA31" s="143" t="str">
        <f ca="1">AA27</f>
        <v/>
      </c>
      <c r="AB31" s="144" t="str">
        <f ca="1">AA28</f>
        <v/>
      </c>
    </row>
    <row r="32" spans="2:29" ht="15" customHeight="1" thickBot="1">
      <c r="B32" s="1519"/>
      <c r="C32" s="1520"/>
      <c r="D32" s="1520"/>
      <c r="E32" s="1520"/>
      <c r="F32" s="1520"/>
      <c r="G32" s="1520"/>
      <c r="H32" s="1520"/>
      <c r="I32" s="1520"/>
      <c r="J32" s="1520"/>
      <c r="K32" s="1520"/>
      <c r="L32" s="1520"/>
      <c r="M32" s="1520"/>
      <c r="N32" s="1520"/>
      <c r="O32" s="1520"/>
      <c r="P32" s="1520"/>
      <c r="Q32" s="1520"/>
      <c r="R32" s="1520"/>
      <c r="S32" s="1520"/>
      <c r="T32" s="1520"/>
      <c r="U32" s="1520"/>
      <c r="V32" s="1520"/>
      <c r="W32" s="1520"/>
      <c r="X32" s="1520"/>
      <c r="Y32" s="1520"/>
      <c r="Z32" s="1520"/>
      <c r="AA32" s="1520"/>
      <c r="AB32" s="1628"/>
    </row>
    <row r="33" spans="2:29" ht="15" customHeight="1" thickBot="1">
      <c r="B33" s="1884" t="s">
        <v>2499</v>
      </c>
      <c r="C33" s="1885"/>
      <c r="D33" s="1885"/>
      <c r="E33" s="1885"/>
      <c r="F33" s="1886"/>
      <c r="G33" s="1881">
        <f ca="1">IF(AA18="",0,ROUND(SUM(AA8:AA28)/(21-COUNTIF(AA8:AA28,""))*4.5,Round))</f>
        <v>0</v>
      </c>
      <c r="H33" s="1882"/>
      <c r="I33" s="1882"/>
      <c r="J33" s="1882"/>
      <c r="K33" s="1882"/>
      <c r="L33" s="1882"/>
      <c r="M33" s="1882"/>
      <c r="N33" s="1882"/>
      <c r="O33" s="1882"/>
      <c r="P33" s="1882"/>
      <c r="Q33" s="1882"/>
      <c r="R33" s="1882"/>
      <c r="S33" s="1882"/>
      <c r="T33" s="1882"/>
      <c r="U33" s="1882"/>
      <c r="V33" s="1882"/>
      <c r="W33" s="1882"/>
      <c r="X33" s="1882"/>
      <c r="Y33" s="1882"/>
      <c r="Z33" s="1882"/>
      <c r="AA33" s="1882"/>
      <c r="AB33" s="1883"/>
    </row>
    <row r="34" spans="2:29" ht="15" customHeight="1" thickBot="1">
      <c r="J34" s="15"/>
      <c r="N34" s="15"/>
      <c r="R34" s="15"/>
      <c r="Z34" s="15"/>
      <c r="AA34" s="15"/>
      <c r="AB34" s="15"/>
    </row>
    <row r="35" spans="2:29" s="95" customFormat="1" ht="21.75" thickBot="1">
      <c r="B35" s="1549" t="s">
        <v>2502</v>
      </c>
      <c r="C35" s="1719"/>
      <c r="D35" s="1719"/>
      <c r="E35" s="1719"/>
      <c r="F35" s="1550"/>
      <c r="G35" s="1561">
        <f ca="1">G33</f>
        <v>0</v>
      </c>
      <c r="H35" s="1562"/>
      <c r="I35" s="1562"/>
      <c r="J35" s="1562"/>
      <c r="K35" s="1562"/>
      <c r="L35" s="1562"/>
      <c r="M35" s="1562"/>
      <c r="N35" s="1562"/>
      <c r="O35" s="1562"/>
      <c r="P35" s="1562"/>
      <c r="Q35" s="1562"/>
      <c r="R35" s="1562"/>
      <c r="S35" s="1562"/>
      <c r="T35" s="1562"/>
      <c r="U35" s="1562"/>
      <c r="V35" s="1562"/>
      <c r="W35" s="1562"/>
      <c r="X35" s="1562"/>
      <c r="Y35" s="1562"/>
      <c r="Z35" s="1562"/>
      <c r="AA35" s="1562"/>
      <c r="AB35" s="1563"/>
      <c r="AC35" s="235"/>
    </row>
  </sheetData>
  <mergeCells count="241">
    <mergeCell ref="Y12:Z12"/>
    <mergeCell ref="Y14:Z14"/>
    <mergeCell ref="Y11:Z11"/>
    <mergeCell ref="Y10:Z10"/>
    <mergeCell ref="W10:X10"/>
    <mergeCell ref="U28:V28"/>
    <mergeCell ref="S4:T4"/>
    <mergeCell ref="S8:T8"/>
    <mergeCell ref="S9:T9"/>
    <mergeCell ref="S10:T10"/>
    <mergeCell ref="S11:T11"/>
    <mergeCell ref="S12:T12"/>
    <mergeCell ref="S28:T28"/>
    <mergeCell ref="S25:T25"/>
    <mergeCell ref="S27:T27"/>
    <mergeCell ref="S26:T26"/>
    <mergeCell ref="S15:T15"/>
    <mergeCell ref="S16:T16"/>
    <mergeCell ref="S17:T17"/>
    <mergeCell ref="S18:T18"/>
    <mergeCell ref="S19:T19"/>
    <mergeCell ref="S20:T20"/>
    <mergeCell ref="S24:T24"/>
    <mergeCell ref="S13:T13"/>
    <mergeCell ref="W28:X28"/>
    <mergeCell ref="E7:F7"/>
    <mergeCell ref="E8:F8"/>
    <mergeCell ref="E9:F9"/>
    <mergeCell ref="E10:F10"/>
    <mergeCell ref="E11:F11"/>
    <mergeCell ref="E12:F12"/>
    <mergeCell ref="E13:F13"/>
    <mergeCell ref="E14:F14"/>
    <mergeCell ref="E15:F15"/>
    <mergeCell ref="E17:F17"/>
    <mergeCell ref="E18:F18"/>
    <mergeCell ref="E19:F19"/>
    <mergeCell ref="E20:F20"/>
    <mergeCell ref="E21:F21"/>
    <mergeCell ref="E22:F22"/>
    <mergeCell ref="E23:F23"/>
    <mergeCell ref="S22:T22"/>
    <mergeCell ref="S23:T23"/>
    <mergeCell ref="E24:F24"/>
    <mergeCell ref="E25:F25"/>
    <mergeCell ref="W19:X19"/>
    <mergeCell ref="W20:X20"/>
    <mergeCell ref="E26:F26"/>
    <mergeCell ref="E27:F27"/>
    <mergeCell ref="E28:F28"/>
    <mergeCell ref="B2:F3"/>
    <mergeCell ref="B4:F4"/>
    <mergeCell ref="B5:F5"/>
    <mergeCell ref="E16:F16"/>
    <mergeCell ref="B7:C7"/>
    <mergeCell ref="G3:J3"/>
    <mergeCell ref="B6:F6"/>
    <mergeCell ref="G2:R2"/>
    <mergeCell ref="K3:N3"/>
    <mergeCell ref="K5:N5"/>
    <mergeCell ref="O3:R3"/>
    <mergeCell ref="O6:R6"/>
    <mergeCell ref="K6:N6"/>
    <mergeCell ref="G18:J18"/>
    <mergeCell ref="G19:J19"/>
    <mergeCell ref="G20:J20"/>
    <mergeCell ref="G21:J21"/>
    <mergeCell ref="G23:J23"/>
    <mergeCell ref="G24:J24"/>
    <mergeCell ref="G25:J25"/>
    <mergeCell ref="G26:J26"/>
    <mergeCell ref="G27:J27"/>
    <mergeCell ref="U27:V27"/>
    <mergeCell ref="W23:X23"/>
    <mergeCell ref="W24:X24"/>
    <mergeCell ref="W21:X21"/>
    <mergeCell ref="W11:X11"/>
    <mergeCell ref="U21:V21"/>
    <mergeCell ref="U22:V22"/>
    <mergeCell ref="U23:V23"/>
    <mergeCell ref="U24:V24"/>
    <mergeCell ref="W15:X15"/>
    <mergeCell ref="W13:X13"/>
    <mergeCell ref="W12:X12"/>
    <mergeCell ref="S14:T14"/>
    <mergeCell ref="G7:J7"/>
    <mergeCell ref="G6:J6"/>
    <mergeCell ref="K7:N7"/>
    <mergeCell ref="G13:J13"/>
    <mergeCell ref="G14:J14"/>
    <mergeCell ref="G15:J15"/>
    <mergeCell ref="G16:J16"/>
    <mergeCell ref="G17:J17"/>
    <mergeCell ref="O16:R16"/>
    <mergeCell ref="O17:R17"/>
    <mergeCell ref="G11:J11"/>
    <mergeCell ref="G12:J12"/>
    <mergeCell ref="O9:R9"/>
    <mergeCell ref="O10:R10"/>
    <mergeCell ref="O11:R11"/>
    <mergeCell ref="O12:R12"/>
    <mergeCell ref="O13:R13"/>
    <mergeCell ref="O14:R14"/>
    <mergeCell ref="O15:R15"/>
    <mergeCell ref="S21:T21"/>
    <mergeCell ref="U7:V7"/>
    <mergeCell ref="G4:J4"/>
    <mergeCell ref="K4:N4"/>
    <mergeCell ref="O4:R4"/>
    <mergeCell ref="W25:X25"/>
    <mergeCell ref="W4:X4"/>
    <mergeCell ref="G5:J5"/>
    <mergeCell ref="U9:V9"/>
    <mergeCell ref="U10:V10"/>
    <mergeCell ref="U11:V11"/>
    <mergeCell ref="U12:V12"/>
    <mergeCell ref="U13:V13"/>
    <mergeCell ref="U14:V14"/>
    <mergeCell ref="U25:V25"/>
    <mergeCell ref="U15:V15"/>
    <mergeCell ref="U16:V16"/>
    <mergeCell ref="U17:V17"/>
    <mergeCell ref="U18:V18"/>
    <mergeCell ref="U19:V19"/>
    <mergeCell ref="U20:V20"/>
    <mergeCell ref="G8:J8"/>
    <mergeCell ref="G9:J9"/>
    <mergeCell ref="G10:J10"/>
    <mergeCell ref="W9:X9"/>
    <mergeCell ref="O5:R5"/>
    <mergeCell ref="U6:V6"/>
    <mergeCell ref="U5:V5"/>
    <mergeCell ref="W6:Z6"/>
    <mergeCell ref="W8:X8"/>
    <mergeCell ref="W5:Z5"/>
    <mergeCell ref="W7:Z7"/>
    <mergeCell ref="U8:V8"/>
    <mergeCell ref="O7:R7"/>
    <mergeCell ref="O8:R8"/>
    <mergeCell ref="S7:T7"/>
    <mergeCell ref="S5:T5"/>
    <mergeCell ref="S6:T6"/>
    <mergeCell ref="S2:Z2"/>
    <mergeCell ref="AA12:AB12"/>
    <mergeCell ref="AA13:AB13"/>
    <mergeCell ref="AA14:AB14"/>
    <mergeCell ref="AA15:AB15"/>
    <mergeCell ref="S3:T3"/>
    <mergeCell ref="U3:V3"/>
    <mergeCell ref="W3:Z3"/>
    <mergeCell ref="Y4:Z4"/>
    <mergeCell ref="U4:V4"/>
    <mergeCell ref="AA2:AB3"/>
    <mergeCell ref="AA4:AB4"/>
    <mergeCell ref="AA5:AB5"/>
    <mergeCell ref="AA6:AB6"/>
    <mergeCell ref="AA7:AB7"/>
    <mergeCell ref="AA8:AB8"/>
    <mergeCell ref="AA9:AB9"/>
    <mergeCell ref="AA10:AB10"/>
    <mergeCell ref="AA11:AB11"/>
    <mergeCell ref="W14:X14"/>
    <mergeCell ref="Y13:Z13"/>
    <mergeCell ref="Y15:Z15"/>
    <mergeCell ref="Y8:Z8"/>
    <mergeCell ref="Y9:Z9"/>
    <mergeCell ref="AA20:AB20"/>
    <mergeCell ref="AA21:AB21"/>
    <mergeCell ref="AA22:AB22"/>
    <mergeCell ref="AA23:AB23"/>
    <mergeCell ref="W16:X16"/>
    <mergeCell ref="Y19:Z19"/>
    <mergeCell ref="Y20:Z20"/>
    <mergeCell ref="Y21:Z21"/>
    <mergeCell ref="Y17:Z17"/>
    <mergeCell ref="AA16:AB16"/>
    <mergeCell ref="AA17:AB17"/>
    <mergeCell ref="AA18:AB18"/>
    <mergeCell ref="AA19:AB19"/>
    <mergeCell ref="W18:X18"/>
    <mergeCell ref="Y16:Z16"/>
    <mergeCell ref="W22:X22"/>
    <mergeCell ref="Y18:Z18"/>
    <mergeCell ref="W17:X17"/>
    <mergeCell ref="G33:AB33"/>
    <mergeCell ref="B35:F35"/>
    <mergeCell ref="G35:AB35"/>
    <mergeCell ref="B33:F33"/>
    <mergeCell ref="Y26:Z26"/>
    <mergeCell ref="Y22:Z22"/>
    <mergeCell ref="Y23:Z23"/>
    <mergeCell ref="Y27:Z27"/>
    <mergeCell ref="B29:AB29"/>
    <mergeCell ref="Y28:Z28"/>
    <mergeCell ref="Y25:Z25"/>
    <mergeCell ref="Y24:Z24"/>
    <mergeCell ref="B32:AB32"/>
    <mergeCell ref="B30:F30"/>
    <mergeCell ref="B31:F31"/>
    <mergeCell ref="AA25:AB25"/>
    <mergeCell ref="AA26:AB26"/>
    <mergeCell ref="AA27:AB27"/>
    <mergeCell ref="AA28:AB28"/>
    <mergeCell ref="AA24:AB24"/>
    <mergeCell ref="W26:X26"/>
    <mergeCell ref="W27:X27"/>
    <mergeCell ref="U26:V26"/>
    <mergeCell ref="G22:J22"/>
    <mergeCell ref="G28:J28"/>
    <mergeCell ref="K8:N8"/>
    <mergeCell ref="K9:N9"/>
    <mergeCell ref="K10:N10"/>
    <mergeCell ref="K11:N11"/>
    <mergeCell ref="K12:N12"/>
    <mergeCell ref="K13:N13"/>
    <mergeCell ref="K14:N14"/>
    <mergeCell ref="K15:N15"/>
    <mergeCell ref="K16:N16"/>
    <mergeCell ref="K17:N17"/>
    <mergeCell ref="K18:N18"/>
    <mergeCell ref="K19:N19"/>
    <mergeCell ref="K20:N20"/>
    <mergeCell ref="K21:N21"/>
    <mergeCell ref="K22:N22"/>
    <mergeCell ref="K23:N23"/>
    <mergeCell ref="K24:N24"/>
    <mergeCell ref="K25:N25"/>
    <mergeCell ref="K26:N26"/>
    <mergeCell ref="K27:N27"/>
    <mergeCell ref="O18:R18"/>
    <mergeCell ref="O19:R19"/>
    <mergeCell ref="O20:R20"/>
    <mergeCell ref="K28:N28"/>
    <mergeCell ref="O21:R21"/>
    <mergeCell ref="O22:R22"/>
    <mergeCell ref="O23:R23"/>
    <mergeCell ref="O24:R24"/>
    <mergeCell ref="O25:R25"/>
    <mergeCell ref="O26:R26"/>
    <mergeCell ref="O27:R27"/>
    <mergeCell ref="O28:R28"/>
  </mergeCells>
  <phoneticPr fontId="0" type="noConversion"/>
  <conditionalFormatting sqref="H31:AB31">
    <cfRule type="cellIs" dxfId="1185" priority="2" stopIfTrue="1" operator="equal">
      <formula>""</formula>
    </cfRule>
    <cfRule type="cellIs" dxfId="1184" priority="4" stopIfTrue="1" operator="equal">
      <formula>1</formula>
    </cfRule>
    <cfRule type="cellIs" dxfId="1183" priority="5" stopIfTrue="1" operator="greaterThan">
      <formula>0.75</formula>
    </cfRule>
    <cfRule type="cellIs" dxfId="1182" priority="6" stopIfTrue="1" operator="greaterThan">
      <formula>0.5</formula>
    </cfRule>
    <cfRule type="cellIs" dxfId="1181" priority="7" stopIfTrue="1" operator="greaterThan">
      <formula>0.25</formula>
    </cfRule>
    <cfRule type="cellIs" dxfId="1180" priority="8" stopIfTrue="1" operator="greaterThanOrEqual">
      <formula>0</formula>
    </cfRule>
  </conditionalFormatting>
  <dataValidations count="2">
    <dataValidation type="list" allowBlank="1" showInputMessage="1" showErrorMessage="1" sqref="D7" xr:uid="{00000000-0002-0000-0E00-000000000000}">
      <formula1>"U 0,U +1"</formula1>
    </dataValidation>
    <dataValidation type="list" allowBlank="1" showInputMessage="1" sqref="D8:D28" xr:uid="{00000000-0002-0000-0E00-000001000000}">
      <formula1>"N/A,Tested,Symmetry,Adjacent,Default"</formula1>
    </dataValidation>
  </dataValidations>
  <pageMargins left="0.8" right="0.44" top="0.53" bottom="1" header="0.5" footer="0.5"/>
  <pageSetup paperSize="9" scale="66" orientation="portrait" r:id="rId1"/>
  <headerFooter alignWithMargins="0"/>
  <ignoredErrors>
    <ignoredError sqref="H30 AB30 I30:AA30 I31 P31:AA31" numberStoredAsText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>
    <tabColor rgb="FF00B050"/>
    <pageSetUpPr fitToPage="1"/>
  </sheetPr>
  <dimension ref="B1:AN45"/>
  <sheetViews>
    <sheetView showGridLines="0" showOutlineSymbols="0" topLeftCell="C5" zoomScaleNormal="100" workbookViewId="0"/>
  </sheetViews>
  <sheetFormatPr defaultColWidth="8.7109375" defaultRowHeight="12.75"/>
  <cols>
    <col min="1" max="1" width="8.7109375" style="1"/>
    <col min="2" max="2" width="8.7109375" style="1" customWidth="1"/>
    <col min="3" max="3" width="7.28515625" style="1" customWidth="1"/>
    <col min="4" max="4" width="33.42578125" style="1" customWidth="1"/>
    <col min="5" max="13" width="4.5703125" style="1" customWidth="1"/>
    <col min="14" max="14" width="4.5703125" style="2" customWidth="1"/>
    <col min="15" max="17" width="4.5703125" style="1" customWidth="1"/>
    <col min="18" max="18" width="4.5703125" style="2" customWidth="1"/>
    <col min="19" max="21" width="4.5703125" style="1" customWidth="1"/>
    <col min="22" max="22" width="4.5703125" style="2" customWidth="1"/>
    <col min="23" max="30" width="4.5703125" style="1" customWidth="1"/>
    <col min="31" max="31" width="15.85546875" style="1" bestFit="1" customWidth="1"/>
    <col min="32" max="32" width="16.5703125" style="2" customWidth="1"/>
    <col min="33" max="33" width="15.140625" style="1" customWidth="1"/>
    <col min="34" max="16384" width="8.7109375" style="1"/>
  </cols>
  <sheetData>
    <row r="1" spans="2:40" ht="13.5" thickBot="1"/>
    <row r="2" spans="2:40" s="4" customFormat="1" ht="15" customHeight="1">
      <c r="B2" s="1450" t="s">
        <v>2453</v>
      </c>
      <c r="C2" s="1608"/>
      <c r="D2" s="1608"/>
      <c r="E2" s="1454" t="s">
        <v>324</v>
      </c>
      <c r="F2" s="1464"/>
      <c r="G2" s="1464"/>
      <c r="H2" s="1464"/>
      <c r="I2" s="1464"/>
      <c r="J2" s="1464"/>
      <c r="K2" s="1464"/>
      <c r="L2" s="1464"/>
      <c r="M2" s="1464"/>
      <c r="N2" s="1486"/>
      <c r="O2" s="1951" t="s">
        <v>330</v>
      </c>
      <c r="P2" s="1952"/>
      <c r="Q2" s="1952"/>
      <c r="R2" s="1953"/>
      <c r="S2" s="1952" t="s">
        <v>325</v>
      </c>
      <c r="T2" s="1952"/>
      <c r="U2" s="1952"/>
      <c r="V2" s="1954"/>
      <c r="W2" s="1454" t="s">
        <v>2461</v>
      </c>
      <c r="X2" s="1464"/>
      <c r="Y2" s="1464"/>
      <c r="Z2" s="1464"/>
      <c r="AA2" s="1464"/>
      <c r="AB2" s="1464"/>
      <c r="AC2" s="1464"/>
      <c r="AD2" s="1486"/>
      <c r="AE2" s="1486" t="s">
        <v>2467</v>
      </c>
      <c r="AF2" s="741" t="s">
        <v>82</v>
      </c>
      <c r="AG2" s="696" t="s">
        <v>82</v>
      </c>
    </row>
    <row r="3" spans="2:40" s="4" customFormat="1" ht="17.25" customHeight="1">
      <c r="B3" s="1452"/>
      <c r="C3" s="1609"/>
      <c r="D3" s="1609"/>
      <c r="E3" s="1949" t="s">
        <v>329</v>
      </c>
      <c r="F3" s="1950"/>
      <c r="G3" s="1950" t="s">
        <v>328</v>
      </c>
      <c r="H3" s="1950"/>
      <c r="I3" s="1950" t="s">
        <v>327</v>
      </c>
      <c r="J3" s="1950"/>
      <c r="K3" s="1950" t="s">
        <v>326</v>
      </c>
      <c r="L3" s="1950"/>
      <c r="M3" s="1606" t="s">
        <v>40</v>
      </c>
      <c r="N3" s="1607"/>
      <c r="O3" s="1904" t="s">
        <v>356</v>
      </c>
      <c r="P3" s="1908"/>
      <c r="Q3" s="1955" t="s">
        <v>357</v>
      </c>
      <c r="R3" s="1957"/>
      <c r="S3" s="1955"/>
      <c r="T3" s="1955"/>
      <c r="U3" s="1955"/>
      <c r="V3" s="1956"/>
      <c r="W3" s="1949" t="s">
        <v>2462</v>
      </c>
      <c r="X3" s="1950"/>
      <c r="Y3" s="1950" t="s">
        <v>2463</v>
      </c>
      <c r="Z3" s="1950"/>
      <c r="AA3" s="1950" t="s">
        <v>2464</v>
      </c>
      <c r="AB3" s="1950"/>
      <c r="AC3" s="1606" t="s">
        <v>40</v>
      </c>
      <c r="AD3" s="1607"/>
      <c r="AE3" s="1487"/>
      <c r="AF3" s="350" t="s">
        <v>2465</v>
      </c>
      <c r="AG3" s="697" t="s">
        <v>2466</v>
      </c>
      <c r="AH3" s="30"/>
      <c r="AI3" s="30"/>
      <c r="AJ3" s="30"/>
      <c r="AK3" s="30"/>
      <c r="AL3" s="30"/>
      <c r="AM3" s="30"/>
      <c r="AN3" s="30"/>
    </row>
    <row r="4" spans="2:40" ht="15" customHeight="1" thickBot="1">
      <c r="B4" s="1484" t="str">
        <f>'General Overview'!G10</f>
        <v/>
      </c>
      <c r="C4" s="1610"/>
      <c r="D4" s="1610"/>
      <c r="E4" s="1909" t="s">
        <v>99</v>
      </c>
      <c r="F4" s="1910"/>
      <c r="G4" s="1910"/>
      <c r="H4" s="1910"/>
      <c r="I4" s="1910"/>
      <c r="J4" s="1910"/>
      <c r="K4" s="1910"/>
      <c r="L4" s="1910"/>
      <c r="M4" s="1899"/>
      <c r="N4" s="1900"/>
      <c r="O4" s="1909" t="s">
        <v>99</v>
      </c>
      <c r="P4" s="1910"/>
      <c r="Q4" s="1910" t="s">
        <v>99</v>
      </c>
      <c r="R4" s="1910"/>
      <c r="S4" s="1910" t="s">
        <v>99</v>
      </c>
      <c r="T4" s="1910"/>
      <c r="U4" s="1910" t="s">
        <v>40</v>
      </c>
      <c r="V4" s="1911"/>
      <c r="W4" s="1909" t="s">
        <v>99</v>
      </c>
      <c r="X4" s="1910"/>
      <c r="Y4" s="1910"/>
      <c r="Z4" s="1910"/>
      <c r="AA4" s="1910"/>
      <c r="AB4" s="1910"/>
      <c r="AC4" s="1899"/>
      <c r="AD4" s="1900"/>
      <c r="AE4" s="1958"/>
      <c r="AF4" s="478" t="s">
        <v>40</v>
      </c>
      <c r="AG4" s="724" t="s">
        <v>40</v>
      </c>
      <c r="AH4" s="9"/>
      <c r="AI4" s="9"/>
      <c r="AJ4" s="9"/>
      <c r="AK4" s="9"/>
      <c r="AL4" s="9"/>
      <c r="AM4" s="9"/>
      <c r="AN4" s="9"/>
    </row>
    <row r="5" spans="2:40" ht="15" customHeight="1">
      <c r="B5" s="1916" t="s">
        <v>302</v>
      </c>
      <c r="C5" s="1917"/>
      <c r="D5" s="1917"/>
      <c r="E5" s="1499"/>
      <c r="F5" s="1624"/>
      <c r="G5" s="1624"/>
      <c r="H5" s="1624"/>
      <c r="I5" s="1624"/>
      <c r="J5" s="1624"/>
      <c r="K5" s="1624"/>
      <c r="L5" s="1624"/>
      <c r="M5" s="1624"/>
      <c r="N5" s="1497"/>
      <c r="O5" s="1499"/>
      <c r="P5" s="1624"/>
      <c r="Q5" s="1624"/>
      <c r="R5" s="1500"/>
      <c r="S5" s="1496"/>
      <c r="T5" s="1624"/>
      <c r="U5" s="1624"/>
      <c r="V5" s="1497"/>
      <c r="W5" s="1499"/>
      <c r="X5" s="1624"/>
      <c r="Y5" s="1624"/>
      <c r="Z5" s="1624"/>
      <c r="AA5" s="1624"/>
      <c r="AB5" s="1624"/>
      <c r="AC5" s="1624"/>
      <c r="AD5" s="1497"/>
      <c r="AE5" s="693"/>
      <c r="AF5" s="720"/>
      <c r="AG5" s="720"/>
      <c r="AH5" s="9"/>
      <c r="AI5" s="9"/>
      <c r="AJ5" s="9"/>
      <c r="AK5" s="9"/>
      <c r="AL5" s="9"/>
      <c r="AM5" s="9"/>
      <c r="AN5" s="9"/>
    </row>
    <row r="6" spans="2:40" ht="15" customHeight="1">
      <c r="B6" s="1904"/>
      <c r="C6" s="1908"/>
      <c r="D6" s="1908"/>
      <c r="E6" s="1904"/>
      <c r="F6" s="1908"/>
      <c r="G6" s="1908"/>
      <c r="H6" s="1908"/>
      <c r="I6" s="1908"/>
      <c r="J6" s="1908"/>
      <c r="K6" s="1908"/>
      <c r="L6" s="1908"/>
      <c r="M6" s="1908"/>
      <c r="N6" s="1905"/>
      <c r="O6" s="1904"/>
      <c r="P6" s="1908"/>
      <c r="Q6" s="1908"/>
      <c r="R6" s="1907"/>
      <c r="S6" s="1906"/>
      <c r="T6" s="1908"/>
      <c r="U6" s="1908"/>
      <c r="V6" s="1905"/>
      <c r="W6" s="1904"/>
      <c r="X6" s="1908"/>
      <c r="Y6" s="1908"/>
      <c r="Z6" s="1908"/>
      <c r="AA6" s="1908"/>
      <c r="AB6" s="1908"/>
      <c r="AC6" s="1908"/>
      <c r="AD6" s="1905"/>
      <c r="AE6" s="628"/>
      <c r="AF6" s="721"/>
      <c r="AG6" s="721"/>
      <c r="AH6" s="9"/>
      <c r="AI6" s="9"/>
      <c r="AJ6" s="9"/>
      <c r="AK6" s="9"/>
      <c r="AL6" s="9"/>
      <c r="AM6" s="9"/>
      <c r="AN6" s="9"/>
    </row>
    <row r="7" spans="2:40" ht="15" customHeight="1">
      <c r="B7" s="1919" t="s">
        <v>260</v>
      </c>
      <c r="C7" s="1920"/>
      <c r="D7" s="982"/>
      <c r="E7" s="1904"/>
      <c r="F7" s="1908"/>
      <c r="G7" s="1908"/>
      <c r="H7" s="1908"/>
      <c r="I7" s="1908"/>
      <c r="J7" s="1908"/>
      <c r="K7" s="1908"/>
      <c r="L7" s="1908"/>
      <c r="M7" s="1908"/>
      <c r="N7" s="1905"/>
      <c r="O7" s="1904"/>
      <c r="P7" s="1908"/>
      <c r="Q7" s="1908"/>
      <c r="R7" s="1907"/>
      <c r="S7" s="1906"/>
      <c r="T7" s="1908"/>
      <c r="U7" s="1908"/>
      <c r="V7" s="1905"/>
      <c r="W7" s="1904"/>
      <c r="X7" s="1908"/>
      <c r="Y7" s="1908"/>
      <c r="Z7" s="1908"/>
      <c r="AA7" s="1908"/>
      <c r="AB7" s="1908"/>
      <c r="AC7" s="1908"/>
      <c r="AD7" s="1905"/>
      <c r="AE7" s="628"/>
      <c r="AF7" s="721"/>
      <c r="AG7" s="722"/>
      <c r="AH7" s="9"/>
      <c r="AI7" s="9"/>
      <c r="AJ7" s="9"/>
      <c r="AK7" s="9"/>
      <c r="AL7" s="9"/>
      <c r="AM7" s="9"/>
      <c r="AN7" s="9"/>
    </row>
    <row r="8" spans="2:40" ht="15" customHeight="1">
      <c r="B8" s="10"/>
      <c r="C8" s="9" t="s">
        <v>303</v>
      </c>
      <c r="D8" s="236"/>
      <c r="E8" s="1927"/>
      <c r="F8" s="1928"/>
      <c r="G8" s="1892"/>
      <c r="H8" s="1928"/>
      <c r="I8" s="1892"/>
      <c r="J8" s="1928"/>
      <c r="K8" s="1893"/>
      <c r="L8" s="1893"/>
      <c r="M8" s="1929" t="str">
        <f>IF(NOT($D8="Tested"),"",ROUND(Sliding_Scale(MAX(E8,G8,I8,K8),275,320,1,0),Round))</f>
        <v/>
      </c>
      <c r="N8" s="1572"/>
      <c r="O8" s="1927"/>
      <c r="P8" s="1928"/>
      <c r="Q8" s="1892"/>
      <c r="R8" s="1928"/>
      <c r="S8" s="1892"/>
      <c r="T8" s="1893"/>
      <c r="U8" s="1929" t="str">
        <f>IF(NOT($D8="Tested"),"",ROUND(Sliding_Scale(S8,27,32,1,0),Round))</f>
        <v/>
      </c>
      <c r="V8" s="1572"/>
      <c r="W8" s="1927"/>
      <c r="X8" s="1928"/>
      <c r="Y8" s="1892"/>
      <c r="Z8" s="1928"/>
      <c r="AA8" s="1892"/>
      <c r="AB8" s="1928"/>
      <c r="AC8" s="1929" t="str">
        <f>IF(NOT($D8="Tested"),"",ROUND(Sliding_Scale(MAX(W8,Y8,AA8),390,440,1,0),Round))</f>
        <v/>
      </c>
      <c r="AD8" s="1572"/>
      <c r="AE8" s="695"/>
      <c r="AF8" s="722" t="str">
        <f ca="1">IF($D8="N/A","",IF($D8="Tested",MIN(M8,U8),IF($D8="Symmetry",INDIRECT(ADDRESS((18-ROW(C8))*2+ROW(C8),32)),IF($D8="Adjacent",MIN(AF7,AF9),""))))</f>
        <v/>
      </c>
      <c r="AG8" s="722" t="str">
        <f ca="1">IF($D8="N/A","",IF($D8="Tested",AC8,IF($D8="Symmetry",INDIRECT(ADDRESS((18-ROW(C8))*2+ROW(C8),33)),IF($D8="Adjacent",MIN(AG7,AG9),""))))</f>
        <v/>
      </c>
      <c r="AH8" s="828"/>
      <c r="AI8" s="828"/>
      <c r="AJ8" s="9"/>
      <c r="AK8" s="9"/>
      <c r="AL8" s="9"/>
      <c r="AM8" s="9"/>
      <c r="AN8" s="9"/>
    </row>
    <row r="9" spans="2:40" ht="15" customHeight="1">
      <c r="B9" s="10"/>
      <c r="C9" s="9" t="s">
        <v>304</v>
      </c>
      <c r="D9" s="236"/>
      <c r="E9" s="1927"/>
      <c r="F9" s="1928"/>
      <c r="G9" s="1892"/>
      <c r="H9" s="1928"/>
      <c r="I9" s="1892"/>
      <c r="J9" s="1928"/>
      <c r="K9" s="1893"/>
      <c r="L9" s="1893"/>
      <c r="M9" s="1929" t="str">
        <f>IF(NOT($D9="Tested"),"",ROUND(Sliding_Scale(MAX(E9,G9,I9,K9),275,320,1,0),Round))</f>
        <v/>
      </c>
      <c r="N9" s="1572"/>
      <c r="O9" s="1927"/>
      <c r="P9" s="1928"/>
      <c r="Q9" s="1892"/>
      <c r="R9" s="1928"/>
      <c r="S9" s="1892"/>
      <c r="T9" s="1893"/>
      <c r="U9" s="1929" t="str">
        <f>IF(NOT($D9="Tested"),"",ROUND(Sliding_Scale(S9,27,32,1,0),Round))</f>
        <v/>
      </c>
      <c r="V9" s="1572"/>
      <c r="W9" s="1927"/>
      <c r="X9" s="1928"/>
      <c r="Y9" s="1892"/>
      <c r="Z9" s="1928"/>
      <c r="AA9" s="1892"/>
      <c r="AB9" s="1928"/>
      <c r="AC9" s="1929" t="str">
        <f>IF(NOT($D9="Tested"),"",ROUND(Sliding_Scale(MAX(W9,Y9,AA9),390,440,1,0),Round))</f>
        <v/>
      </c>
      <c r="AD9" s="1572"/>
      <c r="AE9" s="695"/>
      <c r="AF9" s="722" t="str">
        <f t="shared" ref="AF9:AF28" ca="1" si="0">IF($D9="N/A","",IF($D9="Tested",MIN(M9,U9),IF($D9="Symmetry",INDIRECT(ADDRESS((18-ROW(C9))*2+ROW(C9),32)),IF($D9="Adjacent",MIN(AF8,AF10),""))))</f>
        <v/>
      </c>
      <c r="AG9" s="722" t="str">
        <f t="shared" ref="AG9:AG28" ca="1" si="1">IF($D9="N/A","",IF($D9="Tested",AC9,IF($D9="Symmetry",INDIRECT(ADDRESS((18-ROW(C9))*2+ROW(C9),33)),IF($D9="Adjacent",MIN(AG8,AG10),""))))</f>
        <v/>
      </c>
      <c r="AH9" s="828"/>
      <c r="AI9" s="828"/>
      <c r="AJ9" s="9"/>
      <c r="AK9" s="9"/>
      <c r="AL9" s="9"/>
      <c r="AM9" s="9"/>
      <c r="AN9" s="9"/>
    </row>
    <row r="10" spans="2:40" ht="15" customHeight="1">
      <c r="B10" s="10"/>
      <c r="C10" s="9" t="s">
        <v>305</v>
      </c>
      <c r="D10" s="236"/>
      <c r="E10" s="1927"/>
      <c r="F10" s="1928"/>
      <c r="G10" s="1892"/>
      <c r="H10" s="1928"/>
      <c r="I10" s="1892"/>
      <c r="J10" s="1928"/>
      <c r="K10" s="1893"/>
      <c r="L10" s="1893"/>
      <c r="M10" s="1929" t="str">
        <f>IF(NOT($D10="Tested"),"",ROUND(Sliding_Scale(MAX(E10,G10,I10,K10),275,320,1,0),Round))</f>
        <v/>
      </c>
      <c r="N10" s="1572"/>
      <c r="O10" s="1927"/>
      <c r="P10" s="1928"/>
      <c r="Q10" s="1892"/>
      <c r="R10" s="1928"/>
      <c r="S10" s="1892"/>
      <c r="T10" s="1893"/>
      <c r="U10" s="1929" t="str">
        <f>IF(NOT($D10="Tested"),"",ROUND(Sliding_Scale(S10,27,32,1,0),Round))</f>
        <v/>
      </c>
      <c r="V10" s="1572"/>
      <c r="W10" s="1927"/>
      <c r="X10" s="1928"/>
      <c r="Y10" s="1892"/>
      <c r="Z10" s="1928"/>
      <c r="AA10" s="1892"/>
      <c r="AB10" s="1928"/>
      <c r="AC10" s="1929" t="str">
        <f>IF(NOT($D10="Tested"),"",ROUND(Sliding_Scale(MAX(W10,Y10,AA10),390,440,1,0),Round))</f>
        <v/>
      </c>
      <c r="AD10" s="1572"/>
      <c r="AE10" s="695"/>
      <c r="AF10" s="722" t="str">
        <f t="shared" ca="1" si="0"/>
        <v/>
      </c>
      <c r="AG10" s="722" t="str">
        <f t="shared" ca="1" si="1"/>
        <v/>
      </c>
      <c r="AH10" s="828"/>
      <c r="AI10" s="828"/>
      <c r="AJ10" s="9"/>
      <c r="AK10" s="9"/>
      <c r="AL10" s="9"/>
      <c r="AM10" s="9"/>
      <c r="AN10" s="9"/>
    </row>
    <row r="11" spans="2:40" ht="15" customHeight="1">
      <c r="B11" s="10"/>
      <c r="C11" s="9" t="s">
        <v>306</v>
      </c>
      <c r="D11" s="236"/>
      <c r="E11" s="1927"/>
      <c r="F11" s="1928"/>
      <c r="G11" s="1892"/>
      <c r="H11" s="1928"/>
      <c r="I11" s="1892"/>
      <c r="J11" s="1928"/>
      <c r="K11" s="1893"/>
      <c r="L11" s="1893"/>
      <c r="M11" s="1929" t="str">
        <f>IF(NOT($D11="Tested"),"",ROUND(Sliding_Scale(MAX(E11,G11,I11,K11),275,320,1,0),Round))</f>
        <v/>
      </c>
      <c r="N11" s="1572"/>
      <c r="O11" s="1927"/>
      <c r="P11" s="1928"/>
      <c r="Q11" s="1892"/>
      <c r="R11" s="1928"/>
      <c r="S11" s="1892"/>
      <c r="T11" s="1893"/>
      <c r="U11" s="1929" t="str">
        <f>IF(NOT($D11="Tested"),"",ROUND(Sliding_Scale(S11,27,32,1,0),Round))</f>
        <v/>
      </c>
      <c r="V11" s="1572"/>
      <c r="W11" s="1927"/>
      <c r="X11" s="1928"/>
      <c r="Y11" s="1892"/>
      <c r="Z11" s="1928"/>
      <c r="AA11" s="1892"/>
      <c r="AB11" s="1928"/>
      <c r="AC11" s="1929" t="str">
        <f>IF(NOT($D11="Tested"),"",ROUND(Sliding_Scale(MAX(W11,Y11,AA11),390,440,1,0),Round))</f>
        <v/>
      </c>
      <c r="AD11" s="1572"/>
      <c r="AE11" s="695"/>
      <c r="AF11" s="722" t="str">
        <f t="shared" ca="1" si="0"/>
        <v/>
      </c>
      <c r="AG11" s="722" t="str">
        <f t="shared" ca="1" si="1"/>
        <v/>
      </c>
      <c r="AH11" s="828"/>
      <c r="AI11" s="828"/>
      <c r="AJ11" s="9"/>
      <c r="AK11" s="9"/>
      <c r="AL11" s="9"/>
      <c r="AM11" s="9"/>
      <c r="AN11" s="9"/>
    </row>
    <row r="12" spans="2:40" ht="15" customHeight="1">
      <c r="B12" s="10"/>
      <c r="C12" s="9" t="s">
        <v>307</v>
      </c>
      <c r="D12" s="236"/>
      <c r="E12" s="1927"/>
      <c r="F12" s="1928"/>
      <c r="G12" s="1892"/>
      <c r="H12" s="1928"/>
      <c r="I12" s="1892"/>
      <c r="J12" s="1928"/>
      <c r="K12" s="1893"/>
      <c r="L12" s="1893"/>
      <c r="M12" s="1929" t="str">
        <f>IF(NOT($D12="Tested"),"",ROUND(Sliding_Scale(MAX(E12,G12,I12,K12),275,320,1,0),Round))</f>
        <v/>
      </c>
      <c r="N12" s="1572"/>
      <c r="O12" s="1927"/>
      <c r="P12" s="1928"/>
      <c r="Q12" s="1892"/>
      <c r="R12" s="1928"/>
      <c r="S12" s="1892"/>
      <c r="T12" s="1893"/>
      <c r="U12" s="1929" t="str">
        <f>IF(NOT($D12="Tested"),"",ROUND(Sliding_Scale(S12,27,32,1,0),Round))</f>
        <v/>
      </c>
      <c r="V12" s="1572"/>
      <c r="W12" s="1927"/>
      <c r="X12" s="1928"/>
      <c r="Y12" s="1892"/>
      <c r="Z12" s="1928"/>
      <c r="AA12" s="1892"/>
      <c r="AB12" s="1928"/>
      <c r="AC12" s="1929" t="str">
        <f>IF(NOT($D12="Tested"),"",ROUND(Sliding_Scale(MAX(W12,Y12,AA12),390,440,1,0),Round))</f>
        <v/>
      </c>
      <c r="AD12" s="1572"/>
      <c r="AE12" s="695"/>
      <c r="AF12" s="722" t="str">
        <f t="shared" ca="1" si="0"/>
        <v/>
      </c>
      <c r="AG12" s="722" t="str">
        <f t="shared" ca="1" si="1"/>
        <v/>
      </c>
      <c r="AH12" s="828"/>
      <c r="AI12" s="828"/>
      <c r="AJ12" s="9"/>
      <c r="AK12" s="9"/>
      <c r="AL12" s="9"/>
      <c r="AM12" s="9"/>
      <c r="AN12" s="9"/>
    </row>
    <row r="13" spans="2:40" ht="15" customHeight="1">
      <c r="B13" s="10"/>
      <c r="C13" s="9" t="s">
        <v>308</v>
      </c>
      <c r="D13" s="236"/>
      <c r="E13" s="1942"/>
      <c r="F13" s="1943"/>
      <c r="G13" s="1892"/>
      <c r="H13" s="1928"/>
      <c r="I13" s="1892"/>
      <c r="J13" s="1928"/>
      <c r="K13" s="1893"/>
      <c r="L13" s="1893"/>
      <c r="M13" s="1929" t="str">
        <f>IF(NOT($D13="Tested"),"",ROUND(Sliding_Scale(MAX(E13,G13,I13,K13),275,320,1,0),Round))</f>
        <v/>
      </c>
      <c r="N13" s="1572"/>
      <c r="O13" s="1927"/>
      <c r="P13" s="1928"/>
      <c r="Q13" s="1892"/>
      <c r="R13" s="1928"/>
      <c r="S13" s="1947"/>
      <c r="T13" s="1948"/>
      <c r="U13" s="1929" t="str">
        <f>IF(NOT($D13="Tested"),"",ROUND(Sliding_Scale(S13,27,32,1,0),Round))</f>
        <v/>
      </c>
      <c r="V13" s="1572"/>
      <c r="W13" s="1942"/>
      <c r="X13" s="1943"/>
      <c r="Y13" s="1892"/>
      <c r="Z13" s="1928"/>
      <c r="AA13" s="1892"/>
      <c r="AB13" s="1928"/>
      <c r="AC13" s="1929" t="str">
        <f>IF(NOT($D13="Tested"),"",ROUND(Sliding_Scale(MAX(W13,Y13,AA13),390,440,1,0),Round))</f>
        <v/>
      </c>
      <c r="AD13" s="1572"/>
      <c r="AE13" s="695"/>
      <c r="AF13" s="722" t="str">
        <f t="shared" ca="1" si="0"/>
        <v/>
      </c>
      <c r="AG13" s="722" t="str">
        <f t="shared" ca="1" si="1"/>
        <v/>
      </c>
      <c r="AH13" s="828"/>
      <c r="AI13" s="828"/>
      <c r="AJ13" s="9"/>
      <c r="AK13" s="9"/>
      <c r="AL13" s="9"/>
      <c r="AM13" s="9"/>
      <c r="AN13" s="9"/>
    </row>
    <row r="14" spans="2:40" ht="15" customHeight="1">
      <c r="B14" s="10"/>
      <c r="C14" s="9" t="s">
        <v>309</v>
      </c>
      <c r="D14" s="236"/>
      <c r="E14" s="1927"/>
      <c r="F14" s="1928"/>
      <c r="G14" s="1892"/>
      <c r="H14" s="1928"/>
      <c r="I14" s="1892"/>
      <c r="J14" s="1928"/>
      <c r="K14" s="1893"/>
      <c r="L14" s="1893"/>
      <c r="M14" s="1929" t="str">
        <f>IF(NOT($D14="Tested"),"",ROUND(Sliding_Scale(MAX(E14,G14,I14,K14),275,320,1,0),Round))</f>
        <v/>
      </c>
      <c r="N14" s="1572"/>
      <c r="O14" s="1927"/>
      <c r="P14" s="1928"/>
      <c r="Q14" s="1892"/>
      <c r="R14" s="1928"/>
      <c r="S14" s="1892"/>
      <c r="T14" s="1893"/>
      <c r="U14" s="1929" t="str">
        <f>IF(NOT($D14="Tested"),"",ROUND(Sliding_Scale(S14,27,32,1,0),Round))</f>
        <v/>
      </c>
      <c r="V14" s="1572"/>
      <c r="W14" s="1927"/>
      <c r="X14" s="1928"/>
      <c r="Y14" s="1892"/>
      <c r="Z14" s="1928"/>
      <c r="AA14" s="1892"/>
      <c r="AB14" s="1928"/>
      <c r="AC14" s="1929" t="str">
        <f>IF(NOT($D14="Tested"),"",ROUND(Sliding_Scale(MAX(W14,Y14,AA14),390,440,1,0),Round))</f>
        <v/>
      </c>
      <c r="AD14" s="1572"/>
      <c r="AE14" s="695"/>
      <c r="AF14" s="722" t="str">
        <f t="shared" ca="1" si="0"/>
        <v/>
      </c>
      <c r="AG14" s="722" t="str">
        <f t="shared" ca="1" si="1"/>
        <v/>
      </c>
      <c r="AH14" s="828"/>
      <c r="AI14" s="828"/>
      <c r="AJ14" s="9"/>
      <c r="AK14" s="9"/>
      <c r="AL14" s="9"/>
      <c r="AM14" s="9"/>
      <c r="AN14" s="9"/>
    </row>
    <row r="15" spans="2:40" ht="15" customHeight="1">
      <c r="B15" s="10"/>
      <c r="C15" s="9" t="s">
        <v>310</v>
      </c>
      <c r="D15" s="236"/>
      <c r="E15" s="1927"/>
      <c r="F15" s="1928"/>
      <c r="G15" s="1892"/>
      <c r="H15" s="1928"/>
      <c r="I15" s="1892"/>
      <c r="J15" s="1928"/>
      <c r="K15" s="1893"/>
      <c r="L15" s="1893"/>
      <c r="M15" s="1929" t="str">
        <f>IF(NOT($D15="Tested"),"",ROUND(Sliding_Scale(MAX(E15,G15,I15,K15),275,320,1,0),Round))</f>
        <v/>
      </c>
      <c r="N15" s="1572"/>
      <c r="O15" s="1927"/>
      <c r="P15" s="1928"/>
      <c r="Q15" s="1892"/>
      <c r="R15" s="1928"/>
      <c r="S15" s="1892"/>
      <c r="T15" s="1893"/>
      <c r="U15" s="1929" t="str">
        <f>IF(NOT($D15="Tested"),"",ROUND(Sliding_Scale(S15,27,32,1,0),Round))</f>
        <v/>
      </c>
      <c r="V15" s="1572"/>
      <c r="W15" s="1927"/>
      <c r="X15" s="1928"/>
      <c r="Y15" s="1892"/>
      <c r="Z15" s="1928"/>
      <c r="AA15" s="1892"/>
      <c r="AB15" s="1928"/>
      <c r="AC15" s="1929" t="str">
        <f>IF(NOT($D15="Tested"),"",ROUND(Sliding_Scale(MAX(W15,Y15,AA15),390,440,1,0),Round))</f>
        <v/>
      </c>
      <c r="AD15" s="1572"/>
      <c r="AE15" s="695"/>
      <c r="AF15" s="722" t="str">
        <f t="shared" ca="1" si="0"/>
        <v/>
      </c>
      <c r="AG15" s="722" t="str">
        <f t="shared" ca="1" si="1"/>
        <v/>
      </c>
      <c r="AH15" s="39"/>
      <c r="AI15" s="39"/>
    </row>
    <row r="16" spans="2:40" ht="15" customHeight="1">
      <c r="B16" s="10"/>
      <c r="C16" s="9" t="s">
        <v>311</v>
      </c>
      <c r="D16" s="236"/>
      <c r="E16" s="1927"/>
      <c r="F16" s="1928"/>
      <c r="G16" s="1892"/>
      <c r="H16" s="1928"/>
      <c r="I16" s="1892"/>
      <c r="J16" s="1928"/>
      <c r="K16" s="1893"/>
      <c r="L16" s="1893"/>
      <c r="M16" s="1929" t="str">
        <f>IF(NOT($D16="Tested"),"",ROUND(Sliding_Scale(MAX(E16,G16,I16,K16),275,320,1,0),Round))</f>
        <v/>
      </c>
      <c r="N16" s="1572"/>
      <c r="O16" s="1927"/>
      <c r="P16" s="1928"/>
      <c r="Q16" s="1892"/>
      <c r="R16" s="1928"/>
      <c r="S16" s="1892"/>
      <c r="T16" s="1893"/>
      <c r="U16" s="1929" t="str">
        <f>IF(NOT($D16="Tested"),"",ROUND(Sliding_Scale(S16,27,32,1,0),Round))</f>
        <v/>
      </c>
      <c r="V16" s="1572"/>
      <c r="W16" s="1927"/>
      <c r="X16" s="1928"/>
      <c r="Y16" s="1892"/>
      <c r="Z16" s="1928"/>
      <c r="AA16" s="1892"/>
      <c r="AB16" s="1928"/>
      <c r="AC16" s="1929" t="str">
        <f>IF(NOT($D16="Tested"),"",ROUND(Sliding_Scale(MAX(W16,Y16,AA16),390,440,1,0),Round))</f>
        <v/>
      </c>
      <c r="AD16" s="1572"/>
      <c r="AE16" s="695"/>
      <c r="AF16" s="722" t="str">
        <f t="shared" ca="1" si="0"/>
        <v/>
      </c>
      <c r="AG16" s="722" t="str">
        <f t="shared" ca="1" si="1"/>
        <v/>
      </c>
      <c r="AH16" s="39"/>
      <c r="AI16" s="39"/>
    </row>
    <row r="17" spans="2:37" ht="15" customHeight="1">
      <c r="B17" s="10"/>
      <c r="C17" s="9" t="s">
        <v>312</v>
      </c>
      <c r="D17" s="236"/>
      <c r="E17" s="1927"/>
      <c r="F17" s="1928"/>
      <c r="G17" s="1892"/>
      <c r="H17" s="1928"/>
      <c r="I17" s="1892"/>
      <c r="J17" s="1928"/>
      <c r="K17" s="1893"/>
      <c r="L17" s="1893"/>
      <c r="M17" s="1929" t="str">
        <f>IF(NOT($D17="Tested"),"",ROUND(Sliding_Scale(MAX(E17,G17,I17,K17),275,320,1,0),Round))</f>
        <v/>
      </c>
      <c r="N17" s="1572"/>
      <c r="O17" s="1927"/>
      <c r="P17" s="1928"/>
      <c r="Q17" s="1892"/>
      <c r="R17" s="1928"/>
      <c r="S17" s="1892"/>
      <c r="T17" s="1893"/>
      <c r="U17" s="1929" t="str">
        <f>IF(NOT($D17="Tested"),"",ROUND(Sliding_Scale(S17,27,32,1,0),Round))</f>
        <v/>
      </c>
      <c r="V17" s="1572"/>
      <c r="W17" s="1927"/>
      <c r="X17" s="1928"/>
      <c r="Y17" s="1892"/>
      <c r="Z17" s="1928"/>
      <c r="AA17" s="1892"/>
      <c r="AB17" s="1928"/>
      <c r="AC17" s="1929" t="str">
        <f>IF(NOT($D17="Tested"),"",ROUND(Sliding_Scale(MAX(W17,Y17,AA17),390,440,1,0),Round))</f>
        <v/>
      </c>
      <c r="AD17" s="1572"/>
      <c r="AE17" s="695"/>
      <c r="AF17" s="722" t="str">
        <f t="shared" ca="1" si="0"/>
        <v/>
      </c>
      <c r="AG17" s="722" t="str">
        <f t="shared" ca="1" si="1"/>
        <v/>
      </c>
      <c r="AH17" s="39"/>
      <c r="AI17" s="39"/>
      <c r="AJ17" s="217"/>
      <c r="AK17" s="217"/>
    </row>
    <row r="18" spans="2:37" ht="15" customHeight="1">
      <c r="B18" s="10"/>
      <c r="C18" s="9" t="s">
        <v>313</v>
      </c>
      <c r="D18" s="236"/>
      <c r="E18" s="1927"/>
      <c r="F18" s="1928"/>
      <c r="G18" s="1892"/>
      <c r="H18" s="1928"/>
      <c r="I18" s="1892"/>
      <c r="J18" s="1928"/>
      <c r="K18" s="1893"/>
      <c r="L18" s="1893"/>
      <c r="M18" s="1929" t="str">
        <f>IF(NOT($D18="Tested"),"",ROUND(Sliding_Scale(MAX(E18,G18,I18,K18),275,320,1,0),Round))</f>
        <v/>
      </c>
      <c r="N18" s="1572"/>
      <c r="O18" s="1927"/>
      <c r="P18" s="1928"/>
      <c r="Q18" s="1892"/>
      <c r="R18" s="1928"/>
      <c r="S18" s="1892"/>
      <c r="T18" s="1893"/>
      <c r="U18" s="1929" t="str">
        <f>IF(NOT($D18="Tested"),"",ROUND(Sliding_Scale(S18,27,32,1,0),Round))</f>
        <v/>
      </c>
      <c r="V18" s="1572"/>
      <c r="W18" s="1927"/>
      <c r="X18" s="1928"/>
      <c r="Y18" s="1892"/>
      <c r="Z18" s="1928"/>
      <c r="AA18" s="1892"/>
      <c r="AB18" s="1928"/>
      <c r="AC18" s="1929" t="str">
        <f>IF(NOT($D18="Tested"),"",ROUND(Sliding_Scale(MAX(W18,Y18,AA18),390,440,1,0),Round))</f>
        <v/>
      </c>
      <c r="AD18" s="1572"/>
      <c r="AE18" s="695"/>
      <c r="AF18" s="722" t="str">
        <f t="shared" ca="1" si="0"/>
        <v/>
      </c>
      <c r="AG18" s="722" t="str">
        <f t="shared" ca="1" si="1"/>
        <v/>
      </c>
      <c r="AH18" s="39"/>
      <c r="AI18" s="39"/>
      <c r="AJ18" s="217"/>
      <c r="AK18" s="217"/>
    </row>
    <row r="19" spans="2:37" ht="15" customHeight="1">
      <c r="B19" s="10"/>
      <c r="C19" s="9" t="s">
        <v>314</v>
      </c>
      <c r="D19" s="236"/>
      <c r="E19" s="1927"/>
      <c r="F19" s="1928"/>
      <c r="G19" s="1892"/>
      <c r="H19" s="1928"/>
      <c r="I19" s="1892"/>
      <c r="J19" s="1928"/>
      <c r="K19" s="1893"/>
      <c r="L19" s="1893"/>
      <c r="M19" s="1929" t="str">
        <f>IF(NOT($D19="Tested"),"",ROUND(Sliding_Scale(MAX(E19,G19,I19,K19),275,320,1,0),Round))</f>
        <v/>
      </c>
      <c r="N19" s="1572"/>
      <c r="O19" s="1927"/>
      <c r="P19" s="1928"/>
      <c r="Q19" s="1892"/>
      <c r="R19" s="1928"/>
      <c r="S19" s="1892"/>
      <c r="T19" s="1893"/>
      <c r="U19" s="1929" t="str">
        <f>IF(NOT($D19="Tested"),"",ROUND(Sliding_Scale(S19,27,32,1,0),Round))</f>
        <v/>
      </c>
      <c r="V19" s="1572"/>
      <c r="W19" s="1927"/>
      <c r="X19" s="1928"/>
      <c r="Y19" s="1892"/>
      <c r="Z19" s="1928"/>
      <c r="AA19" s="1892"/>
      <c r="AB19" s="1928"/>
      <c r="AC19" s="1929" t="str">
        <f>IF(NOT($D19="Tested"),"",ROUND(Sliding_Scale(MAX(W19,Y19,AA19),390,440,1,0),Round))</f>
        <v/>
      </c>
      <c r="AD19" s="1572"/>
      <c r="AE19" s="695"/>
      <c r="AF19" s="722" t="str">
        <f t="shared" ca="1" si="0"/>
        <v/>
      </c>
      <c r="AG19" s="722" t="str">
        <f t="shared" ca="1" si="1"/>
        <v/>
      </c>
      <c r="AH19" s="39"/>
      <c r="AI19" s="39"/>
      <c r="AJ19" s="217"/>
      <c r="AK19" s="217"/>
    </row>
    <row r="20" spans="2:37" ht="15" customHeight="1">
      <c r="B20" s="10"/>
      <c r="C20" s="9" t="s">
        <v>315</v>
      </c>
      <c r="D20" s="236"/>
      <c r="E20" s="1927"/>
      <c r="F20" s="1928"/>
      <c r="G20" s="1892"/>
      <c r="H20" s="1928"/>
      <c r="I20" s="1892"/>
      <c r="J20" s="1928"/>
      <c r="K20" s="1893"/>
      <c r="L20" s="1893"/>
      <c r="M20" s="1929" t="str">
        <f>IF(NOT($D20="Tested"),"",ROUND(Sliding_Scale(MAX(E20,G20,I20,K20),275,320,1,0),Round))</f>
        <v/>
      </c>
      <c r="N20" s="1572"/>
      <c r="O20" s="1927"/>
      <c r="P20" s="1928"/>
      <c r="Q20" s="1892"/>
      <c r="R20" s="1928"/>
      <c r="S20" s="1892"/>
      <c r="T20" s="1893"/>
      <c r="U20" s="1929" t="str">
        <f>IF(NOT($D20="Tested"),"",ROUND(Sliding_Scale(S20,27,32,1,0),Round))</f>
        <v/>
      </c>
      <c r="V20" s="1572"/>
      <c r="W20" s="1927"/>
      <c r="X20" s="1928"/>
      <c r="Y20" s="1892"/>
      <c r="Z20" s="1928"/>
      <c r="AA20" s="1892"/>
      <c r="AB20" s="1928"/>
      <c r="AC20" s="1929" t="str">
        <f>IF(NOT($D20="Tested"),"",ROUND(Sliding_Scale(MAX(W20,Y20,AA20),390,440,1,0),Round))</f>
        <v/>
      </c>
      <c r="AD20" s="1572"/>
      <c r="AE20" s="695"/>
      <c r="AF20" s="722" t="str">
        <f t="shared" ca="1" si="0"/>
        <v/>
      </c>
      <c r="AG20" s="722" t="str">
        <f t="shared" ca="1" si="1"/>
        <v/>
      </c>
      <c r="AH20" s="39"/>
      <c r="AI20" s="39"/>
      <c r="AJ20" s="217"/>
      <c r="AK20" s="217"/>
    </row>
    <row r="21" spans="2:37" ht="15" customHeight="1">
      <c r="B21" s="10"/>
      <c r="C21" s="9" t="s">
        <v>316</v>
      </c>
      <c r="D21" s="236"/>
      <c r="E21" s="1927"/>
      <c r="F21" s="1928"/>
      <c r="G21" s="1892"/>
      <c r="H21" s="1928"/>
      <c r="I21" s="1892"/>
      <c r="J21" s="1928"/>
      <c r="K21" s="1893"/>
      <c r="L21" s="1893"/>
      <c r="M21" s="1929" t="str">
        <f>IF(NOT($D21="Tested"),"",ROUND(Sliding_Scale(MAX(E21,G21,I21,K21),275,320,1,0),Round))</f>
        <v/>
      </c>
      <c r="N21" s="1572"/>
      <c r="O21" s="1927"/>
      <c r="P21" s="1928"/>
      <c r="Q21" s="1892"/>
      <c r="R21" s="1928"/>
      <c r="S21" s="1892"/>
      <c r="T21" s="1893"/>
      <c r="U21" s="1929" t="str">
        <f>IF(NOT($D21="Tested"),"",ROUND(Sliding_Scale(S21,27,32,1,0),Round))</f>
        <v/>
      </c>
      <c r="V21" s="1572"/>
      <c r="W21" s="1927"/>
      <c r="X21" s="1928"/>
      <c r="Y21" s="1892"/>
      <c r="Z21" s="1928"/>
      <c r="AA21" s="1892"/>
      <c r="AB21" s="1928"/>
      <c r="AC21" s="1929" t="str">
        <f>IF(NOT($D21="Tested"),"",ROUND(Sliding_Scale(MAX(W21,Y21,AA21),390,440,1,0),Round))</f>
        <v/>
      </c>
      <c r="AD21" s="1572"/>
      <c r="AE21" s="695"/>
      <c r="AF21" s="722" t="str">
        <f t="shared" ca="1" si="0"/>
        <v/>
      </c>
      <c r="AG21" s="722" t="str">
        <f t="shared" ca="1" si="1"/>
        <v/>
      </c>
      <c r="AH21" s="39"/>
      <c r="AI21" s="39"/>
    </row>
    <row r="22" spans="2:37" ht="15" customHeight="1">
      <c r="B22" s="10"/>
      <c r="C22" s="9" t="s">
        <v>317</v>
      </c>
      <c r="D22" s="236"/>
      <c r="E22" s="1927"/>
      <c r="F22" s="1928"/>
      <c r="G22" s="1892"/>
      <c r="H22" s="1928"/>
      <c r="I22" s="1892"/>
      <c r="J22" s="1928"/>
      <c r="K22" s="1893"/>
      <c r="L22" s="1893"/>
      <c r="M22" s="1929" t="str">
        <f>IF(NOT($D22="Tested"),"",ROUND(Sliding_Scale(MAX(E22,G22,I22,K22),275,320,1,0),Round))</f>
        <v/>
      </c>
      <c r="N22" s="1572"/>
      <c r="O22" s="1927"/>
      <c r="P22" s="1928"/>
      <c r="Q22" s="1892"/>
      <c r="R22" s="1928"/>
      <c r="S22" s="1892"/>
      <c r="T22" s="1893"/>
      <c r="U22" s="1929" t="str">
        <f>IF(NOT($D22="Tested"),"",ROUND(Sliding_Scale(S22,27,32,1,0),Round))</f>
        <v/>
      </c>
      <c r="V22" s="1572"/>
      <c r="W22" s="1927"/>
      <c r="X22" s="1928"/>
      <c r="Y22" s="1892"/>
      <c r="Z22" s="1928"/>
      <c r="AA22" s="1892"/>
      <c r="AB22" s="1928"/>
      <c r="AC22" s="1929" t="str">
        <f>IF(NOT($D22="Tested"),"",ROUND(Sliding_Scale(MAX(W22,Y22,AA22),390,440,1,0),Round))</f>
        <v/>
      </c>
      <c r="AD22" s="1572"/>
      <c r="AE22" s="695"/>
      <c r="AF22" s="722" t="str">
        <f t="shared" ca="1" si="0"/>
        <v/>
      </c>
      <c r="AG22" s="722" t="str">
        <f t="shared" ca="1" si="1"/>
        <v/>
      </c>
      <c r="AH22" s="39"/>
      <c r="AI22" s="39"/>
    </row>
    <row r="23" spans="2:37" ht="15" customHeight="1">
      <c r="B23" s="10"/>
      <c r="C23" s="9" t="s">
        <v>318</v>
      </c>
      <c r="D23" s="236"/>
      <c r="E23" s="1927"/>
      <c r="F23" s="1928"/>
      <c r="G23" s="1892"/>
      <c r="H23" s="1928"/>
      <c r="I23" s="1892"/>
      <c r="J23" s="1928"/>
      <c r="K23" s="1893"/>
      <c r="L23" s="1893"/>
      <c r="M23" s="1929" t="str">
        <f>IF(NOT($D23="Tested"),"",ROUND(Sliding_Scale(MAX(E23,G23,I23,K23),275,320,1,0),Round))</f>
        <v/>
      </c>
      <c r="N23" s="1572"/>
      <c r="O23" s="1927"/>
      <c r="P23" s="1928"/>
      <c r="Q23" s="1892"/>
      <c r="R23" s="1928"/>
      <c r="S23" s="1892"/>
      <c r="T23" s="1893"/>
      <c r="U23" s="1929" t="str">
        <f>IF(NOT($D23="Tested"),"",ROUND(Sliding_Scale(S23,27,32,1,0),Round))</f>
        <v/>
      </c>
      <c r="V23" s="1572"/>
      <c r="W23" s="1942"/>
      <c r="X23" s="1943"/>
      <c r="Y23" s="1892"/>
      <c r="Z23" s="1928"/>
      <c r="AA23" s="1892"/>
      <c r="AB23" s="1928"/>
      <c r="AC23" s="1929" t="str">
        <f>IF(NOT($D23="Tested"),"",ROUND(Sliding_Scale(MAX(W23,Y23,AA23),390,440,1,0),Round))</f>
        <v/>
      </c>
      <c r="AD23" s="1572"/>
      <c r="AE23" s="695"/>
      <c r="AF23" s="722" t="str">
        <f t="shared" ca="1" si="0"/>
        <v/>
      </c>
      <c r="AG23" s="722" t="str">
        <f t="shared" ca="1" si="1"/>
        <v/>
      </c>
      <c r="AH23" s="39"/>
      <c r="AI23" s="39"/>
    </row>
    <row r="24" spans="2:37" ht="15" customHeight="1">
      <c r="B24" s="10"/>
      <c r="C24" s="9" t="s">
        <v>319</v>
      </c>
      <c r="D24" s="236"/>
      <c r="E24" s="1927"/>
      <c r="F24" s="1928"/>
      <c r="G24" s="1892"/>
      <c r="H24" s="1928"/>
      <c r="I24" s="1892"/>
      <c r="J24" s="1928"/>
      <c r="K24" s="1893"/>
      <c r="L24" s="1893"/>
      <c r="M24" s="1929" t="str">
        <f>IF(NOT($D24="Tested"),"",ROUND(Sliding_Scale(MAX(E24,G24,I24,K24),275,320,1,0),Round))</f>
        <v/>
      </c>
      <c r="N24" s="1572"/>
      <c r="O24" s="1927"/>
      <c r="P24" s="1928"/>
      <c r="Q24" s="1892"/>
      <c r="R24" s="1928"/>
      <c r="S24" s="1892"/>
      <c r="T24" s="1893"/>
      <c r="U24" s="1929" t="str">
        <f>IF(NOT($D24="Tested"),"",ROUND(Sliding_Scale(S24,27,32,1,0),Round))</f>
        <v/>
      </c>
      <c r="V24" s="1572"/>
      <c r="W24" s="1927"/>
      <c r="X24" s="1928"/>
      <c r="Y24" s="1892"/>
      <c r="Z24" s="1928"/>
      <c r="AA24" s="1892"/>
      <c r="AB24" s="1928"/>
      <c r="AC24" s="1929" t="str">
        <f>IF(NOT($D24="Tested"),"",ROUND(Sliding_Scale(MAX(W24,Y24,AA24),390,440,1,0),Round))</f>
        <v/>
      </c>
      <c r="AD24" s="1572"/>
      <c r="AE24" s="695"/>
      <c r="AF24" s="722" t="str">
        <f t="shared" ca="1" si="0"/>
        <v/>
      </c>
      <c r="AG24" s="722" t="str">
        <f t="shared" ca="1" si="1"/>
        <v/>
      </c>
      <c r="AH24" s="39"/>
      <c r="AI24" s="39"/>
    </row>
    <row r="25" spans="2:37" ht="15" customHeight="1">
      <c r="B25" s="10"/>
      <c r="C25" s="9" t="s">
        <v>320</v>
      </c>
      <c r="D25" s="236"/>
      <c r="E25" s="1927"/>
      <c r="F25" s="1928"/>
      <c r="G25" s="1892"/>
      <c r="H25" s="1928"/>
      <c r="I25" s="1892"/>
      <c r="J25" s="1928"/>
      <c r="K25" s="1893"/>
      <c r="L25" s="1893"/>
      <c r="M25" s="1929" t="str">
        <f>IF(NOT($D25="Tested"),"",ROUND(Sliding_Scale(MAX(E25,G25,I25,K25),275,320,1,0),Round))</f>
        <v/>
      </c>
      <c r="N25" s="1572"/>
      <c r="O25" s="1927"/>
      <c r="P25" s="1928"/>
      <c r="Q25" s="1892"/>
      <c r="R25" s="1928"/>
      <c r="S25" s="1892"/>
      <c r="T25" s="1893"/>
      <c r="U25" s="1929" t="str">
        <f>IF(NOT($D25="Tested"),"",ROUND(Sliding_Scale(S25,27,32,1,0),Round))</f>
        <v/>
      </c>
      <c r="V25" s="1572"/>
      <c r="W25" s="1927"/>
      <c r="X25" s="1928"/>
      <c r="Y25" s="1892"/>
      <c r="Z25" s="1928"/>
      <c r="AA25" s="1892"/>
      <c r="AB25" s="1928"/>
      <c r="AC25" s="1929" t="str">
        <f>IF(NOT($D25="Tested"),"",ROUND(Sliding_Scale(MAX(W25,Y25,AA25),390,440,1,0),Round))</f>
        <v/>
      </c>
      <c r="AD25" s="1572"/>
      <c r="AE25" s="695"/>
      <c r="AF25" s="722" t="str">
        <f t="shared" ca="1" si="0"/>
        <v/>
      </c>
      <c r="AG25" s="722" t="str">
        <f t="shared" ca="1" si="1"/>
        <v/>
      </c>
      <c r="AH25" s="39"/>
      <c r="AI25" s="39"/>
    </row>
    <row r="26" spans="2:37" ht="15" customHeight="1">
      <c r="B26" s="10"/>
      <c r="C26" s="9" t="s">
        <v>321</v>
      </c>
      <c r="D26" s="236"/>
      <c r="E26" s="1927"/>
      <c r="F26" s="1928"/>
      <c r="G26" s="1892"/>
      <c r="H26" s="1928"/>
      <c r="I26" s="1892"/>
      <c r="J26" s="1928"/>
      <c r="K26" s="1893"/>
      <c r="L26" s="1893"/>
      <c r="M26" s="1929" t="str">
        <f>IF(NOT($D26="Tested"),"",ROUND(Sliding_Scale(MAX(E26,G26,I26,K26),275,320,1,0),Round))</f>
        <v/>
      </c>
      <c r="N26" s="1572"/>
      <c r="O26" s="1927"/>
      <c r="P26" s="1928"/>
      <c r="Q26" s="1892"/>
      <c r="R26" s="1928"/>
      <c r="S26" s="1892"/>
      <c r="T26" s="1893"/>
      <c r="U26" s="1929" t="str">
        <f>IF(NOT($D26="Tested"),"",ROUND(Sliding_Scale(S26,27,32,1,0),Round))</f>
        <v/>
      </c>
      <c r="V26" s="1572"/>
      <c r="W26" s="1927"/>
      <c r="X26" s="1928"/>
      <c r="Y26" s="1892"/>
      <c r="Z26" s="1928"/>
      <c r="AA26" s="1892"/>
      <c r="AB26" s="1928"/>
      <c r="AC26" s="1929" t="str">
        <f>IF(NOT($D26="Tested"),"",ROUND(Sliding_Scale(MAX(W26,Y26,AA26),390,440,1,0),Round))</f>
        <v/>
      </c>
      <c r="AD26" s="1572"/>
      <c r="AE26" s="695"/>
      <c r="AF26" s="722" t="str">
        <f t="shared" ca="1" si="0"/>
        <v/>
      </c>
      <c r="AG26" s="722" t="str">
        <f t="shared" ca="1" si="1"/>
        <v/>
      </c>
      <c r="AH26" s="39"/>
      <c r="AI26" s="39"/>
    </row>
    <row r="27" spans="2:37" ht="15" customHeight="1">
      <c r="B27" s="10"/>
      <c r="C27" s="9" t="s">
        <v>322</v>
      </c>
      <c r="D27" s="236"/>
      <c r="E27" s="1927"/>
      <c r="F27" s="1928"/>
      <c r="G27" s="1892"/>
      <c r="H27" s="1928"/>
      <c r="I27" s="1892"/>
      <c r="J27" s="1928"/>
      <c r="K27" s="1893"/>
      <c r="L27" s="1893"/>
      <c r="M27" s="1929" t="str">
        <f>IF(NOT($D27="Tested"),"",ROUND(Sliding_Scale(MAX(E27,G27,I27,K27),275,320,1,0),Round))</f>
        <v/>
      </c>
      <c r="N27" s="1572"/>
      <c r="O27" s="1927"/>
      <c r="P27" s="1928"/>
      <c r="Q27" s="1892"/>
      <c r="R27" s="1928"/>
      <c r="S27" s="1892"/>
      <c r="T27" s="1893"/>
      <c r="U27" s="1929" t="str">
        <f>IF(NOT($D27="Tested"),"",ROUND(Sliding_Scale(S27,27,32,1,0),Round))</f>
        <v/>
      </c>
      <c r="V27" s="1572"/>
      <c r="W27" s="1927"/>
      <c r="X27" s="1928"/>
      <c r="Y27" s="1892"/>
      <c r="Z27" s="1928"/>
      <c r="AA27" s="1892"/>
      <c r="AB27" s="1928"/>
      <c r="AC27" s="1929" t="str">
        <f>IF(NOT($D27="Tested"),"",ROUND(Sliding_Scale(MAX(W27,Y27,AA27),390,440,1,0),Round))</f>
        <v/>
      </c>
      <c r="AD27" s="1572"/>
      <c r="AE27" s="695"/>
      <c r="AF27" s="722" t="str">
        <f t="shared" ca="1" si="0"/>
        <v/>
      </c>
      <c r="AG27" s="722" t="str">
        <f t="shared" ca="1" si="1"/>
        <v/>
      </c>
      <c r="AH27" s="39"/>
      <c r="AI27" s="39"/>
    </row>
    <row r="28" spans="2:37" ht="15" customHeight="1" thickBot="1">
      <c r="B28" s="31"/>
      <c r="C28" s="42" t="s">
        <v>323</v>
      </c>
      <c r="D28" s="237"/>
      <c r="E28" s="1946"/>
      <c r="F28" s="1940"/>
      <c r="G28" s="1939"/>
      <c r="H28" s="1940"/>
      <c r="I28" s="1939"/>
      <c r="J28" s="1940"/>
      <c r="K28" s="1941"/>
      <c r="L28" s="1941"/>
      <c r="M28" s="1944" t="str">
        <f>IF(NOT($D28="Tested"),"",ROUND(Sliding_Scale(MAX(E28,G28,I28,K28),275,320,1,0),Round))</f>
        <v/>
      </c>
      <c r="N28" s="1945"/>
      <c r="O28" s="1946"/>
      <c r="P28" s="1940"/>
      <c r="Q28" s="1939"/>
      <c r="R28" s="1940"/>
      <c r="S28" s="1939"/>
      <c r="T28" s="1941"/>
      <c r="U28" s="1944" t="str">
        <f>IF(NOT($D28="Tested"),"",ROUND(Sliding_Scale(S28,27,32,1,0),Round))</f>
        <v/>
      </c>
      <c r="V28" s="1945"/>
      <c r="W28" s="1946"/>
      <c r="X28" s="1940"/>
      <c r="Y28" s="1939"/>
      <c r="Z28" s="1940"/>
      <c r="AA28" s="1939"/>
      <c r="AB28" s="1940"/>
      <c r="AC28" s="1944" t="str">
        <f>IF(NOT($D28="Tested"),"",ROUND(Sliding_Scale(MAX(W28,Y28,AA28),390,440,1,0),Round))</f>
        <v/>
      </c>
      <c r="AD28" s="1945"/>
      <c r="AE28" s="713"/>
      <c r="AF28" s="723" t="str">
        <f t="shared" ca="1" si="0"/>
        <v/>
      </c>
      <c r="AG28" s="723" t="str">
        <f t="shared" ca="1" si="1"/>
        <v/>
      </c>
      <c r="AH28" s="39"/>
      <c r="AI28" s="39"/>
    </row>
    <row r="29" spans="2:37" ht="22.5" customHeight="1" thickBot="1">
      <c r="B29" s="717"/>
      <c r="C29" s="717"/>
      <c r="D29" s="717"/>
      <c r="E29" s="716"/>
      <c r="F29" s="716"/>
      <c r="G29" s="716"/>
      <c r="H29" s="716"/>
      <c r="I29" s="716"/>
      <c r="J29" s="716"/>
      <c r="K29" s="716"/>
      <c r="L29" s="716"/>
      <c r="M29" s="716"/>
      <c r="N29" s="716"/>
      <c r="O29" s="716"/>
      <c r="P29" s="716"/>
      <c r="Q29" s="716"/>
      <c r="R29" s="716"/>
      <c r="S29" s="716"/>
      <c r="T29" s="716"/>
      <c r="U29" s="716"/>
      <c r="V29" s="716"/>
      <c r="W29" s="716"/>
      <c r="X29" s="716"/>
      <c r="Y29" s="716"/>
      <c r="AB29" s="217"/>
      <c r="AC29" s="217"/>
      <c r="AD29" s="217"/>
      <c r="AE29" s="217"/>
    </row>
    <row r="30" spans="2:37" ht="15" customHeight="1">
      <c r="B30" s="1930" t="s">
        <v>2500</v>
      </c>
      <c r="C30" s="1931"/>
      <c r="D30" s="1932"/>
      <c r="E30" s="141" t="s">
        <v>281</v>
      </c>
      <c r="F30" s="139" t="s">
        <v>282</v>
      </c>
      <c r="G30" s="139" t="s">
        <v>283</v>
      </c>
      <c r="H30" s="139" t="s">
        <v>284</v>
      </c>
      <c r="I30" s="139" t="s">
        <v>285</v>
      </c>
      <c r="J30" s="139" t="s">
        <v>286</v>
      </c>
      <c r="K30" s="139" t="s">
        <v>287</v>
      </c>
      <c r="L30" s="139" t="s">
        <v>288</v>
      </c>
      <c r="M30" s="139" t="s">
        <v>289</v>
      </c>
      <c r="N30" s="139" t="s">
        <v>290</v>
      </c>
      <c r="O30" s="139" t="s">
        <v>291</v>
      </c>
      <c r="P30" s="139" t="s">
        <v>292</v>
      </c>
      <c r="Q30" s="139" t="s">
        <v>293</v>
      </c>
      <c r="R30" s="139" t="s">
        <v>294</v>
      </c>
      <c r="S30" s="139" t="s">
        <v>295</v>
      </c>
      <c r="T30" s="139" t="s">
        <v>296</v>
      </c>
      <c r="U30" s="139" t="s">
        <v>297</v>
      </c>
      <c r="V30" s="139" t="s">
        <v>298</v>
      </c>
      <c r="W30" s="139" t="s">
        <v>299</v>
      </c>
      <c r="X30" s="139" t="s">
        <v>300</v>
      </c>
      <c r="Y30" s="140" t="s">
        <v>301</v>
      </c>
      <c r="AB30" s="217"/>
      <c r="AC30" s="217"/>
      <c r="AD30" s="217"/>
      <c r="AE30" s="217"/>
    </row>
    <row r="31" spans="2:37" ht="24.75" customHeight="1" thickBot="1">
      <c r="B31" s="1933"/>
      <c r="C31" s="1934"/>
      <c r="D31" s="1935"/>
      <c r="E31" s="719" t="str">
        <f ca="1">AG8</f>
        <v/>
      </c>
      <c r="F31" s="714" t="str">
        <f ca="1">AG9</f>
        <v/>
      </c>
      <c r="G31" s="714" t="str">
        <f ca="1">AG10</f>
        <v/>
      </c>
      <c r="H31" s="714" t="str">
        <f ca="1">AG11</f>
        <v/>
      </c>
      <c r="I31" s="714" t="str">
        <f ca="1">AG12</f>
        <v/>
      </c>
      <c r="J31" s="714" t="str">
        <f ca="1">AG13</f>
        <v/>
      </c>
      <c r="K31" s="714" t="str">
        <f ca="1">AG14</f>
        <v/>
      </c>
      <c r="L31" s="714" t="str">
        <f ca="1">AG15</f>
        <v/>
      </c>
      <c r="M31" s="714" t="str">
        <f ca="1">AG16</f>
        <v/>
      </c>
      <c r="N31" s="714" t="str">
        <f ca="1">AG17</f>
        <v/>
      </c>
      <c r="O31" s="714" t="str">
        <f ca="1">AG18</f>
        <v/>
      </c>
      <c r="P31" s="714" t="str">
        <f ca="1">AG19</f>
        <v/>
      </c>
      <c r="Q31" s="714" t="str">
        <f ca="1">AG20</f>
        <v/>
      </c>
      <c r="R31" s="714" t="str">
        <f ca="1">AG21</f>
        <v/>
      </c>
      <c r="S31" s="714" t="str">
        <f ca="1">AG22</f>
        <v/>
      </c>
      <c r="T31" s="714" t="str">
        <f ca="1">AG23</f>
        <v/>
      </c>
      <c r="U31" s="714" t="str">
        <f ca="1">AG24</f>
        <v/>
      </c>
      <c r="V31" s="714" t="str">
        <f ca="1">AG25</f>
        <v/>
      </c>
      <c r="W31" s="714" t="str">
        <f ca="1">AG26</f>
        <v/>
      </c>
      <c r="X31" s="714" t="str">
        <f ca="1">AG27</f>
        <v/>
      </c>
      <c r="Y31" s="715" t="str">
        <f ca="1">AG28</f>
        <v/>
      </c>
      <c r="AB31" s="9"/>
      <c r="AC31" s="9"/>
      <c r="AD31" s="9"/>
      <c r="AE31" s="9"/>
      <c r="AF31" s="37"/>
      <c r="AG31" s="9"/>
      <c r="AH31" s="9"/>
      <c r="AI31" s="9"/>
      <c r="AJ31" s="9"/>
    </row>
    <row r="32" spans="2:37" ht="21.75" thickBot="1">
      <c r="B32" s="1936"/>
      <c r="C32" s="1937"/>
      <c r="D32" s="1938"/>
      <c r="E32" s="1561">
        <f ca="1">IF(AG18="",0,ROUND(SUM(AG8:AG28)/(21-COUNTIF(AG8:AG28,""))*4.5,Round))</f>
        <v>0</v>
      </c>
      <c r="F32" s="1562"/>
      <c r="G32" s="1562"/>
      <c r="H32" s="1562"/>
      <c r="I32" s="1562"/>
      <c r="J32" s="1562"/>
      <c r="K32" s="1562"/>
      <c r="L32" s="1562"/>
      <c r="M32" s="1562"/>
      <c r="N32" s="1562"/>
      <c r="O32" s="1562"/>
      <c r="P32" s="1562"/>
      <c r="Q32" s="1562"/>
      <c r="R32" s="1562"/>
      <c r="S32" s="1562"/>
      <c r="T32" s="1562"/>
      <c r="U32" s="1562"/>
      <c r="V32" s="1562"/>
      <c r="W32" s="1562"/>
      <c r="X32" s="1562"/>
      <c r="Y32" s="1563"/>
      <c r="Z32" s="217"/>
      <c r="AA32" s="217"/>
      <c r="AB32" s="9"/>
      <c r="AC32" s="9"/>
      <c r="AD32" s="9"/>
      <c r="AE32" s="9"/>
      <c r="AF32" s="9"/>
      <c r="AG32" s="9"/>
      <c r="AH32" s="9"/>
      <c r="AI32" s="9"/>
      <c r="AJ32" s="9"/>
    </row>
    <row r="33" spans="2:36" ht="15" customHeight="1" thickBot="1">
      <c r="B33" s="219"/>
      <c r="C33" s="219"/>
      <c r="D33" s="219"/>
      <c r="E33" s="219"/>
      <c r="F33" s="219"/>
      <c r="G33" s="219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629"/>
      <c r="AC33" s="629"/>
      <c r="AD33" s="629"/>
      <c r="AE33" s="629"/>
      <c r="AF33" s="629"/>
      <c r="AG33" s="9"/>
      <c r="AH33" s="9"/>
      <c r="AI33" s="9"/>
      <c r="AJ33" s="9"/>
    </row>
    <row r="34" spans="2:36" ht="15" customHeight="1">
      <c r="B34" s="1930" t="s">
        <v>2501</v>
      </c>
      <c r="C34" s="1931"/>
      <c r="D34" s="1932"/>
      <c r="E34" s="139" t="s">
        <v>281</v>
      </c>
      <c r="F34" s="139" t="s">
        <v>282</v>
      </c>
      <c r="G34" s="139" t="s">
        <v>283</v>
      </c>
      <c r="H34" s="139" t="s">
        <v>284</v>
      </c>
      <c r="I34" s="139" t="s">
        <v>285</v>
      </c>
      <c r="J34" s="139" t="s">
        <v>286</v>
      </c>
      <c r="K34" s="139" t="s">
        <v>287</v>
      </c>
      <c r="L34" s="139" t="s">
        <v>288</v>
      </c>
      <c r="M34" s="139" t="s">
        <v>289</v>
      </c>
      <c r="N34" s="139" t="s">
        <v>290</v>
      </c>
      <c r="O34" s="139" t="s">
        <v>291</v>
      </c>
      <c r="P34" s="139" t="s">
        <v>292</v>
      </c>
      <c r="Q34" s="139" t="s">
        <v>293</v>
      </c>
      <c r="R34" s="139" t="s">
        <v>294</v>
      </c>
      <c r="S34" s="139" t="s">
        <v>295</v>
      </c>
      <c r="T34" s="139" t="s">
        <v>296</v>
      </c>
      <c r="U34" s="139" t="s">
        <v>297</v>
      </c>
      <c r="V34" s="139" t="s">
        <v>298</v>
      </c>
      <c r="W34" s="139" t="s">
        <v>299</v>
      </c>
      <c r="X34" s="139" t="s">
        <v>300</v>
      </c>
      <c r="Y34" s="140" t="s">
        <v>301</v>
      </c>
      <c r="AB34" s="9"/>
      <c r="AC34" s="9"/>
      <c r="AD34" s="9"/>
      <c r="AE34" s="9"/>
      <c r="AF34" s="37"/>
      <c r="AG34" s="9"/>
      <c r="AH34" s="9"/>
      <c r="AI34" s="9"/>
      <c r="AJ34" s="9"/>
    </row>
    <row r="35" spans="2:36" ht="22.5" customHeight="1" thickBot="1">
      <c r="B35" s="1933"/>
      <c r="C35" s="1934"/>
      <c r="D35" s="1935"/>
      <c r="E35" s="714" t="str">
        <f ca="1">AF8</f>
        <v/>
      </c>
      <c r="F35" s="714" t="str">
        <f ca="1">AF9</f>
        <v/>
      </c>
      <c r="G35" s="714" t="str">
        <f ca="1">AF10</f>
        <v/>
      </c>
      <c r="H35" s="714" t="str">
        <f ca="1">AF11</f>
        <v/>
      </c>
      <c r="I35" s="714" t="str">
        <f ca="1">AF12</f>
        <v/>
      </c>
      <c r="J35" s="714" t="str">
        <f ca="1">AF13</f>
        <v/>
      </c>
      <c r="K35" s="714" t="str">
        <f ca="1">AF14</f>
        <v/>
      </c>
      <c r="L35" s="714" t="str">
        <f ca="1">AF15</f>
        <v/>
      </c>
      <c r="M35" s="714" t="str">
        <f ca="1">AF16</f>
        <v/>
      </c>
      <c r="N35" s="714" t="str">
        <f ca="1">AF17</f>
        <v/>
      </c>
      <c r="O35" s="714" t="str">
        <f ca="1">AF18</f>
        <v/>
      </c>
      <c r="P35" s="714" t="str">
        <f ca="1">AF19</f>
        <v/>
      </c>
      <c r="Q35" s="714" t="str">
        <f ca="1">AF20</f>
        <v/>
      </c>
      <c r="R35" s="714" t="str">
        <f ca="1">AF21</f>
        <v/>
      </c>
      <c r="S35" s="714" t="str">
        <f ca="1">AF22</f>
        <v/>
      </c>
      <c r="T35" s="714" t="str">
        <f ca="1">AF23</f>
        <v/>
      </c>
      <c r="U35" s="714" t="str">
        <f ca="1">AF24</f>
        <v/>
      </c>
      <c r="V35" s="714" t="str">
        <f ca="1">AF25</f>
        <v/>
      </c>
      <c r="W35" s="714" t="str">
        <f ca="1">AF26</f>
        <v/>
      </c>
      <c r="X35" s="714" t="str">
        <f ca="1">AF27</f>
        <v/>
      </c>
      <c r="Y35" s="715" t="str">
        <f ca="1">AF28</f>
        <v/>
      </c>
      <c r="AB35" s="9"/>
      <c r="AC35" s="9"/>
      <c r="AD35" s="9"/>
      <c r="AE35" s="9"/>
      <c r="AF35" s="37"/>
      <c r="AG35" s="9"/>
      <c r="AH35" s="9"/>
      <c r="AI35" s="9"/>
      <c r="AJ35" s="9"/>
    </row>
    <row r="36" spans="2:36" ht="26.25" customHeight="1" thickBot="1">
      <c r="B36" s="1936"/>
      <c r="C36" s="1937"/>
      <c r="D36" s="1938"/>
      <c r="E36" s="1562">
        <f ca="1">IF(AF18="",0,ROUND(SUM(AF8:AF28)/(21-COUNTIF(AF8:AF28,""))*9,Round))</f>
        <v>0</v>
      </c>
      <c r="F36" s="1562"/>
      <c r="G36" s="1562"/>
      <c r="H36" s="1562"/>
      <c r="I36" s="1562"/>
      <c r="J36" s="1562"/>
      <c r="K36" s="1562"/>
      <c r="L36" s="1562"/>
      <c r="M36" s="1562"/>
      <c r="N36" s="1562"/>
      <c r="O36" s="1562"/>
      <c r="P36" s="1562"/>
      <c r="Q36" s="1562"/>
      <c r="R36" s="1562"/>
      <c r="S36" s="1562"/>
      <c r="T36" s="1562"/>
      <c r="U36" s="1562"/>
      <c r="V36" s="1562"/>
      <c r="W36" s="1562"/>
      <c r="X36" s="1562"/>
      <c r="Y36" s="1563"/>
      <c r="AB36" s="9"/>
      <c r="AC36" s="9"/>
      <c r="AD36" s="9"/>
      <c r="AE36" s="9"/>
      <c r="AF36" s="37"/>
      <c r="AG36" s="9"/>
      <c r="AH36" s="9"/>
      <c r="AI36" s="9"/>
      <c r="AJ36" s="9"/>
    </row>
    <row r="37" spans="2:36">
      <c r="E37" s="217"/>
      <c r="F37" s="217"/>
      <c r="G37" s="217"/>
      <c r="H37" s="217"/>
      <c r="I37" s="217"/>
      <c r="J37" s="217"/>
      <c r="K37" s="217"/>
      <c r="L37" s="217"/>
      <c r="M37" s="217"/>
      <c r="N37" s="718"/>
      <c r="O37" s="217"/>
      <c r="P37" s="217"/>
      <c r="Q37" s="217"/>
      <c r="R37" s="718"/>
      <c r="S37" s="217"/>
      <c r="T37" s="217"/>
      <c r="U37" s="217"/>
      <c r="V37" s="718"/>
      <c r="W37" s="217"/>
      <c r="X37" s="217"/>
      <c r="Y37" s="217"/>
      <c r="Z37" s="217"/>
      <c r="AA37" s="217"/>
      <c r="AB37" s="9"/>
      <c r="AC37" s="9"/>
      <c r="AD37" s="9"/>
      <c r="AE37" s="9"/>
      <c r="AF37" s="37"/>
      <c r="AG37" s="9"/>
      <c r="AH37" s="9"/>
      <c r="AI37" s="9"/>
      <c r="AJ37" s="9"/>
    </row>
    <row r="38" spans="2:36">
      <c r="AB38" s="9"/>
      <c r="AC38" s="9"/>
      <c r="AD38" s="9"/>
      <c r="AE38" s="9"/>
      <c r="AF38" s="37"/>
      <c r="AG38" s="9"/>
      <c r="AH38" s="9"/>
      <c r="AI38" s="9"/>
      <c r="AJ38" s="9"/>
    </row>
    <row r="39" spans="2:36">
      <c r="AB39" s="9"/>
      <c r="AC39" s="9"/>
      <c r="AD39" s="9"/>
      <c r="AE39" s="9"/>
      <c r="AF39" s="37"/>
      <c r="AG39" s="9"/>
      <c r="AH39" s="9"/>
      <c r="AI39" s="9"/>
      <c r="AJ39" s="9"/>
    </row>
    <row r="40" spans="2:36" ht="21">
      <c r="N40" s="834"/>
      <c r="O40" s="835"/>
      <c r="P40" s="835"/>
      <c r="Q40" s="835"/>
      <c r="R40" s="834"/>
      <c r="S40" s="835"/>
      <c r="T40" s="9"/>
      <c r="U40" s="9"/>
      <c r="V40" s="37"/>
      <c r="W40" s="9"/>
      <c r="AB40" s="9"/>
      <c r="AC40" s="9"/>
      <c r="AD40" s="9"/>
      <c r="AE40" s="9"/>
      <c r="AF40" s="37"/>
      <c r="AG40" s="9"/>
      <c r="AH40" s="9"/>
      <c r="AI40" s="9"/>
      <c r="AJ40" s="9"/>
    </row>
    <row r="41" spans="2:36">
      <c r="AB41" s="9"/>
      <c r="AC41" s="9"/>
      <c r="AD41" s="9"/>
      <c r="AE41" s="9"/>
      <c r="AF41" s="37"/>
      <c r="AG41" s="9"/>
      <c r="AH41" s="9"/>
      <c r="AI41" s="9"/>
      <c r="AJ41" s="9"/>
    </row>
    <row r="42" spans="2:36">
      <c r="AB42" s="9"/>
      <c r="AC42" s="9"/>
      <c r="AD42" s="9"/>
      <c r="AE42" s="9"/>
      <c r="AF42" s="37"/>
      <c r="AG42" s="9"/>
      <c r="AH42" s="9"/>
      <c r="AI42" s="9"/>
      <c r="AJ42" s="9"/>
    </row>
    <row r="43" spans="2:36">
      <c r="AB43" s="9"/>
      <c r="AC43" s="9"/>
      <c r="AD43" s="9"/>
      <c r="AE43" s="9"/>
      <c r="AF43" s="37"/>
      <c r="AG43" s="9"/>
      <c r="AH43" s="9"/>
      <c r="AI43" s="9"/>
      <c r="AJ43" s="9"/>
    </row>
    <row r="44" spans="2:36">
      <c r="AB44" s="9"/>
      <c r="AC44" s="9"/>
      <c r="AD44" s="9"/>
      <c r="AE44" s="9"/>
      <c r="AF44" s="37"/>
      <c r="AG44" s="9"/>
      <c r="AH44" s="9"/>
      <c r="AI44" s="9"/>
      <c r="AJ44" s="9"/>
    </row>
    <row r="45" spans="2:36">
      <c r="AB45" s="9"/>
      <c r="AC45" s="9"/>
      <c r="AD45" s="9"/>
      <c r="AE45" s="9"/>
      <c r="AF45" s="37"/>
      <c r="AG45" s="9"/>
      <c r="AH45" s="9"/>
      <c r="AI45" s="9"/>
      <c r="AJ45" s="9"/>
    </row>
  </sheetData>
  <mergeCells count="325">
    <mergeCell ref="AC22:AD22"/>
    <mergeCell ref="AA28:AB28"/>
    <mergeCell ref="AC28:AD28"/>
    <mergeCell ref="W23:X23"/>
    <mergeCell ref="Y23:Z23"/>
    <mergeCell ref="AA23:AB23"/>
    <mergeCell ref="AC23:AD23"/>
    <mergeCell ref="W24:X24"/>
    <mergeCell ref="Y24:Z24"/>
    <mergeCell ref="AA24:AB24"/>
    <mergeCell ref="AC24:AD24"/>
    <mergeCell ref="W25:X25"/>
    <mergeCell ref="AC25:AD25"/>
    <mergeCell ref="AC26:AD26"/>
    <mergeCell ref="Y27:Z27"/>
    <mergeCell ref="AC27:AD27"/>
    <mergeCell ref="AA27:AB27"/>
    <mergeCell ref="W28:X28"/>
    <mergeCell ref="Y28:Z28"/>
    <mergeCell ref="W22:X22"/>
    <mergeCell ref="Y22:Z22"/>
    <mergeCell ref="AA22:AB22"/>
    <mergeCell ref="Y25:Z25"/>
    <mergeCell ref="AA25:AB25"/>
    <mergeCell ref="AA26:AB26"/>
    <mergeCell ref="W27:X27"/>
    <mergeCell ref="Y14:Z14"/>
    <mergeCell ref="W3:X3"/>
    <mergeCell ref="Y3:Z3"/>
    <mergeCell ref="AA3:AB3"/>
    <mergeCell ref="W7:X7"/>
    <mergeCell ref="Y7:Z7"/>
    <mergeCell ref="W10:X10"/>
    <mergeCell ref="Y10:Z10"/>
    <mergeCell ref="AA10:AB10"/>
    <mergeCell ref="W13:X13"/>
    <mergeCell ref="Y13:Z13"/>
    <mergeCell ref="AA13:AB13"/>
    <mergeCell ref="AA14:AB14"/>
    <mergeCell ref="Y6:Z6"/>
    <mergeCell ref="AE2:AE4"/>
    <mergeCell ref="O8:P8"/>
    <mergeCell ref="O9:P9"/>
    <mergeCell ref="O10:P10"/>
    <mergeCell ref="AA7:AB7"/>
    <mergeCell ref="AC7:AD7"/>
    <mergeCell ref="W8:X8"/>
    <mergeCell ref="Y8:Z8"/>
    <mergeCell ref="AA8:AB8"/>
    <mergeCell ref="AC8:AD8"/>
    <mergeCell ref="W9:X9"/>
    <mergeCell ref="Y9:Z9"/>
    <mergeCell ref="AA9:AB9"/>
    <mergeCell ref="AC9:AD9"/>
    <mergeCell ref="U8:V8"/>
    <mergeCell ref="U10:V10"/>
    <mergeCell ref="U9:V9"/>
    <mergeCell ref="AC3:AD4"/>
    <mergeCell ref="W4:AB4"/>
    <mergeCell ref="W5:X5"/>
    <mergeCell ref="Y5:Z5"/>
    <mergeCell ref="AA5:AB5"/>
    <mergeCell ref="AC5:AD5"/>
    <mergeCell ref="W6:X6"/>
    <mergeCell ref="AC21:AD21"/>
    <mergeCell ref="W18:X18"/>
    <mergeCell ref="Y18:Z18"/>
    <mergeCell ref="AA18:AB18"/>
    <mergeCell ref="AC18:AD18"/>
    <mergeCell ref="W19:X19"/>
    <mergeCell ref="Y19:Z19"/>
    <mergeCell ref="W21:X21"/>
    <mergeCell ref="Y21:Z21"/>
    <mergeCell ref="AA21:AB21"/>
    <mergeCell ref="E8:F8"/>
    <mergeCell ref="E5:N5"/>
    <mergeCell ref="O5:R5"/>
    <mergeCell ref="O6:R6"/>
    <mergeCell ref="Q3:R3"/>
    <mergeCell ref="S5:V5"/>
    <mergeCell ref="S6:V6"/>
    <mergeCell ref="S7:V7"/>
    <mergeCell ref="E6:N6"/>
    <mergeCell ref="E7:N7"/>
    <mergeCell ref="O7:R7"/>
    <mergeCell ref="O3:P3"/>
    <mergeCell ref="B2:D3"/>
    <mergeCell ref="W2:AD2"/>
    <mergeCell ref="AA6:AB6"/>
    <mergeCell ref="AC6:AD6"/>
    <mergeCell ref="B7:C7"/>
    <mergeCell ref="B6:D6"/>
    <mergeCell ref="B5:D5"/>
    <mergeCell ref="M3:N4"/>
    <mergeCell ref="B4:D4"/>
    <mergeCell ref="S4:T4"/>
    <mergeCell ref="U4:V4"/>
    <mergeCell ref="E2:N2"/>
    <mergeCell ref="E3:F3"/>
    <mergeCell ref="G3:H3"/>
    <mergeCell ref="I3:J3"/>
    <mergeCell ref="K3:L3"/>
    <mergeCell ref="O2:R2"/>
    <mergeCell ref="O4:P4"/>
    <mergeCell ref="Q4:R4"/>
    <mergeCell ref="S2:V3"/>
    <mergeCell ref="E4:L4"/>
    <mergeCell ref="I9:J9"/>
    <mergeCell ref="G9:H9"/>
    <mergeCell ref="I8:J8"/>
    <mergeCell ref="K8:L8"/>
    <mergeCell ref="G8:H8"/>
    <mergeCell ref="S12:T12"/>
    <mergeCell ref="S11:T11"/>
    <mergeCell ref="Q12:R12"/>
    <mergeCell ref="S9:T9"/>
    <mergeCell ref="Q8:R8"/>
    <mergeCell ref="S8:T8"/>
    <mergeCell ref="I12:J12"/>
    <mergeCell ref="K10:L10"/>
    <mergeCell ref="I10:J10"/>
    <mergeCell ref="M8:N8"/>
    <mergeCell ref="M9:N9"/>
    <mergeCell ref="Q9:R9"/>
    <mergeCell ref="O11:P11"/>
    <mergeCell ref="O12:P12"/>
    <mergeCell ref="K9:L9"/>
    <mergeCell ref="AC14:AD14"/>
    <mergeCell ref="M10:N10"/>
    <mergeCell ref="M11:N11"/>
    <mergeCell ref="AC13:AD13"/>
    <mergeCell ref="W14:X14"/>
    <mergeCell ref="M12:N12"/>
    <mergeCell ref="AA20:AB20"/>
    <mergeCell ref="AC20:AD20"/>
    <mergeCell ref="W15:X15"/>
    <mergeCell ref="Y15:Z15"/>
    <mergeCell ref="AA15:AB15"/>
    <mergeCell ref="AC15:AD15"/>
    <mergeCell ref="W16:X16"/>
    <mergeCell ref="Y16:Z16"/>
    <mergeCell ref="AA16:AB16"/>
    <mergeCell ref="AC16:AD16"/>
    <mergeCell ref="W17:X17"/>
    <mergeCell ref="Y17:Z17"/>
    <mergeCell ref="AA17:AB17"/>
    <mergeCell ref="AC17:AD17"/>
    <mergeCell ref="AA19:AB19"/>
    <mergeCell ref="AC19:AD19"/>
    <mergeCell ref="W20:X20"/>
    <mergeCell ref="Y20:Z20"/>
    <mergeCell ref="AC10:AD10"/>
    <mergeCell ref="W11:X11"/>
    <mergeCell ref="Y11:Z11"/>
    <mergeCell ref="AA11:AB11"/>
    <mergeCell ref="AC11:AD11"/>
    <mergeCell ref="W12:X12"/>
    <mergeCell ref="Y12:Z12"/>
    <mergeCell ref="AA12:AB12"/>
    <mergeCell ref="AC12:AD12"/>
    <mergeCell ref="U13:V13"/>
    <mergeCell ref="U14:V14"/>
    <mergeCell ref="S10:T10"/>
    <mergeCell ref="U11:V11"/>
    <mergeCell ref="S20:T20"/>
    <mergeCell ref="Q10:R10"/>
    <mergeCell ref="Q11:R11"/>
    <mergeCell ref="U15:V15"/>
    <mergeCell ref="U16:V16"/>
    <mergeCell ref="Q20:R20"/>
    <mergeCell ref="Q13:R13"/>
    <mergeCell ref="U12:V12"/>
    <mergeCell ref="S14:T14"/>
    <mergeCell ref="U19:V19"/>
    <mergeCell ref="U20:V20"/>
    <mergeCell ref="U17:V17"/>
    <mergeCell ref="U18:V18"/>
    <mergeCell ref="S16:T16"/>
    <mergeCell ref="S13:T13"/>
    <mergeCell ref="S15:T15"/>
    <mergeCell ref="S17:T17"/>
    <mergeCell ref="Q14:R14"/>
    <mergeCell ref="Q15:R15"/>
    <mergeCell ref="Q16:R16"/>
    <mergeCell ref="U28:V28"/>
    <mergeCell ref="M28:N28"/>
    <mergeCell ref="E25:F25"/>
    <mergeCell ref="E27:F27"/>
    <mergeCell ref="E24:F24"/>
    <mergeCell ref="E28:F28"/>
    <mergeCell ref="M25:N25"/>
    <mergeCell ref="S22:T22"/>
    <mergeCell ref="O21:P21"/>
    <mergeCell ref="U22:V22"/>
    <mergeCell ref="U23:V23"/>
    <mergeCell ref="U24:V24"/>
    <mergeCell ref="U25:V25"/>
    <mergeCell ref="M26:N26"/>
    <mergeCell ref="S27:T27"/>
    <mergeCell ref="M27:N27"/>
    <mergeCell ref="U27:V27"/>
    <mergeCell ref="S25:T25"/>
    <mergeCell ref="U21:V21"/>
    <mergeCell ref="O28:P28"/>
    <mergeCell ref="E26:F26"/>
    <mergeCell ref="Q28:R28"/>
    <mergeCell ref="S28:T28"/>
    <mergeCell ref="S23:T23"/>
    <mergeCell ref="S24:T24"/>
    <mergeCell ref="Q23:R23"/>
    <mergeCell ref="Q25:R25"/>
    <mergeCell ref="S21:T21"/>
    <mergeCell ref="M21:N21"/>
    <mergeCell ref="M22:N22"/>
    <mergeCell ref="Q21:R21"/>
    <mergeCell ref="O23:P23"/>
    <mergeCell ref="O24:P24"/>
    <mergeCell ref="O25:P25"/>
    <mergeCell ref="Q24:R24"/>
    <mergeCell ref="Q22:R22"/>
    <mergeCell ref="Q27:R27"/>
    <mergeCell ref="O26:P26"/>
    <mergeCell ref="O27:P27"/>
    <mergeCell ref="M23:N23"/>
    <mergeCell ref="E21:F21"/>
    <mergeCell ref="I23:J23"/>
    <mergeCell ref="G21:H21"/>
    <mergeCell ref="I22:J22"/>
    <mergeCell ref="Q18:R18"/>
    <mergeCell ref="O20:P20"/>
    <mergeCell ref="M19:N19"/>
    <mergeCell ref="O22:P22"/>
    <mergeCell ref="M20:N20"/>
    <mergeCell ref="Q26:R26"/>
    <mergeCell ref="E15:F15"/>
    <mergeCell ref="E13:F13"/>
    <mergeCell ref="G13:H13"/>
    <mergeCell ref="I15:J15"/>
    <mergeCell ref="G17:H17"/>
    <mergeCell ref="G18:H18"/>
    <mergeCell ref="I18:J18"/>
    <mergeCell ref="K17:L17"/>
    <mergeCell ref="I17:J17"/>
    <mergeCell ref="K18:L18"/>
    <mergeCell ref="S19:T19"/>
    <mergeCell ref="Q17:R17"/>
    <mergeCell ref="S18:T18"/>
    <mergeCell ref="M17:N17"/>
    <mergeCell ref="M18:N18"/>
    <mergeCell ref="Q19:R19"/>
    <mergeCell ref="O17:P17"/>
    <mergeCell ref="O18:P18"/>
    <mergeCell ref="O19:P19"/>
    <mergeCell ref="E36:Y36"/>
    <mergeCell ref="B34:D36"/>
    <mergeCell ref="B30:D32"/>
    <mergeCell ref="E32:Y32"/>
    <mergeCell ref="G28:H28"/>
    <mergeCell ref="I28:J28"/>
    <mergeCell ref="K24:L24"/>
    <mergeCell ref="K28:L28"/>
    <mergeCell ref="G25:H25"/>
    <mergeCell ref="I26:J26"/>
    <mergeCell ref="K26:L26"/>
    <mergeCell ref="I25:J25"/>
    <mergeCell ref="K25:L25"/>
    <mergeCell ref="I24:J24"/>
    <mergeCell ref="G27:H27"/>
    <mergeCell ref="I27:J27"/>
    <mergeCell ref="K27:L27"/>
    <mergeCell ref="G26:H26"/>
    <mergeCell ref="G24:H24"/>
    <mergeCell ref="U26:V26"/>
    <mergeCell ref="S26:T26"/>
    <mergeCell ref="M24:N24"/>
    <mergeCell ref="W26:X26"/>
    <mergeCell ref="Y26:Z26"/>
    <mergeCell ref="E10:F10"/>
    <mergeCell ref="G10:H10"/>
    <mergeCell ref="E9:F9"/>
    <mergeCell ref="E23:F23"/>
    <mergeCell ref="G23:H23"/>
    <mergeCell ref="E20:F20"/>
    <mergeCell ref="G20:H20"/>
    <mergeCell ref="I20:J20"/>
    <mergeCell ref="K20:L20"/>
    <mergeCell ref="I19:J19"/>
    <mergeCell ref="I21:J21"/>
    <mergeCell ref="K21:L21"/>
    <mergeCell ref="E22:F22"/>
    <mergeCell ref="E18:F18"/>
    <mergeCell ref="E17:F17"/>
    <mergeCell ref="E19:F19"/>
    <mergeCell ref="G19:H19"/>
    <mergeCell ref="E12:F12"/>
    <mergeCell ref="G12:H12"/>
    <mergeCell ref="I16:J16"/>
    <mergeCell ref="K22:L22"/>
    <mergeCell ref="K23:L23"/>
    <mergeCell ref="K19:L19"/>
    <mergeCell ref="G22:H22"/>
    <mergeCell ref="O13:P13"/>
    <mergeCell ref="O14:P14"/>
    <mergeCell ref="O15:P15"/>
    <mergeCell ref="O16:P16"/>
    <mergeCell ref="E11:F11"/>
    <mergeCell ref="G11:H11"/>
    <mergeCell ref="I11:J11"/>
    <mergeCell ref="K11:L11"/>
    <mergeCell ref="K12:L12"/>
    <mergeCell ref="E14:F14"/>
    <mergeCell ref="G14:H14"/>
    <mergeCell ref="I14:J14"/>
    <mergeCell ref="K14:L14"/>
    <mergeCell ref="M13:N13"/>
    <mergeCell ref="M14:N14"/>
    <mergeCell ref="M15:N15"/>
    <mergeCell ref="M16:N16"/>
    <mergeCell ref="I13:J13"/>
    <mergeCell ref="E16:F16"/>
    <mergeCell ref="G16:H16"/>
    <mergeCell ref="K13:L13"/>
    <mergeCell ref="G15:H15"/>
    <mergeCell ref="K15:L15"/>
    <mergeCell ref="K16:L16"/>
  </mergeCells>
  <conditionalFormatting sqref="E35:Y35 E31:Y31">
    <cfRule type="cellIs" dxfId="1179" priority="50" stopIfTrue="1" operator="equal">
      <formula>""</formula>
    </cfRule>
    <cfRule type="cellIs" dxfId="1178" priority="51" stopIfTrue="1" operator="equal">
      <formula>1</formula>
    </cfRule>
    <cfRule type="cellIs" dxfId="1177" priority="52" stopIfTrue="1" operator="greaterThan">
      <formula>0.75</formula>
    </cfRule>
    <cfRule type="cellIs" dxfId="1176" priority="53" stopIfTrue="1" operator="greaterThan">
      <formula>0.5</formula>
    </cfRule>
    <cfRule type="cellIs" dxfId="1175" priority="54" stopIfTrue="1" operator="greaterThan">
      <formula>0.25</formula>
    </cfRule>
    <cfRule type="cellIs" dxfId="1174" priority="55" stopIfTrue="1" operator="greaterThanOrEqual">
      <formula>0</formula>
    </cfRule>
  </conditionalFormatting>
  <conditionalFormatting sqref="W35:Y35 W31:Y31">
    <cfRule type="cellIs" dxfId="1173" priority="32" stopIfTrue="1" operator="equal">
      <formula>""</formula>
    </cfRule>
    <cfRule type="cellIs" dxfId="1172" priority="33" stopIfTrue="1" operator="equal">
      <formula>1</formula>
    </cfRule>
    <cfRule type="cellIs" dxfId="1171" priority="34" stopIfTrue="1" operator="greaterThan">
      <formula>0.75</formula>
    </cfRule>
    <cfRule type="cellIs" dxfId="1170" priority="35" stopIfTrue="1" operator="greaterThan">
      <formula>0.5</formula>
    </cfRule>
    <cfRule type="cellIs" dxfId="1169" priority="36" stopIfTrue="1" operator="greaterThan">
      <formula>0.25</formula>
    </cfRule>
    <cfRule type="cellIs" dxfId="1168" priority="37" stopIfTrue="1" operator="greaterThanOrEqual">
      <formula>0</formula>
    </cfRule>
  </conditionalFormatting>
  <conditionalFormatting sqref="AC8:AD28">
    <cfRule type="cellIs" dxfId="1167" priority="26" operator="equal">
      <formula>0</formula>
    </cfRule>
    <cfRule type="cellIs" dxfId="1166" priority="27" operator="between">
      <formula>0.001</formula>
      <formula>0.499</formula>
    </cfRule>
    <cfRule type="cellIs" dxfId="1165" priority="28" operator="between">
      <formula>0.5</formula>
      <formula>0.749</formula>
    </cfRule>
    <cfRule type="cellIs" dxfId="1164" priority="29" operator="between">
      <formula>0.75</formula>
      <formula>0.999</formula>
    </cfRule>
    <cfRule type="cellIs" dxfId="1163" priority="30" operator="equal">
      <formula>1</formula>
    </cfRule>
  </conditionalFormatting>
  <conditionalFormatting sqref="U8:V28">
    <cfRule type="cellIs" dxfId="1162" priority="1" operator="equal">
      <formula>0</formula>
    </cfRule>
    <cfRule type="cellIs" dxfId="1161" priority="2" operator="between">
      <formula>0.001</formula>
      <formula>0.499</formula>
    </cfRule>
    <cfRule type="cellIs" dxfId="1160" priority="3" operator="between">
      <formula>0.5</formula>
      <formula>0.749</formula>
    </cfRule>
    <cfRule type="cellIs" dxfId="1159" priority="4" operator="between">
      <formula>0.75</formula>
      <formula>0.999</formula>
    </cfRule>
    <cfRule type="cellIs" dxfId="1158" priority="5" operator="equal">
      <formula>1</formula>
    </cfRule>
  </conditionalFormatting>
  <conditionalFormatting sqref="AF8:AF28">
    <cfRule type="cellIs" dxfId="1157" priority="16" operator="equal">
      <formula>0</formula>
    </cfRule>
    <cfRule type="cellIs" dxfId="1156" priority="17" operator="between">
      <formula>0.001</formula>
      <formula>0.499</formula>
    </cfRule>
    <cfRule type="cellIs" dxfId="1155" priority="18" operator="between">
      <formula>0.5</formula>
      <formula>0.749</formula>
    </cfRule>
    <cfRule type="cellIs" dxfId="1154" priority="19" operator="between">
      <formula>0.75</formula>
      <formula>0.999</formula>
    </cfRule>
    <cfRule type="cellIs" dxfId="1153" priority="20" operator="equal">
      <formula>1</formula>
    </cfRule>
  </conditionalFormatting>
  <conditionalFormatting sqref="AG8:AG28">
    <cfRule type="cellIs" dxfId="1152" priority="11" operator="equal">
      <formula>0</formula>
    </cfRule>
    <cfRule type="cellIs" dxfId="1151" priority="12" operator="between">
      <formula>0.001</formula>
      <formula>0.499</formula>
    </cfRule>
    <cfRule type="cellIs" dxfId="1150" priority="13" operator="between">
      <formula>0.5</formula>
      <formula>0.749</formula>
    </cfRule>
    <cfRule type="cellIs" dxfId="1149" priority="14" operator="between">
      <formula>0.75</formula>
      <formula>0.999</formula>
    </cfRule>
    <cfRule type="cellIs" dxfId="1148" priority="15" operator="equal">
      <formula>1</formula>
    </cfRule>
  </conditionalFormatting>
  <conditionalFormatting sqref="M8:N28">
    <cfRule type="cellIs" dxfId="1147" priority="6" operator="equal">
      <formula>0</formula>
    </cfRule>
    <cfRule type="cellIs" dxfId="1146" priority="7" operator="between">
      <formula>0.001</formula>
      <formula>0.499</formula>
    </cfRule>
    <cfRule type="cellIs" dxfId="1145" priority="8" operator="between">
      <formula>0.5</formula>
      <formula>0.749</formula>
    </cfRule>
    <cfRule type="cellIs" dxfId="1144" priority="9" operator="between">
      <formula>0.75</formula>
      <formula>0.999</formula>
    </cfRule>
    <cfRule type="cellIs" dxfId="1143" priority="10" operator="equal">
      <formula>1</formula>
    </cfRule>
  </conditionalFormatting>
  <dataValidations count="2">
    <dataValidation type="list" allowBlank="1" showInputMessage="1" showErrorMessage="1" sqref="D7" xr:uid="{00000000-0002-0000-0F00-000000000000}">
      <formula1>"L 0,L +1"</formula1>
    </dataValidation>
    <dataValidation type="list" allowBlank="1" showInputMessage="1" sqref="D8:D33" xr:uid="{00000000-0002-0000-0F00-000001000000}">
      <formula1>"N/A,Tested,Symmetry,Adjacent"</formula1>
    </dataValidation>
  </dataValidations>
  <pageMargins left="0.8" right="0.44" top="0.53" bottom="1" header="0.5" footer="0.5"/>
  <pageSetup paperSize="9" scale="66" orientation="portrait" r:id="rId1"/>
  <headerFooter alignWithMargins="0"/>
  <ignoredErrors>
    <ignoredError sqref="E34:V34 E30:Y30" numberStoredAsText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4B686-4FF5-4867-812F-0D4BB6CD4F57}">
  <sheetPr codeName="Sheet6">
    <tabColor rgb="FF00B050"/>
    <pageSetUpPr fitToPage="1"/>
  </sheetPr>
  <dimension ref="A1:Y94"/>
  <sheetViews>
    <sheetView showGridLines="0" showOutlineSymbols="0" topLeftCell="A5" zoomScaleNormal="100" workbookViewId="0"/>
  </sheetViews>
  <sheetFormatPr defaultColWidth="9.85546875" defaultRowHeight="12.75"/>
  <cols>
    <col min="1" max="2" width="9.85546875" style="125"/>
    <col min="3" max="3" width="46.28515625" style="125" customWidth="1"/>
    <col min="4" max="5" width="7.85546875" style="125" customWidth="1"/>
    <col min="6" max="6" width="5.85546875" style="125" bestFit="1" customWidth="1"/>
    <col min="7" max="15" width="7.85546875" style="125" customWidth="1"/>
    <col min="16" max="17" width="9.85546875" style="125"/>
    <col min="18" max="25" width="9.85546875" style="125" hidden="1" customWidth="1"/>
    <col min="26" max="16384" width="9.85546875" style="125"/>
  </cols>
  <sheetData>
    <row r="1" spans="1:22" ht="13.5" thickBot="1">
      <c r="A1" s="124">
        <v>3</v>
      </c>
    </row>
    <row r="2" spans="1:22" s="127" customFormat="1" ht="13.35" customHeight="1">
      <c r="B2" s="2020" t="s">
        <v>549</v>
      </c>
      <c r="C2" s="2021"/>
      <c r="D2" s="2029"/>
      <c r="E2" s="2030"/>
      <c r="F2" s="2030"/>
      <c r="G2" s="2030"/>
      <c r="H2" s="2030"/>
      <c r="I2" s="2030"/>
      <c r="J2" s="2030"/>
      <c r="K2" s="2030"/>
      <c r="L2" s="2030"/>
      <c r="M2" s="2030"/>
      <c r="N2" s="2030"/>
      <c r="O2" s="2031"/>
      <c r="P2" s="137"/>
      <c r="Q2" s="836"/>
      <c r="R2" s="160"/>
      <c r="S2" s="807"/>
      <c r="T2" s="137"/>
      <c r="U2" s="137"/>
      <c r="V2" s="137"/>
    </row>
    <row r="3" spans="1:22" s="127" customFormat="1" ht="15" customHeight="1">
      <c r="B3" s="2022"/>
      <c r="C3" s="2023"/>
      <c r="D3" s="2032"/>
      <c r="E3" s="2033"/>
      <c r="F3" s="2033"/>
      <c r="G3" s="2033"/>
      <c r="H3" s="2033"/>
      <c r="I3" s="2033"/>
      <c r="J3" s="2033"/>
      <c r="K3" s="2033"/>
      <c r="L3" s="2033"/>
      <c r="M3" s="2033"/>
      <c r="N3" s="2033"/>
      <c r="O3" s="2034"/>
      <c r="P3" s="137"/>
      <c r="Q3" s="137"/>
      <c r="R3" s="137"/>
      <c r="S3" s="807"/>
      <c r="T3" s="137"/>
      <c r="U3" s="137"/>
      <c r="V3" s="137"/>
    </row>
    <row r="4" spans="1:22" ht="15" customHeight="1" thickBot="1">
      <c r="B4" s="2024" t="str">
        <f>'General Overview'!G11</f>
        <v/>
      </c>
      <c r="C4" s="2025"/>
      <c r="D4" s="2035"/>
      <c r="E4" s="2036"/>
      <c r="F4" s="2036"/>
      <c r="G4" s="2036"/>
      <c r="H4" s="2036"/>
      <c r="I4" s="2036"/>
      <c r="J4" s="2036"/>
      <c r="K4" s="2036"/>
      <c r="L4" s="2036"/>
      <c r="M4" s="2036"/>
      <c r="N4" s="2036"/>
      <c r="O4" s="2037"/>
      <c r="P4" s="837"/>
      <c r="Q4" s="837"/>
      <c r="R4" s="837"/>
      <c r="S4" s="807"/>
      <c r="T4" s="837"/>
      <c r="U4" s="837"/>
      <c r="V4" s="837"/>
    </row>
    <row r="5" spans="1:22" s="126" customFormat="1" ht="15" customHeight="1">
      <c r="A5" s="125"/>
      <c r="B5" s="130" t="s">
        <v>243</v>
      </c>
      <c r="C5" s="363"/>
      <c r="D5" s="2038"/>
      <c r="E5" s="2039"/>
      <c r="F5" s="2039"/>
      <c r="G5" s="2039"/>
      <c r="H5" s="2039"/>
      <c r="I5" s="2039"/>
      <c r="J5" s="2039"/>
      <c r="K5" s="2039"/>
      <c r="L5" s="2039"/>
      <c r="M5" s="2039"/>
      <c r="N5" s="2039"/>
      <c r="O5" s="2040"/>
      <c r="P5" s="807"/>
      <c r="Q5" s="807"/>
      <c r="R5" s="807"/>
      <c r="S5" s="807"/>
      <c r="T5" s="807"/>
      <c r="U5" s="807"/>
      <c r="V5" s="807"/>
    </row>
    <row r="6" spans="1:22" s="126" customFormat="1" ht="15" customHeight="1">
      <c r="A6" s="125"/>
      <c r="B6" s="128"/>
      <c r="C6" s="364" t="s">
        <v>624</v>
      </c>
      <c r="D6" s="2041"/>
      <c r="E6" s="2042"/>
      <c r="F6" s="2042"/>
      <c r="G6" s="2042"/>
      <c r="H6" s="2042"/>
      <c r="I6" s="2042"/>
      <c r="J6" s="2042"/>
      <c r="K6" s="2042"/>
      <c r="L6" s="2042"/>
      <c r="M6" s="2042"/>
      <c r="N6" s="2042"/>
      <c r="O6" s="2043"/>
      <c r="P6" s="807"/>
      <c r="Q6" s="807"/>
      <c r="R6" s="807"/>
      <c r="S6" s="807"/>
      <c r="T6" s="807"/>
      <c r="U6" s="807"/>
      <c r="V6" s="807"/>
    </row>
    <row r="7" spans="1:22" s="126" customFormat="1" ht="15" customHeight="1">
      <c r="A7" s="125"/>
      <c r="B7" s="128"/>
      <c r="C7" s="364" t="s">
        <v>244</v>
      </c>
      <c r="D7" s="2044"/>
      <c r="E7" s="2045"/>
      <c r="F7" s="2045"/>
      <c r="G7" s="2045"/>
      <c r="H7" s="2045"/>
      <c r="I7" s="2045"/>
      <c r="J7" s="2045"/>
      <c r="K7" s="2045"/>
      <c r="L7" s="2045"/>
      <c r="M7" s="2045"/>
      <c r="N7" s="2045"/>
      <c r="O7" s="2046"/>
      <c r="P7" s="807"/>
      <c r="Q7" s="807"/>
      <c r="R7" s="807"/>
      <c r="S7" s="807"/>
      <c r="T7" s="807"/>
      <c r="U7" s="807"/>
      <c r="V7" s="807"/>
    </row>
    <row r="8" spans="1:22" s="126" customFormat="1" ht="15" customHeight="1">
      <c r="A8" s="125"/>
      <c r="B8" s="128"/>
      <c r="C8" s="364" t="s">
        <v>362</v>
      </c>
      <c r="D8" s="2047"/>
      <c r="E8" s="2048"/>
      <c r="F8" s="2048"/>
      <c r="G8" s="2048"/>
      <c r="H8" s="2048"/>
      <c r="I8" s="2048"/>
      <c r="J8" s="2048"/>
      <c r="K8" s="2048"/>
      <c r="L8" s="2048"/>
      <c r="M8" s="2048"/>
      <c r="N8" s="2048"/>
      <c r="O8" s="2049"/>
      <c r="P8" s="807"/>
      <c r="Q8" s="807"/>
      <c r="R8" s="807"/>
      <c r="S8" s="807"/>
      <c r="T8" s="807"/>
      <c r="U8" s="807"/>
      <c r="V8" s="807"/>
    </row>
    <row r="9" spans="1:22" s="126" customFormat="1" ht="15" customHeight="1" thickBot="1">
      <c r="A9" s="125"/>
      <c r="B9" s="135"/>
      <c r="C9" s="365" t="s">
        <v>245</v>
      </c>
      <c r="D9" s="2026"/>
      <c r="E9" s="2027"/>
      <c r="F9" s="2027"/>
      <c r="G9" s="2027"/>
      <c r="H9" s="2027"/>
      <c r="I9" s="2027"/>
      <c r="J9" s="2027"/>
      <c r="K9" s="2027"/>
      <c r="L9" s="2027"/>
      <c r="M9" s="2027"/>
      <c r="N9" s="2027"/>
      <c r="O9" s="2028"/>
      <c r="P9" s="807"/>
      <c r="Q9" s="807"/>
      <c r="R9" s="807"/>
      <c r="S9" s="807"/>
      <c r="T9" s="807"/>
      <c r="U9" s="807"/>
      <c r="V9" s="807"/>
    </row>
    <row r="10" spans="1:22" s="126" customFormat="1" ht="15" customHeight="1" thickBot="1">
      <c r="A10" s="125"/>
      <c r="B10" s="125"/>
      <c r="C10" s="127"/>
      <c r="D10" s="125"/>
      <c r="E10" s="125"/>
      <c r="F10" s="125"/>
      <c r="G10" s="125"/>
      <c r="H10" s="125"/>
      <c r="I10" s="125"/>
      <c r="P10" s="807"/>
      <c r="Q10" s="807"/>
      <c r="R10" s="807"/>
      <c r="S10" s="807"/>
      <c r="T10" s="807"/>
      <c r="U10" s="807"/>
      <c r="V10" s="807"/>
    </row>
    <row r="11" spans="1:22" s="126" customFormat="1" ht="15" customHeight="1">
      <c r="A11" s="125"/>
      <c r="B11" s="130" t="s">
        <v>550</v>
      </c>
      <c r="C11" s="131"/>
      <c r="D11" s="1981" t="s">
        <v>632</v>
      </c>
      <c r="E11" s="1982"/>
      <c r="F11" s="1982"/>
      <c r="G11" s="1982"/>
      <c r="H11" s="1982"/>
      <c r="I11" s="1983"/>
      <c r="J11" s="1981" t="s">
        <v>633</v>
      </c>
      <c r="K11" s="1982"/>
      <c r="L11" s="1982"/>
      <c r="M11" s="1982"/>
      <c r="N11" s="1982"/>
      <c r="O11" s="1983"/>
      <c r="P11" s="807"/>
      <c r="Q11" s="807"/>
      <c r="R11" s="807"/>
      <c r="S11" s="807"/>
      <c r="T11" s="807"/>
      <c r="U11" s="807"/>
      <c r="V11" s="807"/>
    </row>
    <row r="12" spans="1:22" s="126" customFormat="1" ht="15" customHeight="1" thickBot="1">
      <c r="A12" s="125"/>
      <c r="B12" s="128"/>
      <c r="C12" s="132"/>
      <c r="D12" s="1989"/>
      <c r="E12" s="1990"/>
      <c r="F12" s="1990"/>
      <c r="G12" s="1990"/>
      <c r="H12" s="1990"/>
      <c r="I12" s="1991"/>
      <c r="J12" s="1989"/>
      <c r="K12" s="1990"/>
      <c r="L12" s="1990"/>
      <c r="M12" s="1990"/>
      <c r="N12" s="1990"/>
      <c r="O12" s="1991"/>
      <c r="P12" s="807"/>
      <c r="Q12" s="807"/>
      <c r="R12" s="807"/>
      <c r="S12" s="807"/>
      <c r="T12" s="807"/>
      <c r="U12" s="807"/>
      <c r="V12" s="807"/>
    </row>
    <row r="13" spans="1:22" s="126" customFormat="1" ht="15" customHeight="1">
      <c r="A13" s="125"/>
      <c r="B13" s="128"/>
      <c r="C13" s="129" t="s">
        <v>2707</v>
      </c>
      <c r="D13" s="2051"/>
      <c r="E13" s="2052"/>
      <c r="F13" s="2052"/>
      <c r="G13" s="2052"/>
      <c r="H13" s="2052"/>
      <c r="I13" s="2052"/>
      <c r="J13" s="2052"/>
      <c r="K13" s="2052"/>
      <c r="L13" s="2052"/>
      <c r="M13" s="2052"/>
      <c r="N13" s="2052"/>
      <c r="O13" s="2053"/>
      <c r="P13" s="807"/>
      <c r="Q13" s="807"/>
      <c r="R13" s="807"/>
      <c r="S13" s="807"/>
      <c r="T13" s="807"/>
      <c r="U13" s="807"/>
      <c r="V13" s="807"/>
    </row>
    <row r="14" spans="1:22" s="126" customFormat="1" ht="15" customHeight="1">
      <c r="A14" s="125"/>
      <c r="B14" s="128"/>
      <c r="C14" s="129" t="s">
        <v>553</v>
      </c>
      <c r="D14" s="2054"/>
      <c r="E14" s="2055"/>
      <c r="F14" s="2055"/>
      <c r="G14" s="2055"/>
      <c r="H14" s="2055"/>
      <c r="I14" s="2055"/>
      <c r="J14" s="2055"/>
      <c r="K14" s="2055"/>
      <c r="L14" s="2055"/>
      <c r="M14" s="2055"/>
      <c r="N14" s="2055"/>
      <c r="O14" s="2056"/>
      <c r="P14" s="807"/>
      <c r="Q14" s="807"/>
      <c r="R14" s="807"/>
      <c r="S14" s="807"/>
      <c r="T14" s="807"/>
      <c r="U14" s="807"/>
      <c r="V14" s="807"/>
    </row>
    <row r="15" spans="1:22" s="126" customFormat="1" ht="15" customHeight="1" thickBot="1">
      <c r="A15" s="125"/>
      <c r="B15" s="128"/>
      <c r="C15" s="129" t="s">
        <v>625</v>
      </c>
      <c r="D15" s="2057"/>
      <c r="E15" s="2058"/>
      <c r="F15" s="2058"/>
      <c r="G15" s="2058"/>
      <c r="H15" s="2058"/>
      <c r="I15" s="2058"/>
      <c r="J15" s="2058"/>
      <c r="K15" s="2058"/>
      <c r="L15" s="2058"/>
      <c r="M15" s="2058"/>
      <c r="N15" s="2058"/>
      <c r="O15" s="2059"/>
      <c r="P15" s="807"/>
      <c r="Q15" s="807"/>
      <c r="R15" s="807"/>
      <c r="S15" s="807"/>
      <c r="T15" s="807"/>
      <c r="U15" s="807"/>
      <c r="V15" s="807"/>
    </row>
    <row r="16" spans="1:22" s="126" customFormat="1" ht="15" customHeight="1" thickBot="1">
      <c r="A16" s="125"/>
      <c r="B16" s="2017" t="s">
        <v>550</v>
      </c>
      <c r="C16" s="2050"/>
      <c r="D16" s="1992" t="str">
        <f>IF(AND(D14="YES",D13="YES", J13="YES",D15="NO"),"PASS","FAIL")</f>
        <v>FAIL</v>
      </c>
      <c r="E16" s="1993"/>
      <c r="F16" s="1993"/>
      <c r="G16" s="1993"/>
      <c r="H16" s="1993"/>
      <c r="I16" s="1993"/>
      <c r="J16" s="1993"/>
      <c r="K16" s="1993"/>
      <c r="L16" s="1993"/>
      <c r="M16" s="1993"/>
      <c r="N16" s="1993"/>
      <c r="O16" s="1994"/>
      <c r="P16" s="808"/>
      <c r="Q16" s="132"/>
      <c r="R16" s="807"/>
      <c r="S16" s="807"/>
      <c r="T16" s="807"/>
      <c r="U16" s="807"/>
      <c r="V16" s="807"/>
    </row>
    <row r="17" spans="1:22" s="126" customFormat="1" ht="15" customHeight="1" thickBot="1">
      <c r="A17" s="125"/>
      <c r="B17" s="125"/>
      <c r="C17" s="127"/>
      <c r="D17" s="125"/>
      <c r="E17" s="125"/>
      <c r="F17" s="125"/>
      <c r="G17" s="125"/>
      <c r="H17" s="125"/>
      <c r="I17" s="125"/>
      <c r="P17" s="807"/>
      <c r="Q17" s="807"/>
      <c r="R17" s="807"/>
      <c r="S17" s="807"/>
      <c r="T17" s="807"/>
      <c r="U17" s="807"/>
      <c r="V17" s="807"/>
    </row>
    <row r="18" spans="1:22" s="126" customFormat="1" ht="15" customHeight="1">
      <c r="A18" s="125"/>
      <c r="B18" s="130" t="s">
        <v>2609</v>
      </c>
      <c r="C18" s="363"/>
      <c r="D18" s="1981" t="s">
        <v>632</v>
      </c>
      <c r="E18" s="1982"/>
      <c r="F18" s="1982"/>
      <c r="G18" s="1982"/>
      <c r="H18" s="1982"/>
      <c r="I18" s="1982"/>
      <c r="J18" s="1982"/>
      <c r="K18" s="1982"/>
      <c r="L18" s="1982"/>
      <c r="M18" s="1982"/>
      <c r="N18" s="1982"/>
      <c r="O18" s="1983"/>
      <c r="P18" s="807"/>
      <c r="Q18" s="807"/>
      <c r="R18" s="807"/>
      <c r="S18" s="807"/>
      <c r="T18" s="807"/>
      <c r="U18" s="807"/>
      <c r="V18" s="807"/>
    </row>
    <row r="19" spans="1:22" s="126" customFormat="1" ht="15" customHeight="1">
      <c r="A19" s="125"/>
      <c r="B19" s="128"/>
      <c r="C19" s="364"/>
      <c r="D19" s="1984" t="s">
        <v>626</v>
      </c>
      <c r="E19" s="1985"/>
      <c r="F19" s="1986"/>
      <c r="G19" s="1987" t="s">
        <v>627</v>
      </c>
      <c r="H19" s="1985"/>
      <c r="I19" s="1986"/>
      <c r="J19" s="1987" t="s">
        <v>628</v>
      </c>
      <c r="K19" s="1985"/>
      <c r="L19" s="1986"/>
      <c r="M19" s="1985" t="s">
        <v>2608</v>
      </c>
      <c r="N19" s="1985"/>
      <c r="O19" s="1988"/>
      <c r="P19" s="807"/>
      <c r="Q19" s="807"/>
      <c r="R19" s="807"/>
      <c r="S19" s="807"/>
      <c r="T19" s="807"/>
      <c r="U19" s="807"/>
      <c r="V19" s="807"/>
    </row>
    <row r="20" spans="1:22" s="126" customFormat="1" ht="15" customHeight="1">
      <c r="A20" s="125"/>
      <c r="B20" s="368">
        <v>0</v>
      </c>
      <c r="C20" s="768" t="s">
        <v>2644</v>
      </c>
      <c r="D20" s="756" t="s">
        <v>2606</v>
      </c>
      <c r="E20" s="755" t="s">
        <v>623</v>
      </c>
      <c r="F20" s="479" t="s">
        <v>40</v>
      </c>
      <c r="G20" s="758" t="s">
        <v>2606</v>
      </c>
      <c r="H20" s="755" t="s">
        <v>623</v>
      </c>
      <c r="I20" s="479" t="s">
        <v>40</v>
      </c>
      <c r="J20" s="758" t="s">
        <v>2606</v>
      </c>
      <c r="K20" s="755" t="s">
        <v>623</v>
      </c>
      <c r="L20" s="479" t="s">
        <v>40</v>
      </c>
      <c r="M20" s="755" t="s">
        <v>2606</v>
      </c>
      <c r="N20" s="755" t="s">
        <v>623</v>
      </c>
      <c r="O20" s="754" t="s">
        <v>40</v>
      </c>
      <c r="P20" s="807"/>
      <c r="Q20" s="807"/>
      <c r="R20" s="807"/>
      <c r="S20" s="807"/>
      <c r="T20" s="807"/>
      <c r="U20" s="807"/>
      <c r="V20" s="807"/>
    </row>
    <row r="21" spans="1:22" s="126" customFormat="1" ht="15" customHeight="1">
      <c r="A21" s="125"/>
      <c r="B21" s="435">
        <v>1</v>
      </c>
      <c r="C21" s="514">
        <v>10</v>
      </c>
      <c r="D21" s="752"/>
      <c r="E21" s="983"/>
      <c r="F21" s="138" cm="1">
        <f t="array" aca="1" ref="F21" ca="1">$B21*(IF(D21="",0,IF(E21="",VLOOKUP(D21,$X$53:$Y$57,2,TRUE),IF(AND((E21-$B$20)&lt;($S50:$W50 INDIRECT("CPFA50"&amp;D21)+2),(E21-$B$20)&gt;=($S50:$W50 INDIRECT("CPFA50"&amp;D21)-12)),VLOOKUP(D21,$X$53:$Y$57,2),MAX(IF((E21-$B$20)&lt;$S50:$W50,$S$65:$W$65,0))))))</f>
        <v>0</v>
      </c>
      <c r="G21" s="752"/>
      <c r="H21" s="983"/>
      <c r="I21" s="138" cm="1">
        <f t="array" aca="1" ref="I21" ca="1">$B21*(IF(G21="",0,IF(H21="",VLOOKUP(G21,$X$53:$Y$57,2,TRUE),IF(AND((H21-$B$20)&lt;($S50:$W50 INDIRECT("CPFA50"&amp;G21)+2),(H21-$B$20)&gt;=($S50:$W50 INDIRECT("CPFA50"&amp;G21)-12)),VLOOKUP(G21,$X$53:$Y$57,2),MAX(IF((H21-$B$20)&lt;$S50:$W50,$S$65:$W$65,0))))))</f>
        <v>0</v>
      </c>
      <c r="J21" s="752"/>
      <c r="K21" s="983"/>
      <c r="L21" s="138" cm="1">
        <f t="array" aca="1" ref="L21" ca="1">$B21*(IF(J21="",0,IF(K21="",VLOOKUP(J21,$X$53:$Y$57,2,TRUE),IF(AND((K21-$B$20)&lt;($S50:$W50 INDIRECT("CPFA50"&amp;J21)+2),(K21-$B$20)&gt;=($S50:$W50 INDIRECT("CPFA50"&amp;J21)-12)),VLOOKUP(J21,$X$53:$Y$57,2),MAX(IF((K21-$B$20)&lt;$S50:$W50,$S$65:$W$65,0))))))</f>
        <v>0</v>
      </c>
      <c r="M21" s="752"/>
      <c r="N21" s="983"/>
      <c r="O21" s="751" cm="1">
        <f t="array" aca="1" ref="O21" ca="1">$B21*(IF(M21="",0,IF(N21="",VLOOKUP(M21,$X$53:$Y$57,2,TRUE),IF(AND((N21-$B$20)&lt;($S50:$W50 INDIRECT("CPFA50"&amp;M21)+2),(N21-$B$20)&gt;=($S50:$W50 INDIRECT("CPFA50"&amp;M21)-12)),VLOOKUP(M21,$X$53:$Y$57,2),MAX(IF((N21-$B$20)&lt;$S50:$W50,$S$65:$W$65,0))))))</f>
        <v>0</v>
      </c>
      <c r="P21" s="808"/>
      <c r="Q21" s="132"/>
      <c r="R21" s="807"/>
      <c r="S21" s="807"/>
      <c r="T21" s="807"/>
      <c r="U21" s="807"/>
      <c r="V21" s="807"/>
    </row>
    <row r="22" spans="1:22" s="126" customFormat="1" ht="15" customHeight="1">
      <c r="A22" s="125"/>
      <c r="B22" s="435">
        <v>1</v>
      </c>
      <c r="C22" s="514">
        <v>15</v>
      </c>
      <c r="D22" s="752"/>
      <c r="E22" s="983"/>
      <c r="F22" s="138" cm="1">
        <f t="array" aca="1" ref="F22" ca="1">$B22*(IF(D22="",0,IF(E22="",VLOOKUP(D22,$X$53:$Y$57,2,TRUE),IF(AND((E22-$B$20)&lt;($S51:$W51 INDIRECT("CPFA50"&amp;D22)+2),(E22-$B$20)&gt;=($S51:$W51 INDIRECT("CPFA50"&amp;D22)-12)),VLOOKUP(D22,$X$53:$Y$57,2),MAX(IF((E22-$B$20)&lt;$S51:$W51,$S$65:$W$65,0))))))</f>
        <v>0</v>
      </c>
      <c r="G22" s="752"/>
      <c r="H22" s="983"/>
      <c r="I22" s="138" cm="1">
        <f t="array" aca="1" ref="I22" ca="1">$B22*(IF(G22="",0,IF(H22="",VLOOKUP(G22,$X$53:$Y$57,2,TRUE),IF(AND((H22-$B$20)&lt;($S51:$W51 INDIRECT("CPFA50"&amp;G22)+2),(H22-$B$20)&gt;=($S51:$W51 INDIRECT("CPFA50"&amp;G22)-12)),VLOOKUP(G22,$X$53:$Y$57,2),MAX(IF((H22-$B$20)&lt;$S51:$W51,$S$65:$W$65,0))))))</f>
        <v>0</v>
      </c>
      <c r="J22" s="752"/>
      <c r="K22" s="983"/>
      <c r="L22" s="138" cm="1">
        <f t="array" aca="1" ref="L22" ca="1">$B22*(IF(J22="",0,IF(K22="",VLOOKUP(J22,$X$53:$Y$57,2,TRUE),IF(AND((K22-$B$20)&lt;($S51:$W51 INDIRECT("CPFA50"&amp;J22)+2),(K22-$B$20)&gt;=($S51:$W51 INDIRECT("CPFA50"&amp;J22)-12)),VLOOKUP(J22,$X$53:$Y$57,2),MAX(IF((K22-$B$20)&lt;$S51:$W51,$S$65:$W$65,0))))))</f>
        <v>0</v>
      </c>
      <c r="M22" s="752"/>
      <c r="N22" s="983"/>
      <c r="O22" s="751" cm="1">
        <f t="array" aca="1" ref="O22" ca="1">$B22*(IF(M22="",0,IF(N22="",VLOOKUP(M22,$X$53:$Y$57,2,TRUE),IF(AND((N22-$B$20)&lt;($S51:$W51 INDIRECT("CPFA50"&amp;M22)+2),(N22-$B$20)&gt;=($S51:$W51 INDIRECT("CPFA50"&amp;M22)-12)),VLOOKUP(M22,$X$53:$Y$57,2),MAX(IF((N22-$B$20)&lt;$S51:$W51,$S$65:$W$65,0))))))</f>
        <v>0</v>
      </c>
      <c r="P22" s="808"/>
      <c r="Q22" s="132"/>
      <c r="R22" s="807"/>
      <c r="S22" s="807"/>
      <c r="T22" s="807"/>
      <c r="U22" s="807"/>
      <c r="V22" s="807"/>
    </row>
    <row r="23" spans="1:22" s="126" customFormat="1" ht="15" customHeight="1">
      <c r="A23" s="125"/>
      <c r="B23" s="435">
        <v>1</v>
      </c>
      <c r="C23" s="514">
        <v>20</v>
      </c>
      <c r="D23" s="752"/>
      <c r="E23" s="983"/>
      <c r="F23" s="138" cm="1">
        <f t="array" aca="1" ref="F23" ca="1">$B23*(IF(D23="",0,IF(E23="",VLOOKUP(D23,$X$53:$Y$57,2,TRUE),IF(AND((E23-$B$20)&lt;($S52:$W52 INDIRECT("CPFA50"&amp;D23)+2),(E23-$B$20)&gt;=($S52:$W52 INDIRECT("CPFA50"&amp;D23)-12)),VLOOKUP(D23,$X$53:$Y$57,2),MAX(IF((E23-$B$20)&lt;$S52:$W52,$S$65:$W$65,0))))))</f>
        <v>0</v>
      </c>
      <c r="G23" s="752"/>
      <c r="H23" s="983"/>
      <c r="I23" s="138" cm="1">
        <f t="array" aca="1" ref="I23" ca="1">$B23*(IF(G23="",0,IF(H23="",VLOOKUP(G23,$X$53:$Y$57,2,TRUE),IF(AND((H23-$B$20)&lt;($S52:$W52 INDIRECT("CPFA50"&amp;G23)+2),(H23-$B$20)&gt;=($S52:$W52 INDIRECT("CPFA50"&amp;G23)-12)),VLOOKUP(G23,$X$53:$Y$57,2),MAX(IF((H23-$B$20)&lt;$S52:$W52,$S$65:$W$65,0))))))</f>
        <v>0</v>
      </c>
      <c r="J23" s="752"/>
      <c r="K23" s="983"/>
      <c r="L23" s="138" cm="1">
        <f t="array" aca="1" ref="L23" ca="1">$B23*(IF(J23="",0,IF(K23="",VLOOKUP(J23,$X$53:$Y$57,2,TRUE),IF(AND((K23-$B$20)&lt;($S52:$W52 INDIRECT("CPFA50"&amp;J23)+2),(K23-$B$20)&gt;=($S52:$W52 INDIRECT("CPFA50"&amp;J23)-12)),VLOOKUP(J23,$X$53:$Y$57,2),MAX(IF((K23-$B$20)&lt;$S52:$W52,$S$65:$W$65,0))))))</f>
        <v>0</v>
      </c>
      <c r="M23" s="752"/>
      <c r="N23" s="983"/>
      <c r="O23" s="751" cm="1">
        <f t="array" aca="1" ref="O23" ca="1">$B23*(IF(M23="",0,IF(N23="",VLOOKUP(M23,$X$53:$Y$57,2,TRUE),IF(AND((N23-$B$20)&lt;($S52:$W52 INDIRECT("CPFA50"&amp;M23)+2),(N23-$B$20)&gt;=($S52:$W52 INDIRECT("CPFA50"&amp;M23)-12)),VLOOKUP(M23,$X$53:$Y$57,2),MAX(IF((N23-$B$20)&lt;$S52:$W52,$S$65:$W$65,0))))))</f>
        <v>0</v>
      </c>
      <c r="P23" s="807"/>
      <c r="Q23" s="807"/>
      <c r="R23" s="807"/>
      <c r="S23" s="807"/>
      <c r="T23" s="807"/>
      <c r="U23" s="807"/>
      <c r="V23" s="807"/>
    </row>
    <row r="24" spans="1:22" s="126" customFormat="1" ht="15" customHeight="1">
      <c r="A24" s="125"/>
      <c r="B24" s="435">
        <v>1</v>
      </c>
      <c r="C24" s="514">
        <v>25</v>
      </c>
      <c r="D24" s="752"/>
      <c r="E24" s="983"/>
      <c r="F24" s="138" cm="1">
        <f t="array" aca="1" ref="F24" ca="1">$B24*(IF(D24="",0,IF(E24="",VLOOKUP(D24,$X$53:$Y$57,2,TRUE),IF(AND((E24-$B$20)&lt;($S53:$W53 INDIRECT("CPFA50"&amp;D24)+2),(E24-$B$20)&gt;=($S53:$W53 INDIRECT("CPFA50"&amp;D24)-12)),VLOOKUP(D24,$X$53:$Y$57,2),MAX(IF((E24-$B$20)&lt;$S53:$W53,$S$65:$W$65,0))))))</f>
        <v>0</v>
      </c>
      <c r="G24" s="752"/>
      <c r="H24" s="983"/>
      <c r="I24" s="138" cm="1">
        <f t="array" aca="1" ref="I24" ca="1">$B24*(IF(G24="",0,IF(H24="",VLOOKUP(G24,$X$53:$Y$57,2,TRUE),IF(AND((H24-$B$20)&lt;($S53:$W53 INDIRECT("CPFA50"&amp;G24)+2),(H24-$B$20)&gt;=($S53:$W53 INDIRECT("CPFA50"&amp;G24)-12)),VLOOKUP(G24,$X$53:$Y$57,2),MAX(IF((H24-$B$20)&lt;$S53:$W53,$S$65:$W$65,0))))))</f>
        <v>0</v>
      </c>
      <c r="J24" s="752"/>
      <c r="K24" s="983"/>
      <c r="L24" s="138" cm="1">
        <f t="array" aca="1" ref="L24" ca="1">$B24*(IF(J24="",0,IF(K24="",VLOOKUP(J24,$X$53:$Y$57,2,TRUE),IF(AND((K24-$B$20)&lt;($S53:$W53 INDIRECT("CPFA50"&amp;J24)+2),(K24-$B$20)&gt;=($S53:$W53 INDIRECT("CPFA50"&amp;J24)-12)),VLOOKUP(J24,$X$53:$Y$57,2),MAX(IF((K24-$B$20)&lt;$S53:$W53,$S$65:$W$65,0))))))</f>
        <v>0</v>
      </c>
      <c r="M24" s="752"/>
      <c r="N24" s="983"/>
      <c r="O24" s="751" cm="1">
        <f t="array" aca="1" ref="O24" ca="1">$B24*(IF(M24="",0,IF(N24="",VLOOKUP(M24,$X$53:$Y$57,2,TRUE),IF(AND((N24-$B$20)&lt;($S53:$W53 INDIRECT("CPFA50"&amp;M24)+2),(N24-$B$20)&gt;=($S53:$W53 INDIRECT("CPFA50"&amp;M24)-12)),VLOOKUP(M24,$X$53:$Y$57,2),MAX(IF((N24-$B$20)&lt;$S53:$W53,$S$65:$W$65,0))))))</f>
        <v>0</v>
      </c>
      <c r="P24" s="807"/>
      <c r="Q24" s="807"/>
      <c r="R24" s="807"/>
      <c r="S24" s="807"/>
      <c r="T24" s="807"/>
      <c r="U24" s="807"/>
      <c r="V24" s="807"/>
    </row>
    <row r="25" spans="1:22" s="126" customFormat="1" ht="15" customHeight="1">
      <c r="A25" s="125"/>
      <c r="B25" s="435">
        <v>2</v>
      </c>
      <c r="C25" s="514">
        <v>30</v>
      </c>
      <c r="D25" s="752"/>
      <c r="E25" s="983"/>
      <c r="F25" s="138" cm="1">
        <f t="array" aca="1" ref="F25" ca="1">$B25*(IF(D25="",0,IF(E25="",VLOOKUP(D25,$X$53:$Y$57,2,TRUE),IF(AND((E25-$B$20)&lt;($S54:$W54 INDIRECT("CPFA50"&amp;D25)+2),(E25-$B$20)&gt;=($S54:$W54 INDIRECT("CPFA50"&amp;D25)-12)),VLOOKUP(D25,$X$53:$Y$57,2),MAX(IF((E25-$B$20)&lt;$S54:$W54,$S$65:$W$65,0))))))</f>
        <v>0</v>
      </c>
      <c r="G25" s="752"/>
      <c r="H25" s="983"/>
      <c r="I25" s="138" cm="1">
        <f t="array" aca="1" ref="I25" ca="1">$B25*(IF(G25="",0,IF(H25="",VLOOKUP(G25,$X$53:$Y$57,2,TRUE),IF(AND((H25-$B$20)&lt;($S54:$W54 INDIRECT("CPFA50"&amp;G25)+2),(H25-$B$20)&gt;=($S54:$W54 INDIRECT("CPFA50"&amp;G25)-12)),VLOOKUP(G25,$X$53:$Y$57,2),MAX(IF((H25-$B$20)&lt;$S54:$W54,$S$65:$W$65,0))))))</f>
        <v>0</v>
      </c>
      <c r="J25" s="752"/>
      <c r="K25" s="983"/>
      <c r="L25" s="138" cm="1">
        <f t="array" aca="1" ref="L25" ca="1">$B25*(IF(J25="",0,IF(K25="",VLOOKUP(J25,$X$53:$Y$57,2,TRUE),IF(AND((K25-$B$20)&lt;($S54:$W54 INDIRECT("CPFA50"&amp;J25)+2),(K25-$B$20)&gt;=($S54:$W54 INDIRECT("CPFA50"&amp;J25)-12)),VLOOKUP(J25,$X$53:$Y$57,2),MAX(IF((K25-$B$20)&lt;$S54:$W54,$S$65:$W$65,0))))))</f>
        <v>0</v>
      </c>
      <c r="M25" s="752"/>
      <c r="N25" s="983"/>
      <c r="O25" s="751" cm="1">
        <f t="array" aca="1" ref="O25" ca="1">$B25*(IF(M25="",0,IF(N25="",VLOOKUP(M25,$X$53:$Y$57,2,TRUE),IF(AND((N25-$B$20)&lt;($S54:$W54 INDIRECT("CPFA50"&amp;M25)+2),(N25-$B$20)&gt;=($S54:$W54 INDIRECT("CPFA50"&amp;M25)-12)),VLOOKUP(M25,$X$53:$Y$57,2),MAX(IF((N25-$B$20)&lt;$S54:$W54,$S$65:$W$65,0))))))</f>
        <v>0</v>
      </c>
      <c r="P25" s="807"/>
      <c r="Q25" s="807"/>
      <c r="R25" s="807"/>
      <c r="S25" s="807"/>
      <c r="T25" s="807"/>
      <c r="U25" s="807"/>
      <c r="V25" s="807"/>
    </row>
    <row r="26" spans="1:22" s="126" customFormat="1" ht="15" customHeight="1">
      <c r="A26" s="125"/>
      <c r="B26" s="435">
        <v>3</v>
      </c>
      <c r="C26" s="514">
        <v>35</v>
      </c>
      <c r="D26" s="752"/>
      <c r="E26" s="983"/>
      <c r="F26" s="138" cm="1">
        <f t="array" aca="1" ref="F26" ca="1">$B26*(IF(D26="",0,IF(E26="",VLOOKUP(D26,$X$53:$Y$57,2,TRUE),IF(AND((E26-$B$20)&lt;($S55:$W55 INDIRECT("CPFA50"&amp;D26)+2),(E26-$B$20)&gt;=($S55:$W55 INDIRECT("CPFA50"&amp;D26)-12)),VLOOKUP(D26,$X$53:$Y$57,2),MAX(IF((E26-$B$20)&lt;$S55:$W55,$S$65:$W$65,0))))))</f>
        <v>0</v>
      </c>
      <c r="G26" s="752"/>
      <c r="H26" s="983"/>
      <c r="I26" s="138" cm="1">
        <f t="array" aca="1" ref="I26" ca="1">$B26*(IF(G26="",0,IF(H26="",VLOOKUP(G26,$X$53:$Y$57,2,TRUE),IF(AND((H26-$B$20)&lt;($S55:$W55 INDIRECT("CPFA50"&amp;G26)+2),(H26-$B$20)&gt;=($S55:$W55 INDIRECT("CPFA50"&amp;G26)-12)),VLOOKUP(G26,$X$53:$Y$57,2),MAX(IF((H26-$B$20)&lt;$S55:$W55,$S$65:$W$65,0))))))</f>
        <v>0</v>
      </c>
      <c r="J26" s="752"/>
      <c r="K26" s="983"/>
      <c r="L26" s="138" cm="1">
        <f t="array" aca="1" ref="L26" ca="1">$B26*(IF(J26="",0,IF(K26="",VLOOKUP(J26,$X$53:$Y$57,2,TRUE),IF(AND((K26-$B$20)&lt;($S55:$W55 INDIRECT("CPFA50"&amp;J26)+2),(K26-$B$20)&gt;=($S55:$W55 INDIRECT("CPFA50"&amp;J26)-12)),VLOOKUP(J26,$X$53:$Y$57,2),MAX(IF((K26-$B$20)&lt;$S55:$W55,$S$65:$W$65,0))))))</f>
        <v>0</v>
      </c>
      <c r="M26" s="752"/>
      <c r="N26" s="983"/>
      <c r="O26" s="751" cm="1">
        <f t="array" aca="1" ref="O26" ca="1">$B26*(IF(M26="",0,IF(N26="",VLOOKUP(M26,$X$53:$Y$57,2,TRUE),IF(AND((N26-$B$20)&lt;($S55:$W55 INDIRECT("CPFA50"&amp;M26)+2),(N26-$B$20)&gt;=($S55:$W55 INDIRECT("CPFA50"&amp;M26)-12)),VLOOKUP(M26,$X$53:$Y$57,2),MAX(IF((N26-$B$20)&lt;$S55:$W55,$S$65:$W$65,0))))))</f>
        <v>0</v>
      </c>
      <c r="P26" s="807"/>
      <c r="Q26" s="807"/>
      <c r="R26" s="807"/>
      <c r="S26" s="807"/>
      <c r="T26" s="807"/>
      <c r="U26" s="807"/>
      <c r="V26" s="807"/>
    </row>
    <row r="27" spans="1:22" s="126" customFormat="1" ht="15" customHeight="1">
      <c r="A27" s="125"/>
      <c r="B27" s="435">
        <v>3</v>
      </c>
      <c r="C27" s="514">
        <v>40</v>
      </c>
      <c r="D27" s="752"/>
      <c r="E27" s="983"/>
      <c r="F27" s="138" cm="1">
        <f t="array" aca="1" ref="F27" ca="1">$B27*(IF(D27="",0,IF(E27="",VLOOKUP(D27,$X$53:$Y$57,2,TRUE),IF(AND((E27-$B$20)&lt;($S56:$W56 INDIRECT("CPFA50"&amp;D27)+2),(E27-$B$20)&gt;=($S56:$W56 INDIRECT("CPFA50"&amp;D27)-12)),VLOOKUP(D27,$X$53:$Y$57,2),MAX(IF((E27-$B$20)&lt;$S56:$W56,$S$65:$W$65,0))))))</f>
        <v>0</v>
      </c>
      <c r="G27" s="752"/>
      <c r="H27" s="983"/>
      <c r="I27" s="138" cm="1">
        <f t="array" aca="1" ref="I27" ca="1">$B27*(IF(G27="",0,IF(H27="",VLOOKUP(G27,$X$53:$Y$57,2,TRUE),IF(AND((H27-$B$20)&lt;($S56:$W56 INDIRECT("CPFA50"&amp;G27)+2),(H27-$B$20)&gt;=($S56:$W56 INDIRECT("CPFA50"&amp;G27)-12)),VLOOKUP(G27,$X$53:$Y$57,2),MAX(IF((H27-$B$20)&lt;$S56:$W56,$S$65:$W$65,0))))))</f>
        <v>0</v>
      </c>
      <c r="J27" s="752"/>
      <c r="K27" s="983"/>
      <c r="L27" s="138" cm="1">
        <f t="array" aca="1" ref="L27" ca="1">$B27*(IF(J27="",0,IF(K27="",VLOOKUP(J27,$X$53:$Y$57,2,TRUE),IF(AND((K27-$B$20)&lt;($S56:$W56 INDIRECT("CPFA50"&amp;J27)+2),(K27-$B$20)&gt;=($S56:$W56 INDIRECT("CPFA50"&amp;J27)-12)),VLOOKUP(J27,$X$53:$Y$57,2),MAX(IF((K27-$B$20)&lt;$S56:$W56,$S$65:$W$65,0))))))</f>
        <v>0</v>
      </c>
      <c r="M27" s="752"/>
      <c r="N27" s="983"/>
      <c r="O27" s="751" cm="1">
        <f t="array" aca="1" ref="O27" ca="1">$B27*(IF(M27="",0,IF(N27="",VLOOKUP(M27,$X$53:$Y$57,2,TRUE),IF(AND((N27-$B$20)&lt;($S56:$W56 INDIRECT("CPFA50"&amp;M27)+2),(N27-$B$20)&gt;=($S56:$W56 INDIRECT("CPFA50"&amp;M27)-12)),VLOOKUP(M27,$X$53:$Y$57,2),MAX(IF((N27-$B$20)&lt;$S56:$W56,$S$65:$W$65,0))))))</f>
        <v>0</v>
      </c>
      <c r="P27" s="807"/>
      <c r="Q27" s="807"/>
      <c r="R27" s="807"/>
      <c r="S27" s="807"/>
      <c r="T27" s="807"/>
      <c r="U27" s="807"/>
      <c r="V27" s="807"/>
    </row>
    <row r="28" spans="1:22" s="126" customFormat="1" ht="15" customHeight="1">
      <c r="A28" s="125"/>
      <c r="B28" s="435">
        <v>3</v>
      </c>
      <c r="C28" s="514">
        <v>45</v>
      </c>
      <c r="D28" s="752"/>
      <c r="E28" s="983"/>
      <c r="F28" s="138" cm="1">
        <f t="array" aca="1" ref="F28" ca="1">$B28*(IF(D28="",0,IF(E28="",VLOOKUP(D28,$X$53:$Y$57,2,TRUE),IF(AND((E28-$B$20)&lt;($S57:$W57 INDIRECT("CPFA50"&amp;D28)+2),(E28-$B$20)&gt;=($S57:$W57 INDIRECT("CPFA50"&amp;D28)-12)),VLOOKUP(D28,$X$53:$Y$57,2),MAX(IF((E28-$B$20)&lt;$S57:$W57,$S$65:$W$65,0))))))</f>
        <v>0</v>
      </c>
      <c r="G28" s="752"/>
      <c r="H28" s="983"/>
      <c r="I28" s="138" cm="1">
        <f t="array" aca="1" ref="I28" ca="1">$B28*(IF(G28="",0,IF(H28="",VLOOKUP(G28,$X$53:$Y$57,2,TRUE),IF(AND((H28-$B$20)&lt;($S57:$W57 INDIRECT("CPFA50"&amp;G28)+2),(H28-$B$20)&gt;=($S57:$W57 INDIRECT("CPFA50"&amp;G28)-12)),VLOOKUP(G28,$X$53:$Y$57,2),MAX(IF((H28-$B$20)&lt;$S57:$W57,$S$65:$W$65,0))))))</f>
        <v>0</v>
      </c>
      <c r="J28" s="752"/>
      <c r="K28" s="983"/>
      <c r="L28" s="138" cm="1">
        <f t="array" aca="1" ref="L28" ca="1">$B28*(IF(J28="",0,IF(K28="",VLOOKUP(J28,$X$53:$Y$57,2,TRUE),IF(AND((K28-$B$20)&lt;($S57:$W57 INDIRECT("CPFA50"&amp;J28)+2),(K28-$B$20)&gt;=($S57:$W57 INDIRECT("CPFA50"&amp;J28)-12)),VLOOKUP(J28,$X$53:$Y$57,2),MAX(IF((K28-$B$20)&lt;$S57:$W57,$S$65:$W$65,0))))))</f>
        <v>0</v>
      </c>
      <c r="M28" s="752"/>
      <c r="N28" s="983"/>
      <c r="O28" s="751" cm="1">
        <f t="array" aca="1" ref="O28" ca="1">$B28*(IF(M28="",0,IF(N28="",VLOOKUP(M28,$X$53:$Y$57,2,TRUE),IF(AND((N28-$B$20)&lt;($S57:$W57 INDIRECT("CPFA50"&amp;M28)+2),(N28-$B$20)&gt;=($S57:$W57 INDIRECT("CPFA50"&amp;M28)-12)),VLOOKUP(M28,$X$53:$Y$57,2),MAX(IF((N28-$B$20)&lt;$S57:$W57,$S$65:$W$65,0))))))</f>
        <v>0</v>
      </c>
      <c r="P28" s="807"/>
      <c r="Q28" s="807"/>
      <c r="R28" s="807"/>
      <c r="S28" s="807"/>
      <c r="T28" s="807"/>
      <c r="U28" s="807"/>
      <c r="V28" s="807"/>
    </row>
    <row r="29" spans="1:22" s="126" customFormat="1" ht="15" customHeight="1">
      <c r="A29" s="125"/>
      <c r="B29" s="435">
        <v>2</v>
      </c>
      <c r="C29" s="514">
        <v>50</v>
      </c>
      <c r="D29" s="752"/>
      <c r="E29" s="983"/>
      <c r="F29" s="138" cm="1">
        <f t="array" aca="1" ref="F29" ca="1">$B29*(IF(D29="",0,IF(E29="",VLOOKUP(D29,$X$53:$Y$57,2,TRUE),IF(AND((E29-$B$20)&lt;($S58:$W58 INDIRECT("CPFA50"&amp;D29)+2),(E29-$B$20)&gt;=($S58:$W58 INDIRECT("CPFA50"&amp;D29)-12)),VLOOKUP(D29,$X$53:$Y$57,2),MAX(IF((E29-$B$20)&lt;$S58:$W58,$S$65:$W$65,0))))))</f>
        <v>0</v>
      </c>
      <c r="G29" s="752"/>
      <c r="H29" s="983"/>
      <c r="I29" s="138" cm="1">
        <f t="array" aca="1" ref="I29" ca="1">$B29*(IF(G29="",0,IF(H29="",VLOOKUP(G29,$X$53:$Y$57,2,TRUE),IF(AND((H29-$B$20)&lt;($S58:$W58 INDIRECT("CPFA50"&amp;G29)+2),(H29-$B$20)&gt;=($S58:$W58 INDIRECT("CPFA50"&amp;G29)-12)),VLOOKUP(G29,$X$53:$Y$57,2),MAX(IF((H29-$B$20)&lt;$S58:$W58,$S$65:$W$65,0))))))</f>
        <v>0</v>
      </c>
      <c r="J29" s="752"/>
      <c r="K29" s="983"/>
      <c r="L29" s="138" cm="1">
        <f t="array" aca="1" ref="L29" ca="1">$B29*(IF(J29="",0,IF(K29="",VLOOKUP(J29,$X$53:$Y$57,2,TRUE),IF(AND((K29-$B$20)&lt;($S58:$W58 INDIRECT("CPFA50"&amp;J29)+2),(K29-$B$20)&gt;=($S58:$W58 INDIRECT("CPFA50"&amp;J29)-12)),VLOOKUP(J29,$X$53:$Y$57,2),MAX(IF((K29-$B$20)&lt;$S58:$W58,$S$65:$W$65,0))))))</f>
        <v>0</v>
      </c>
      <c r="M29" s="752"/>
      <c r="N29" s="983"/>
      <c r="O29" s="751" cm="1">
        <f t="array" aca="1" ref="O29" ca="1">$B29*(IF(M29="",0,IF(N29="",VLOOKUP(M29,$X$53:$Y$57,2,TRUE),IF(AND((N29-$B$20)&lt;($S58:$W58 INDIRECT("CPFA50"&amp;M29)+2),(N29-$B$20)&gt;=($S58:$W58 INDIRECT("CPFA50"&amp;M29)-12)),VLOOKUP(M29,$X$53:$Y$57,2),MAX(IF((N29-$B$20)&lt;$S58:$W58,$S$65:$W$65,0))))))</f>
        <v>0</v>
      </c>
      <c r="P29" s="807"/>
      <c r="Q29" s="807"/>
      <c r="R29" s="807"/>
      <c r="S29" s="807"/>
      <c r="T29" s="807"/>
      <c r="U29" s="807"/>
      <c r="V29" s="807"/>
    </row>
    <row r="30" spans="1:22" s="126" customFormat="1" ht="15" customHeight="1">
      <c r="A30" s="125"/>
      <c r="B30" s="435">
        <v>2</v>
      </c>
      <c r="C30" s="514">
        <v>55</v>
      </c>
      <c r="D30" s="752"/>
      <c r="E30" s="983"/>
      <c r="F30" s="138" cm="1">
        <f t="array" aca="1" ref="F30" ca="1">$B30*(IF(D30="",0,IF(E30="",VLOOKUP(D30,$X$53:$Y$57,2,TRUE),IF(AND((E30-$B$20)&lt;($S59:$W59 INDIRECT("CPFA50"&amp;D30)+2),(E30-$B$20)&gt;=($S59:$W59 INDIRECT("CPFA50"&amp;D30)-12)),VLOOKUP(D30,$X$53:$Y$57,2),MAX(IF((E30-$B$20)&lt;$S59:$W59,$S$65:$W$65,0))))))</f>
        <v>0</v>
      </c>
      <c r="G30" s="752"/>
      <c r="H30" s="983"/>
      <c r="I30" s="138" cm="1">
        <f t="array" aca="1" ref="I30" ca="1">$B30*(IF(G30="",0,IF(H30="",VLOOKUP(G30,$X$53:$Y$57,2,TRUE),IF(AND((H30-$B$20)&lt;($S59:$W59 INDIRECT("CPFA50"&amp;G30)+2),(H30-$B$20)&gt;=($S59:$W59 INDIRECT("CPFA50"&amp;G30)-12)),VLOOKUP(G30,$X$53:$Y$57,2),MAX(IF((H30-$B$20)&lt;$S59:$W59,$S$65:$W$65,0))))))</f>
        <v>0</v>
      </c>
      <c r="J30" s="752"/>
      <c r="K30" s="983"/>
      <c r="L30" s="138" cm="1">
        <f t="array" aca="1" ref="L30" ca="1">$B30*(IF(J30="",0,IF(K30="",VLOOKUP(J30,$X$53:$Y$57,2,TRUE),IF(AND((K30-$B$20)&lt;($S59:$W59 INDIRECT("CPFA50"&amp;J30)+2),(K30-$B$20)&gt;=($S59:$W59 INDIRECT("CPFA50"&amp;J30)-12)),VLOOKUP(J30,$X$53:$Y$57,2),MAX(IF((K30-$B$20)&lt;$S59:$W59,$S$65:$W$65,0))))))</f>
        <v>0</v>
      </c>
      <c r="M30" s="752"/>
      <c r="N30" s="983"/>
      <c r="O30" s="751" cm="1">
        <f t="array" aca="1" ref="O30" ca="1">$B30*(IF(M30="",0,IF(N30="",VLOOKUP(M30,$X$53:$Y$57,2,TRUE),IF(AND((N30-$B$20)&lt;($S59:$W59 INDIRECT("CPFA50"&amp;M30)+2),(N30-$B$20)&gt;=($S59:$W59 INDIRECT("CPFA50"&amp;M30)-12)),VLOOKUP(M30,$X$53:$Y$57,2),MAX(IF((N30-$B$20)&lt;$S59:$W59,$S$65:$W$65,0))))))</f>
        <v>0</v>
      </c>
      <c r="P30" s="807"/>
      <c r="Q30" s="807"/>
      <c r="R30" s="807"/>
      <c r="S30" s="807"/>
      <c r="T30" s="807"/>
      <c r="U30" s="807"/>
      <c r="V30" s="807"/>
    </row>
    <row r="31" spans="1:22" s="126" customFormat="1" ht="15" customHeight="1" thickBot="1">
      <c r="A31" s="125"/>
      <c r="B31" s="435">
        <v>1</v>
      </c>
      <c r="C31" s="514">
        <v>60</v>
      </c>
      <c r="D31" s="752"/>
      <c r="E31" s="983"/>
      <c r="F31" s="138" cm="1">
        <f t="array" aca="1" ref="F31" ca="1">$B31*(IF(D31="",0,IF(E31="",VLOOKUP(D31,$X$53:$Y$57,2,TRUE),IF(AND((E31-$B$20)&lt;($S60:$W60 INDIRECT("CPFA50"&amp;D31)+2),(E31-$B$20)&gt;=($S60:$W60 INDIRECT("CPFA50"&amp;D31)-12)),VLOOKUP(D31,$X$53:$Y$57,2),MAX(IF((E31-$B$20)&lt;$S60:$W60,$S$65:$W$65,0))))))</f>
        <v>0</v>
      </c>
      <c r="G31" s="752"/>
      <c r="H31" s="983"/>
      <c r="I31" s="138" cm="1">
        <f t="array" aca="1" ref="I31" ca="1">$B31*(IF(G31="",0,IF(H31="",VLOOKUP(G31,$X$53:$Y$57,2,TRUE),IF(AND((H31-$B$20)&lt;($S60:$W60 INDIRECT("CPFA50"&amp;G31)+2),(H31-$B$20)&gt;=($S60:$W60 INDIRECT("CPFA50"&amp;G31)-12)),VLOOKUP(G31,$X$53:$Y$57,2),MAX(IF((H31-$B$20)&lt;$S60:$W60,$S$65:$W$65,0))))))</f>
        <v>0</v>
      </c>
      <c r="J31" s="752"/>
      <c r="K31" s="983"/>
      <c r="L31" s="138" cm="1">
        <f t="array" aca="1" ref="L31" ca="1">$B31*(IF(J31="",0,IF(K31="",VLOOKUP(J31,$X$53:$Y$57,2,TRUE),IF(AND((K31-$B$20)&lt;($S60:$W60 INDIRECT("CPFA50"&amp;J31)+2),(K31-$B$20)&gt;=($S60:$W60 INDIRECT("CPFA50"&amp;J31)-12)),VLOOKUP(J31,$X$53:$Y$57,2),MAX(IF((K31-$B$20)&lt;$S60:$W60,$S$65:$W$65,0))))))</f>
        <v>0</v>
      </c>
      <c r="M31" s="752"/>
      <c r="N31" s="983"/>
      <c r="O31" s="751" cm="1">
        <f t="array" aca="1" ref="O31" ca="1">$B31*(IF(M31="",0,IF(N31="",VLOOKUP(M31,$X$53:$Y$57,2,TRUE),IF(AND((N31-$B$20)&lt;($S60:$W60 INDIRECT("CPFA50"&amp;M31)+2),(N31-$B$20)&gt;=($S60:$W60 INDIRECT("CPFA50"&amp;M31)-12)),VLOOKUP(M31,$X$53:$Y$57,2),MAX(IF((N31-$B$20)&lt;$S60:$W60,$S$65:$W$65,0))))))</f>
        <v>0</v>
      </c>
      <c r="P31" s="807"/>
      <c r="Q31" s="807"/>
      <c r="R31" s="807"/>
      <c r="S31" s="807"/>
      <c r="T31" s="807"/>
      <c r="U31" s="807"/>
      <c r="V31" s="807"/>
    </row>
    <row r="32" spans="1:22" s="126" customFormat="1" ht="15" customHeight="1" thickBot="1">
      <c r="A32" s="125"/>
      <c r="B32" s="2007" t="s">
        <v>2595</v>
      </c>
      <c r="C32" s="2019"/>
      <c r="D32" s="2009">
        <f ca="1">SUM(F21:F31)</f>
        <v>0</v>
      </c>
      <c r="E32" s="1972"/>
      <c r="F32" s="1973"/>
      <c r="G32" s="1971">
        <f ca="1">SUM(I21:I31)</f>
        <v>0</v>
      </c>
      <c r="H32" s="1972"/>
      <c r="I32" s="1973"/>
      <c r="J32" s="1971">
        <f ca="1">SUM(L21:L31)</f>
        <v>0</v>
      </c>
      <c r="K32" s="1972"/>
      <c r="L32" s="1973"/>
      <c r="M32" s="1971">
        <f ca="1">SUM(O21:O31)</f>
        <v>0</v>
      </c>
      <c r="N32" s="1972"/>
      <c r="O32" s="1974"/>
      <c r="P32" s="807"/>
      <c r="Q32" s="807"/>
      <c r="R32" s="807"/>
      <c r="S32" s="807"/>
      <c r="T32" s="807"/>
      <c r="U32" s="807"/>
      <c r="V32" s="807"/>
    </row>
    <row r="33" spans="1:22" s="126" customFormat="1" ht="15" customHeight="1">
      <c r="A33" s="125"/>
      <c r="B33" s="130"/>
      <c r="C33" s="363"/>
      <c r="D33" s="1981" t="s">
        <v>633</v>
      </c>
      <c r="E33" s="1982"/>
      <c r="F33" s="1982"/>
      <c r="G33" s="1982"/>
      <c r="H33" s="1982"/>
      <c r="I33" s="1982"/>
      <c r="J33" s="1982"/>
      <c r="K33" s="1982"/>
      <c r="L33" s="1982"/>
      <c r="M33" s="1982"/>
      <c r="N33" s="1982"/>
      <c r="O33" s="1983"/>
      <c r="P33" s="807"/>
      <c r="Q33" s="807"/>
      <c r="R33" s="807"/>
      <c r="S33" s="807"/>
      <c r="T33" s="807"/>
      <c r="U33" s="807"/>
      <c r="V33" s="807"/>
    </row>
    <row r="34" spans="1:22" s="126" customFormat="1" ht="15" customHeight="1">
      <c r="A34" s="125"/>
      <c r="B34" s="128"/>
      <c r="C34" s="364"/>
      <c r="D34" s="1984" t="s">
        <v>626</v>
      </c>
      <c r="E34" s="1985"/>
      <c r="F34" s="1986"/>
      <c r="G34" s="1987" t="s">
        <v>627</v>
      </c>
      <c r="H34" s="1985"/>
      <c r="I34" s="1986"/>
      <c r="J34" s="1987" t="s">
        <v>628</v>
      </c>
      <c r="K34" s="1985"/>
      <c r="L34" s="1986"/>
      <c r="M34" s="1985" t="s">
        <v>2608</v>
      </c>
      <c r="N34" s="1985"/>
      <c r="O34" s="1988"/>
      <c r="P34" s="807"/>
      <c r="Q34" s="807"/>
      <c r="R34" s="807"/>
      <c r="S34" s="807"/>
      <c r="T34" s="807"/>
      <c r="U34" s="807"/>
      <c r="V34" s="807"/>
    </row>
    <row r="35" spans="1:22" s="126" customFormat="1" ht="15" customHeight="1">
      <c r="A35" s="125"/>
      <c r="B35" s="368"/>
      <c r="C35" s="768"/>
      <c r="D35" s="756" t="s">
        <v>2606</v>
      </c>
      <c r="E35" s="755" t="s">
        <v>623</v>
      </c>
      <c r="F35" s="479" t="s">
        <v>40</v>
      </c>
      <c r="G35" s="758" t="s">
        <v>2606</v>
      </c>
      <c r="H35" s="755" t="s">
        <v>623</v>
      </c>
      <c r="I35" s="479" t="s">
        <v>40</v>
      </c>
      <c r="J35" s="758" t="s">
        <v>2606</v>
      </c>
      <c r="K35" s="755" t="s">
        <v>623</v>
      </c>
      <c r="L35" s="479" t="s">
        <v>40</v>
      </c>
      <c r="M35" s="755" t="s">
        <v>2606</v>
      </c>
      <c r="N35" s="755" t="s">
        <v>623</v>
      </c>
      <c r="O35" s="754" t="s">
        <v>40</v>
      </c>
      <c r="P35" s="807"/>
      <c r="Q35" s="807"/>
      <c r="R35" s="807"/>
      <c r="S35" s="807"/>
      <c r="T35" s="807"/>
      <c r="U35" s="807"/>
      <c r="V35" s="807"/>
    </row>
    <row r="36" spans="1:22" s="126" customFormat="1" ht="15" customHeight="1">
      <c r="A36" s="125"/>
      <c r="B36" s="435">
        <v>1</v>
      </c>
      <c r="C36" s="514">
        <v>10</v>
      </c>
      <c r="D36" s="752"/>
      <c r="E36" s="983"/>
      <c r="F36" s="138" cm="1">
        <f t="array" aca="1" ref="F36" ca="1">$B36*(IF(D36="",0,IF(E36="",VLOOKUP(D36,$X$53:$Y$57,2,TRUE),IF(AND((E36-$B$20)&lt;($S50:$W50 INDIRECT("CPFA50"&amp;D36)+2),(E36-$B$20)&gt;=($S50:$W50 INDIRECT("CPFA50"&amp;D36)-12)),VLOOKUP(D36,$X$53:$Y$57,2),MAX(IF((E36-$B$20)&lt;$S50:$W50,$S$65:$W$65,0))))))</f>
        <v>0</v>
      </c>
      <c r="G36" s="752"/>
      <c r="H36" s="983"/>
      <c r="I36" s="138" cm="1">
        <f t="array" aca="1" ref="I36" ca="1">$B36*(IF(G36="",0,IF(H36="",VLOOKUP(G36,$X$53:$Y$57,2,TRUE),IF(AND((H36-$B$20)&lt;($S50:$W50 INDIRECT("CPFA50"&amp;G36)+2),(H36-$B$20)&gt;=($S50:$W50 INDIRECT("CPFA50"&amp;G36)-12)),VLOOKUP(G36,$X$53:$Y$57,2),MAX(IF((H36-$B$20)&lt;$S50:$W50,$S$65:$W$65,0))))))</f>
        <v>0</v>
      </c>
      <c r="J36" s="752"/>
      <c r="K36" s="983"/>
      <c r="L36" s="138" cm="1">
        <f t="array" aca="1" ref="L36" ca="1">$B36*(IF(J36="",0,IF(K36="",VLOOKUP(J36,$X$53:$Y$57,2,TRUE),IF(AND((K36-$B$20)&lt;($S50:$W50 INDIRECT("CPFA50"&amp;J36)+2),(K36-$B$20)&gt;=($S50:$W50 INDIRECT("CPFA50"&amp;J36)-12)),VLOOKUP(J36,$X$53:$Y$57,2),MAX(IF((K36-$B$20)&lt;$S50:$W50,$S$65:$W$65,0))))))</f>
        <v>0</v>
      </c>
      <c r="M36" s="752"/>
      <c r="N36" s="983"/>
      <c r="O36" s="751" cm="1">
        <f t="array" aca="1" ref="O36" ca="1">$B36*(IF(M36="",0,IF(N36="",VLOOKUP(M36,$X$53:$Y$57,2,TRUE),IF(AND((N36-$B$20)&lt;($S50:$W50 INDIRECT("CPFA50"&amp;M36)+2),(N36-$B$20)&gt;=($S50:$W50 INDIRECT("CPFA50"&amp;M36)-12)),VLOOKUP(M36,$X$53:$Y$57,2),MAX(IF((N36-$B$20)&lt;$S50:$W50,$S$65:$W$65,0))))))</f>
        <v>0</v>
      </c>
      <c r="P36" s="808"/>
      <c r="Q36" s="132"/>
      <c r="R36" s="807"/>
      <c r="S36" s="807"/>
      <c r="T36" s="807"/>
      <c r="U36" s="807"/>
      <c r="V36" s="807"/>
    </row>
    <row r="37" spans="1:22" s="126" customFormat="1" ht="15" customHeight="1">
      <c r="A37" s="125"/>
      <c r="B37" s="435">
        <v>1</v>
      </c>
      <c r="C37" s="514">
        <v>15</v>
      </c>
      <c r="D37" s="752"/>
      <c r="E37" s="983"/>
      <c r="F37" s="138" cm="1">
        <f t="array" aca="1" ref="F37" ca="1">$B37*(IF(D37="",0,IF(E37="",VLOOKUP(D37,$X$53:$Y$57,2,TRUE),IF(AND((E37-$B$20)&lt;($S51:$W51 INDIRECT("CPFA50"&amp;D37)+2),(E37-$B$20)&gt;=($S51:$W51 INDIRECT("CPFA50"&amp;D37)-12)),VLOOKUP(D37,$X$53:$Y$57,2),MAX(IF((E37-$B$20)&lt;$S51:$W51,$S$65:$W$65,0))))))</f>
        <v>0</v>
      </c>
      <c r="G37" s="752"/>
      <c r="H37" s="983"/>
      <c r="I37" s="138" cm="1">
        <f t="array" aca="1" ref="I37" ca="1">$B37*(IF(G37="",0,IF(H37="",VLOOKUP(G37,$X$53:$Y$57,2,TRUE),IF(AND((H37-$B$20)&lt;($S51:$W51 INDIRECT("CPFA50"&amp;G37)+2),(H37-$B$20)&gt;=($S51:$W51 INDIRECT("CPFA50"&amp;G37)-12)),VLOOKUP(G37,$X$53:$Y$57,2),MAX(IF((H37-$B$20)&lt;$S51:$W51,$S$65:$W$65,0))))))</f>
        <v>0</v>
      </c>
      <c r="J37" s="752"/>
      <c r="K37" s="983"/>
      <c r="L37" s="138" cm="1">
        <f t="array" aca="1" ref="L37" ca="1">$B37*(IF(J37="",0,IF(K37="",VLOOKUP(J37,$X$53:$Y$57,2,TRUE),IF(AND((K37-$B$20)&lt;($S51:$W51 INDIRECT("CPFA50"&amp;J37)+2),(K37-$B$20)&gt;=($S51:$W51 INDIRECT("CPFA50"&amp;J37)-12)),VLOOKUP(J37,$X$53:$Y$57,2),MAX(IF((K37-$B$20)&lt;$S51:$W51,$S$65:$W$65,0))))))</f>
        <v>0</v>
      </c>
      <c r="M37" s="752"/>
      <c r="N37" s="983"/>
      <c r="O37" s="751" cm="1">
        <f t="array" aca="1" ref="O37" ca="1">$B37*(IF(M37="",0,IF(N37="",VLOOKUP(M37,$X$53:$Y$57,2,TRUE),IF(AND((N37-$B$20)&lt;($S51:$W51 INDIRECT("CPFA50"&amp;M37)+2),(N37-$B$20)&gt;=($S51:$W51 INDIRECT("CPFA50"&amp;M37)-12)),VLOOKUP(M37,$X$53:$Y$57,2),MAX(IF((N37-$B$20)&lt;$S51:$W51,$S$65:$W$65,0))))))</f>
        <v>0</v>
      </c>
      <c r="P37" s="808"/>
      <c r="Q37" s="132"/>
      <c r="R37" s="807"/>
      <c r="S37" s="807"/>
      <c r="T37" s="807"/>
      <c r="U37" s="807"/>
      <c r="V37" s="807"/>
    </row>
    <row r="38" spans="1:22" s="126" customFormat="1" ht="15" customHeight="1">
      <c r="A38" s="125"/>
      <c r="B38" s="435">
        <v>1</v>
      </c>
      <c r="C38" s="514">
        <v>20</v>
      </c>
      <c r="D38" s="752"/>
      <c r="E38" s="983"/>
      <c r="F38" s="138" cm="1">
        <f t="array" aca="1" ref="F38" ca="1">$B38*(IF(D38="",0,IF(E38="",VLOOKUP(D38,$X$53:$Y$57,2,TRUE),IF(AND((E38-$B$20)&lt;($S52:$W52 INDIRECT("CPFA50"&amp;D38)+2),(E38-$B$20)&gt;=($S52:$W52 INDIRECT("CPFA50"&amp;D38)-12)),VLOOKUP(D38,$X$53:$Y$57,2),MAX(IF((E38-$B$20)&lt;$S52:$W52,$S$65:$W$65,0))))))</f>
        <v>0</v>
      </c>
      <c r="G38" s="752"/>
      <c r="H38" s="983"/>
      <c r="I38" s="138" cm="1">
        <f t="array" aca="1" ref="I38" ca="1">$B38*(IF(G38="",0,IF(H38="",VLOOKUP(G38,$X$53:$Y$57,2,TRUE),IF(AND((H38-$B$20)&lt;($S52:$W52 INDIRECT("CPFA50"&amp;G38)+2),(H38-$B$20)&gt;=($S52:$W52 INDIRECT("CPFA50"&amp;G38)-12)),VLOOKUP(G38,$X$53:$Y$57,2),MAX(IF((H38-$B$20)&lt;$S52:$W52,$S$65:$W$65,0))))))</f>
        <v>0</v>
      </c>
      <c r="J38" s="752"/>
      <c r="K38" s="983"/>
      <c r="L38" s="138" cm="1">
        <f t="array" aca="1" ref="L38" ca="1">$B38*(IF(J38="",0,IF(K38="",VLOOKUP(J38,$X$53:$Y$57,2,TRUE),IF(AND((K38-$B$20)&lt;($S52:$W52 INDIRECT("CPFA50"&amp;J38)+2),(K38-$B$20)&gt;=($S52:$W52 INDIRECT("CPFA50"&amp;J38)-12)),VLOOKUP(J38,$X$53:$Y$57,2),MAX(IF((K38-$B$20)&lt;$S52:$W52,$S$65:$W$65,0))))))</f>
        <v>0</v>
      </c>
      <c r="M38" s="752"/>
      <c r="N38" s="983"/>
      <c r="O38" s="751" cm="1">
        <f t="array" aca="1" ref="O38" ca="1">$B38*(IF(M38="",0,IF(N38="",VLOOKUP(M38,$X$53:$Y$57,2,TRUE),IF(AND((N38-$B$20)&lt;($S52:$W52 INDIRECT("CPFA50"&amp;M38)+2),(N38-$B$20)&gt;=($S52:$W52 INDIRECT("CPFA50"&amp;M38)-12)),VLOOKUP(M38,$X$53:$Y$57,2),MAX(IF((N38-$B$20)&lt;$S52:$W52,$S$65:$W$65,0))))))</f>
        <v>0</v>
      </c>
    </row>
    <row r="39" spans="1:22" s="126" customFormat="1" ht="15" customHeight="1">
      <c r="A39" s="125"/>
      <c r="B39" s="435">
        <v>1</v>
      </c>
      <c r="C39" s="514">
        <v>25</v>
      </c>
      <c r="D39" s="752"/>
      <c r="E39" s="983"/>
      <c r="F39" s="138" cm="1">
        <f t="array" aca="1" ref="F39" ca="1">$B39*(IF(D39="",0,IF(E39="",VLOOKUP(D39,$X$53:$Y$57,2,TRUE),IF(AND((E39-$B$20)&lt;($S53:$W53 INDIRECT("CPFA50"&amp;D39)+2),(E39-$B$20)&gt;=($S53:$W53 INDIRECT("CPFA50"&amp;D39)-12)),VLOOKUP(D39,$X$53:$Y$57,2),MAX(IF((E39-$B$20)&lt;$S53:$W53,$S$65:$W$65,0))))))</f>
        <v>0</v>
      </c>
      <c r="G39" s="752"/>
      <c r="H39" s="983"/>
      <c r="I39" s="138" cm="1">
        <f t="array" aca="1" ref="I39" ca="1">$B39*(IF(G39="",0,IF(H39="",VLOOKUP(G39,$X$53:$Y$57,2,TRUE),IF(AND((H39-$B$20)&lt;($S53:$W53 INDIRECT("CPFA50"&amp;G39)+2),(H39-$B$20)&gt;=($S53:$W53 INDIRECT("CPFA50"&amp;G39)-12)),VLOOKUP(G39,$X$53:$Y$57,2),MAX(IF((H39-$B$20)&lt;$S53:$W53,$S$65:$W$65,0))))))</f>
        <v>0</v>
      </c>
      <c r="J39" s="752"/>
      <c r="K39" s="983"/>
      <c r="L39" s="138" cm="1">
        <f t="array" aca="1" ref="L39" ca="1">$B39*(IF(J39="",0,IF(K39="",VLOOKUP(J39,$X$53:$Y$57,2,TRUE),IF(AND((K39-$B$20)&lt;($S53:$W53 INDIRECT("CPFA50"&amp;J39)+2),(K39-$B$20)&gt;=($S53:$W53 INDIRECT("CPFA50"&amp;J39)-12)),VLOOKUP(J39,$X$53:$Y$57,2),MAX(IF((K39-$B$20)&lt;$S53:$W53,$S$65:$W$65,0))))))</f>
        <v>0</v>
      </c>
      <c r="M39" s="752"/>
      <c r="N39" s="983"/>
      <c r="O39" s="751" cm="1">
        <f t="array" aca="1" ref="O39" ca="1">$B39*(IF(M39="",0,IF(N39="",VLOOKUP(M39,$X$53:$Y$57,2,TRUE),IF(AND((N39-$B$20)&lt;($S53:$W53 INDIRECT("CPFA50"&amp;M39)+2),(N39-$B$20)&gt;=($S53:$W53 INDIRECT("CPFA50"&amp;M39)-12)),VLOOKUP(M39,$X$53:$Y$57,2),MAX(IF((N39-$B$20)&lt;$S53:$W53,$S$65:$W$65,0))))))</f>
        <v>0</v>
      </c>
    </row>
    <row r="40" spans="1:22" s="126" customFormat="1" ht="15" customHeight="1">
      <c r="A40" s="125"/>
      <c r="B40" s="435">
        <v>1</v>
      </c>
      <c r="C40" s="514">
        <v>30</v>
      </c>
      <c r="D40" s="752"/>
      <c r="E40" s="983"/>
      <c r="F40" s="138" cm="1">
        <f t="array" aca="1" ref="F40" ca="1">$B40*(IF(D40="",0,IF(E40="",VLOOKUP(D40,$X$53:$Y$57,2,TRUE),IF(AND((E40-$B$20)&lt;($S54:$W54 INDIRECT("CPFA50"&amp;D40)+2),(E40-$B$20)&gt;=($S54:$W54 INDIRECT("CPFA50"&amp;D40)-12)),VLOOKUP(D40,$X$53:$Y$57,2),MAX(IF((E40-$B$20)&lt;$S54:$W54,$S$65:$W$65,0))))))</f>
        <v>0</v>
      </c>
      <c r="G40" s="752"/>
      <c r="H40" s="983"/>
      <c r="I40" s="138" cm="1">
        <f t="array" aca="1" ref="I40" ca="1">$B40*(IF(G40="",0,IF(H40="",VLOOKUP(G40,$X$53:$Y$57,2,TRUE),IF(AND((H40-$B$20)&lt;($S54:$W54 INDIRECT("CPFA50"&amp;G40)+2),(H40-$B$20)&gt;=($S54:$W54 INDIRECT("CPFA50"&amp;G40)-12)),VLOOKUP(G40,$X$53:$Y$57,2),MAX(IF((H40-$B$20)&lt;$S54:$W54,$S$65:$W$65,0))))))</f>
        <v>0</v>
      </c>
      <c r="J40" s="752"/>
      <c r="K40" s="983"/>
      <c r="L40" s="138" cm="1">
        <f t="array" aca="1" ref="L40" ca="1">$B40*(IF(J40="",0,IF(K40="",VLOOKUP(J40,$X$53:$Y$57,2,TRUE),IF(AND((K40-$B$20)&lt;($S54:$W54 INDIRECT("CPFA50"&amp;J40)+2),(K40-$B$20)&gt;=($S54:$W54 INDIRECT("CPFA50"&amp;J40)-12)),VLOOKUP(J40,$X$53:$Y$57,2),MAX(IF((K40-$B$20)&lt;$S54:$W54,$S$65:$W$65,0))))))</f>
        <v>0</v>
      </c>
      <c r="M40" s="752"/>
      <c r="N40" s="983"/>
      <c r="O40" s="751" cm="1">
        <f t="array" aca="1" ref="O40" ca="1">$B40*(IF(M40="",0,IF(N40="",VLOOKUP(M40,$X$53:$Y$57,2,TRUE),IF(AND((N40-$B$20)&lt;($S54:$W54 INDIRECT("CPFA50"&amp;M40)+2),(N40-$B$20)&gt;=($S54:$W54 INDIRECT("CPFA50"&amp;M40)-12)),VLOOKUP(M40,$X$53:$Y$57,2),MAX(IF((N40-$B$20)&lt;$S54:$W54,$S$65:$W$65,0))))))</f>
        <v>0</v>
      </c>
    </row>
    <row r="41" spans="1:22" s="126" customFormat="1" ht="15" customHeight="1">
      <c r="A41" s="125"/>
      <c r="B41" s="435">
        <v>2</v>
      </c>
      <c r="C41" s="514">
        <v>35</v>
      </c>
      <c r="D41" s="752"/>
      <c r="E41" s="983"/>
      <c r="F41" s="138" cm="1">
        <f t="array" aca="1" ref="F41" ca="1">$B41*(IF(D41="",0,IF(E41="",VLOOKUP(D41,$X$53:$Y$57,2,TRUE),IF(AND((E41-$B$20)&lt;($S55:$W55 INDIRECT("CPFA50"&amp;D41)+2),(E41-$B$20)&gt;=($S55:$W55 INDIRECT("CPFA50"&amp;D41)-12)),VLOOKUP(D41,$X$53:$Y$57,2),MAX(IF((E41-$B$20)&lt;$S55:$W55,$S$65:$W$65,0))))))</f>
        <v>0</v>
      </c>
      <c r="G41" s="752"/>
      <c r="H41" s="983"/>
      <c r="I41" s="138" cm="1">
        <f t="array" aca="1" ref="I41" ca="1">$B41*(IF(G41="",0,IF(H41="",VLOOKUP(G41,$X$53:$Y$57,2,TRUE),IF(AND((H41-$B$20)&lt;($S55:$W55 INDIRECT("CPFA50"&amp;G41)+2),(H41-$B$20)&gt;=($S55:$W55 INDIRECT("CPFA50"&amp;G41)-12)),VLOOKUP(G41,$X$53:$Y$57,2),MAX(IF((H41-$B$20)&lt;$S55:$W55,$S$65:$W$65,0))))))</f>
        <v>0</v>
      </c>
      <c r="J41" s="752"/>
      <c r="K41" s="983"/>
      <c r="L41" s="138" cm="1">
        <f t="array" aca="1" ref="L41" ca="1">$B41*(IF(J41="",0,IF(K41="",VLOOKUP(J41,$X$53:$Y$57,2,TRUE),IF(AND((K41-$B$20)&lt;($S55:$W55 INDIRECT("CPFA50"&amp;J41)+2),(K41-$B$20)&gt;=($S55:$W55 INDIRECT("CPFA50"&amp;J41)-12)),VLOOKUP(J41,$X$53:$Y$57,2),MAX(IF((K41-$B$20)&lt;$S55:$W55,$S$65:$W$65,0))))))</f>
        <v>0</v>
      </c>
      <c r="M41" s="752"/>
      <c r="N41" s="983"/>
      <c r="O41" s="751" cm="1">
        <f t="array" aca="1" ref="O41" ca="1">$B41*(IF(M41="",0,IF(N41="",VLOOKUP(M41,$X$53:$Y$57,2,TRUE),IF(AND((N41-$B$20)&lt;($S55:$W55 INDIRECT("CPFA50"&amp;M41)+2),(N41-$B$20)&gt;=($S55:$W55 INDIRECT("CPFA50"&amp;M41)-12)),VLOOKUP(M41,$X$53:$Y$57,2),MAX(IF((N41-$B$20)&lt;$S55:$W55,$S$65:$W$65,0))))))</f>
        <v>0</v>
      </c>
    </row>
    <row r="42" spans="1:22" s="126" customFormat="1" ht="15" customHeight="1">
      <c r="A42" s="125"/>
      <c r="B42" s="435">
        <v>2</v>
      </c>
      <c r="C42" s="514">
        <v>40</v>
      </c>
      <c r="D42" s="752"/>
      <c r="E42" s="983"/>
      <c r="F42" s="138" cm="1">
        <f t="array" aca="1" ref="F42" ca="1">$B42*(IF(D42="",0,IF(E42="",VLOOKUP(D42,$X$53:$Y$57,2,TRUE),IF(AND((E42-$B$20)&lt;($S56:$W56 INDIRECT("CPFA50"&amp;D42)+2),(E42-$B$20)&gt;=($S56:$W56 INDIRECT("CPFA50"&amp;D42)-12)),VLOOKUP(D42,$X$53:$Y$57,2),MAX(IF((E42-$B$20)&lt;$S56:$W56,$S$65:$W$65,0))))))</f>
        <v>0</v>
      </c>
      <c r="G42" s="752"/>
      <c r="H42" s="983"/>
      <c r="I42" s="138" cm="1">
        <f t="array" aca="1" ref="I42" ca="1">$B42*(IF(G42="",0,IF(H42="",VLOOKUP(G42,$X$53:$Y$57,2,TRUE),IF(AND((H42-$B$20)&lt;($S56:$W56 INDIRECT("CPFA50"&amp;G42)+2),(H42-$B$20)&gt;=($S56:$W56 INDIRECT("CPFA50"&amp;G42)-12)),VLOOKUP(G42,$X$53:$Y$57,2),MAX(IF((H42-$B$20)&lt;$S56:$W56,$S$65:$W$65,0))))))</f>
        <v>0</v>
      </c>
      <c r="J42" s="752"/>
      <c r="K42" s="983"/>
      <c r="L42" s="138" cm="1">
        <f t="array" aca="1" ref="L42" ca="1">$B42*(IF(J42="",0,IF(K42="",VLOOKUP(J42,$X$53:$Y$57,2,TRUE),IF(AND((K42-$B$20)&lt;($S56:$W56 INDIRECT("CPFA50"&amp;J42)+2),(K42-$B$20)&gt;=($S56:$W56 INDIRECT("CPFA50"&amp;J42)-12)),VLOOKUP(J42,$X$53:$Y$57,2),MAX(IF((K42-$B$20)&lt;$S56:$W56,$S$65:$W$65,0))))))</f>
        <v>0</v>
      </c>
      <c r="M42" s="752"/>
      <c r="N42" s="983"/>
      <c r="O42" s="751" cm="1">
        <f t="array" aca="1" ref="O42" ca="1">$B42*(IF(M42="",0,IF(N42="",VLOOKUP(M42,$X$53:$Y$57,2,TRUE),IF(AND((N42-$B$20)&lt;($S56:$W56 INDIRECT("CPFA50"&amp;M42)+2),(N42-$B$20)&gt;=($S56:$W56 INDIRECT("CPFA50"&amp;M42)-12)),VLOOKUP(M42,$X$53:$Y$57,2),MAX(IF((N42-$B$20)&lt;$S56:$W56,$S$65:$W$65,0))))))</f>
        <v>0</v>
      </c>
    </row>
    <row r="43" spans="1:22" s="126" customFormat="1" ht="15" customHeight="1">
      <c r="A43" s="125"/>
      <c r="B43" s="435">
        <v>3</v>
      </c>
      <c r="C43" s="514">
        <v>45</v>
      </c>
      <c r="D43" s="752"/>
      <c r="E43" s="983"/>
      <c r="F43" s="138" cm="1">
        <f t="array" aca="1" ref="F43" ca="1">$B43*(IF(D43="",0,IF(E43="",VLOOKUP(D43,$X$53:$Y$57,2,TRUE),IF(AND((E43-$B$20)&lt;($S57:$W57 INDIRECT("CPFA50"&amp;D43)+2),(E43-$B$20)&gt;=($S57:$W57 INDIRECT("CPFA50"&amp;D43)-12)),VLOOKUP(D43,$X$53:$Y$57,2),MAX(IF((E43-$B$20)&lt;$S57:$W57,$S$65:$W$65,0))))))</f>
        <v>0</v>
      </c>
      <c r="G43" s="752"/>
      <c r="H43" s="983"/>
      <c r="I43" s="138" cm="1">
        <f t="array" aca="1" ref="I43" ca="1">$B43*(IF(G43="",0,IF(H43="",VLOOKUP(G43,$X$53:$Y$57,2,TRUE),IF(AND((H43-$B$20)&lt;($S57:$W57 INDIRECT("CPFA50"&amp;G43)+2),(H43-$B$20)&gt;=($S57:$W57 INDIRECT("CPFA50"&amp;G43)-12)),VLOOKUP(G43,$X$53:$Y$57,2),MAX(IF((H43-$B$20)&lt;$S57:$W57,$S$65:$W$65,0))))))</f>
        <v>0</v>
      </c>
      <c r="J43" s="752"/>
      <c r="K43" s="983"/>
      <c r="L43" s="138" cm="1">
        <f t="array" aca="1" ref="L43" ca="1">$B43*(IF(J43="",0,IF(K43="",VLOOKUP(J43,$X$53:$Y$57,2,TRUE),IF(AND((K43-$B$20)&lt;($S57:$W57 INDIRECT("CPFA50"&amp;J43)+2),(K43-$B$20)&gt;=($S57:$W57 INDIRECT("CPFA50"&amp;J43)-12)),VLOOKUP(J43,$X$53:$Y$57,2),MAX(IF((K43-$B$20)&lt;$S57:$W57,$S$65:$W$65,0))))))</f>
        <v>0</v>
      </c>
      <c r="M43" s="752"/>
      <c r="N43" s="983"/>
      <c r="O43" s="751" cm="1">
        <f t="array" aca="1" ref="O43" ca="1">$B43*(IF(M43="",0,IF(N43="",VLOOKUP(M43,$X$53:$Y$57,2,TRUE),IF(AND((N43-$B$20)&lt;($S57:$W57 INDIRECT("CPFA50"&amp;M43)+2),(N43-$B$20)&gt;=($S57:$W57 INDIRECT("CPFA50"&amp;M43)-12)),VLOOKUP(M43,$X$53:$Y$57,2),MAX(IF((N43-$B$20)&lt;$S57:$W57,$S$65:$W$65,0))))))</f>
        <v>0</v>
      </c>
    </row>
    <row r="44" spans="1:22" s="126" customFormat="1" ht="15" customHeight="1">
      <c r="A44" s="125"/>
      <c r="B44" s="435">
        <v>3</v>
      </c>
      <c r="C44" s="514">
        <v>50</v>
      </c>
      <c r="D44" s="752"/>
      <c r="E44" s="983"/>
      <c r="F44" s="138" cm="1">
        <f t="array" aca="1" ref="F44" ca="1">$B44*(IF(D44="",0,IF(E44="",VLOOKUP(D44,$X$53:$Y$57,2,TRUE),IF(AND((E44-$B$20)&lt;($S58:$W58 INDIRECT("CPFA50"&amp;D44)+2),(E44-$B$20)&gt;=($S58:$W58 INDIRECT("CPFA50"&amp;D44)-12)),VLOOKUP(D44,$X$53:$Y$57,2),MAX(IF((E44-$B$20)&lt;$S58:$W58,$S$65:$W$65,0))))))</f>
        <v>0</v>
      </c>
      <c r="G44" s="752"/>
      <c r="H44" s="983"/>
      <c r="I44" s="138" cm="1">
        <f t="array" aca="1" ref="I44" ca="1">$B44*(IF(G44="",0,IF(H44="",VLOOKUP(G44,$X$53:$Y$57,2,TRUE),IF(AND((H44-$B$20)&lt;($S58:$W58 INDIRECT("CPFA50"&amp;G44)+2),(H44-$B$20)&gt;=($S58:$W58 INDIRECT("CPFA50"&amp;G44)-12)),VLOOKUP(G44,$X$53:$Y$57,2),MAX(IF((H44-$B$20)&lt;$S58:$W58,$S$65:$W$65,0))))))</f>
        <v>0</v>
      </c>
      <c r="J44" s="752"/>
      <c r="K44" s="983"/>
      <c r="L44" s="138" cm="1">
        <f t="array" aca="1" ref="L44" ca="1">$B44*(IF(J44="",0,IF(K44="",VLOOKUP(J44,$X$53:$Y$57,2,TRUE),IF(AND((K44-$B$20)&lt;($S58:$W58 INDIRECT("CPFA50"&amp;J44)+2),(K44-$B$20)&gt;=($S58:$W58 INDIRECT("CPFA50"&amp;J44)-12)),VLOOKUP(J44,$X$53:$Y$57,2),MAX(IF((K44-$B$20)&lt;$S58:$W58,$S$65:$W$65,0))))))</f>
        <v>0</v>
      </c>
      <c r="M44" s="752"/>
      <c r="N44" s="983"/>
      <c r="O44" s="751" cm="1">
        <f t="array" aca="1" ref="O44" ca="1">$B44*(IF(M44="",0,IF(N44="",VLOOKUP(M44,$X$53:$Y$57,2,TRUE),IF(AND((N44-$B$20)&lt;($S58:$W58 INDIRECT("CPFA50"&amp;M44)+2),(N44-$B$20)&gt;=($S58:$W58 INDIRECT("CPFA50"&amp;M44)-12)),VLOOKUP(M44,$X$53:$Y$57,2),MAX(IF((N44-$B$20)&lt;$S58:$W58,$S$65:$W$65,0))))))</f>
        <v>0</v>
      </c>
    </row>
    <row r="45" spans="1:22" s="126" customFormat="1" ht="15" customHeight="1">
      <c r="A45" s="125"/>
      <c r="B45" s="435">
        <v>3</v>
      </c>
      <c r="C45" s="514">
        <v>55</v>
      </c>
      <c r="D45" s="752"/>
      <c r="E45" s="983"/>
      <c r="F45" s="138" cm="1">
        <f t="array" aca="1" ref="F45" ca="1">$B45*(IF(D45="",0,IF(E45="",VLOOKUP(D45,$X$53:$Y$57,2,TRUE),IF(AND((E45-$B$20)&lt;($S59:$W59 INDIRECT("CPFA50"&amp;D45)+2),(E45-$B$20)&gt;=($S59:$W59 INDIRECT("CPFA50"&amp;D45)-12)),VLOOKUP(D45,$X$53:$Y$57,2),MAX(IF((E45-$B$20)&lt;$S59:$W59,$S$65:$W$65,0))))))</f>
        <v>0</v>
      </c>
      <c r="G45" s="752"/>
      <c r="H45" s="983"/>
      <c r="I45" s="138" cm="1">
        <f t="array" aca="1" ref="I45" ca="1">$B45*(IF(G45="",0,IF(H45="",VLOOKUP(G45,$X$53:$Y$57,2,TRUE),IF(AND((H45-$B$20)&lt;($S59:$W59 INDIRECT("CPFA50"&amp;G45)+2),(H45-$B$20)&gt;=($S59:$W59 INDIRECT("CPFA50"&amp;G45)-12)),VLOOKUP(G45,$X$53:$Y$57,2),MAX(IF((H45-$B$20)&lt;$S59:$W59,$S$65:$W$65,0))))))</f>
        <v>0</v>
      </c>
      <c r="J45" s="752"/>
      <c r="K45" s="983"/>
      <c r="L45" s="138" cm="1">
        <f t="array" aca="1" ref="L45" ca="1">$B45*(IF(J45="",0,IF(K45="",VLOOKUP(J45,$X$53:$Y$57,2,TRUE),IF(AND((K45-$B$20)&lt;($S59:$W59 INDIRECT("CPFA50"&amp;J45)+2),(K45-$B$20)&gt;=($S59:$W59 INDIRECT("CPFA50"&amp;J45)-12)),VLOOKUP(J45,$X$53:$Y$57,2),MAX(IF((K45-$B$20)&lt;$S59:$W59,$S$65:$W$65,0))))))</f>
        <v>0</v>
      </c>
      <c r="M45" s="752"/>
      <c r="N45" s="983"/>
      <c r="O45" s="751" cm="1">
        <f t="array" aca="1" ref="O45" ca="1">$B45*(IF(M45="",0,IF(N45="",VLOOKUP(M45,$X$53:$Y$57,2,TRUE),IF(AND((N45-$B$20)&lt;($S59:$W59 INDIRECT("CPFA50"&amp;M45)+2),(N45-$B$20)&gt;=($S59:$W59 INDIRECT("CPFA50"&amp;M45)-12)),VLOOKUP(M45,$X$53:$Y$57,2),MAX(IF((N45-$B$20)&lt;$S59:$W59,$S$65:$W$65,0))))))</f>
        <v>0</v>
      </c>
    </row>
    <row r="46" spans="1:22" s="126" customFormat="1" ht="15" customHeight="1" thickBot="1">
      <c r="A46" s="125"/>
      <c r="B46" s="435">
        <v>2</v>
      </c>
      <c r="C46" s="514">
        <v>60</v>
      </c>
      <c r="D46" s="752"/>
      <c r="E46" s="983"/>
      <c r="F46" s="138" cm="1">
        <f t="array" aca="1" ref="F46" ca="1">$B46*(IF(D46="",0,IF(E46="",VLOOKUP(D46,$X$53:$Y$57,2,TRUE),IF(AND((E46-$B$20)&lt;($S60:$W60 INDIRECT("CPFA50"&amp;D46)+2),(E46-$B$20)&gt;=($S60:$W60 INDIRECT("CPFA50"&amp;D46)-12)),VLOOKUP(D46,$X$53:$Y$57,2),MAX(IF((E46-$B$20)&lt;$S60:$W60,$S$65:$W$65,0))))))</f>
        <v>0</v>
      </c>
      <c r="G46" s="752"/>
      <c r="H46" s="983"/>
      <c r="I46" s="138" cm="1">
        <f t="array" aca="1" ref="I46" ca="1">$B46*(IF(G46="",0,IF(H46="",VLOOKUP(G46,$X$53:$Y$57,2,TRUE),IF(AND((H46-$B$20)&lt;($S60:$W60 INDIRECT("CPFA50"&amp;G46)+2),(H46-$B$20)&gt;=($S60:$W60 INDIRECT("CPFA50"&amp;G46)-12)),VLOOKUP(G46,$X$53:$Y$57,2),MAX(IF((H46-$B$20)&lt;$S60:$W60,$S$65:$W$65,0))))))</f>
        <v>0</v>
      </c>
      <c r="J46" s="752"/>
      <c r="K46" s="983"/>
      <c r="L46" s="138" cm="1">
        <f t="array" aca="1" ref="L46" ca="1">$B46*(IF(J46="",0,IF(K46="",VLOOKUP(J46,$X$53:$Y$57,2,TRUE),IF(AND((K46-$B$20)&lt;($S60:$W60 INDIRECT("CPFA50"&amp;J46)+2),(K46-$B$20)&gt;=($S60:$W60 INDIRECT("CPFA50"&amp;J46)-12)),VLOOKUP(J46,$X$53:$Y$57,2),MAX(IF((K46-$B$20)&lt;$S60:$W60,$S$65:$W$65,0))))))</f>
        <v>0</v>
      </c>
      <c r="M46" s="752"/>
      <c r="N46" s="983"/>
      <c r="O46" s="751" cm="1">
        <f t="array" aca="1" ref="O46" ca="1">$B46*(IF(M46="",0,IF(N46="",VLOOKUP(M46,$X$53:$Y$57,2,TRUE),IF(AND((N46-$B$20)&lt;($S60:$W60 INDIRECT("CPFA50"&amp;M46)+2),(N46-$B$20)&gt;=($S60:$W60 INDIRECT("CPFA50"&amp;M46)-12)),VLOOKUP(M46,$X$53:$Y$57,2),MAX(IF((N46-$B$20)&lt;$S60:$W60,$S$65:$W$65,0))))))</f>
        <v>0</v>
      </c>
    </row>
    <row r="47" spans="1:22" s="126" customFormat="1" ht="15" customHeight="1" thickBot="1">
      <c r="A47" s="125"/>
      <c r="B47" s="2007" t="s">
        <v>2595</v>
      </c>
      <c r="C47" s="2019"/>
      <c r="D47" s="2009">
        <f ca="1">SUM(F36:F46)</f>
        <v>0</v>
      </c>
      <c r="E47" s="1972"/>
      <c r="F47" s="1973"/>
      <c r="G47" s="1971">
        <f ca="1">SUM(I36:I46)</f>
        <v>0</v>
      </c>
      <c r="H47" s="1972"/>
      <c r="I47" s="1973"/>
      <c r="J47" s="1971">
        <f ca="1">SUM(L36:L46)</f>
        <v>0</v>
      </c>
      <c r="K47" s="1972"/>
      <c r="L47" s="1973"/>
      <c r="M47" s="1971">
        <f ca="1">SUM(O36:O46)</f>
        <v>0</v>
      </c>
      <c r="N47" s="1972"/>
      <c r="O47" s="1974"/>
    </row>
    <row r="48" spans="1:22" s="126" customFormat="1" ht="15" customHeight="1" thickBot="1">
      <c r="A48" s="125"/>
      <c r="B48" s="125"/>
      <c r="C48" s="127"/>
      <c r="D48" s="125"/>
      <c r="E48" s="125"/>
      <c r="F48" s="125"/>
      <c r="G48" s="125"/>
      <c r="H48" s="125"/>
      <c r="I48" s="125"/>
    </row>
    <row r="49" spans="1:25" s="126" customFormat="1" ht="15" customHeight="1">
      <c r="A49" s="125"/>
      <c r="B49" s="130" t="s">
        <v>2607</v>
      </c>
      <c r="C49" s="131"/>
      <c r="D49" s="1981" t="s">
        <v>632</v>
      </c>
      <c r="E49" s="1982"/>
      <c r="F49" s="1982"/>
      <c r="G49" s="1982"/>
      <c r="H49" s="1982"/>
      <c r="I49" s="1983"/>
      <c r="J49" s="1981" t="s">
        <v>633</v>
      </c>
      <c r="K49" s="1982"/>
      <c r="L49" s="1982"/>
      <c r="M49" s="1982"/>
      <c r="N49" s="1982"/>
      <c r="O49" s="1983"/>
      <c r="R49" s="764"/>
      <c r="S49" s="764" t="s">
        <v>150</v>
      </c>
      <c r="T49" s="764" t="s">
        <v>149</v>
      </c>
      <c r="U49" s="764" t="s">
        <v>148</v>
      </c>
      <c r="V49" s="764" t="s">
        <v>147</v>
      </c>
      <c r="W49" s="764" t="s">
        <v>146</v>
      </c>
      <c r="X49" s="764"/>
      <c r="Y49" s="764"/>
    </row>
    <row r="50" spans="1:25" s="126" customFormat="1" ht="15" customHeight="1">
      <c r="A50" s="125"/>
      <c r="B50" s="128"/>
      <c r="C50" s="129"/>
      <c r="D50" s="1984" t="s">
        <v>629</v>
      </c>
      <c r="E50" s="1985"/>
      <c r="F50" s="1986"/>
      <c r="G50" s="1987" t="s">
        <v>630</v>
      </c>
      <c r="H50" s="1985"/>
      <c r="I50" s="1988"/>
      <c r="J50" s="1984" t="s">
        <v>629</v>
      </c>
      <c r="K50" s="1985"/>
      <c r="L50" s="1986"/>
      <c r="M50" s="1987" t="s">
        <v>630</v>
      </c>
      <c r="N50" s="1985"/>
      <c r="O50" s="1988"/>
      <c r="P50" s="808"/>
      <c r="Q50" s="132"/>
      <c r="R50" s="765">
        <v>10</v>
      </c>
      <c r="S50" s="764">
        <v>0</v>
      </c>
      <c r="T50" s="764"/>
      <c r="U50" s="764"/>
      <c r="V50" s="764"/>
      <c r="W50" s="764">
        <v>10</v>
      </c>
      <c r="X50" s="764"/>
      <c r="Y50" s="764"/>
    </row>
    <row r="51" spans="1:25" s="126" customFormat="1" ht="15" customHeight="1">
      <c r="A51" s="125"/>
      <c r="B51" s="368">
        <v>5</v>
      </c>
      <c r="C51" s="768" t="s">
        <v>2644</v>
      </c>
      <c r="D51" s="756" t="s">
        <v>2606</v>
      </c>
      <c r="E51" s="755" t="s">
        <v>623</v>
      </c>
      <c r="F51" s="479" t="s">
        <v>40</v>
      </c>
      <c r="G51" s="1987" t="s">
        <v>631</v>
      </c>
      <c r="H51" s="1985"/>
      <c r="I51" s="754" t="s">
        <v>40</v>
      </c>
      <c r="J51" s="756" t="s">
        <v>2606</v>
      </c>
      <c r="K51" s="755" t="s">
        <v>623</v>
      </c>
      <c r="L51" s="479" t="s">
        <v>40</v>
      </c>
      <c r="M51" s="1987" t="s">
        <v>631</v>
      </c>
      <c r="N51" s="1985"/>
      <c r="O51" s="754" t="s">
        <v>40</v>
      </c>
      <c r="R51" s="765">
        <v>15</v>
      </c>
      <c r="S51" s="126">
        <v>0</v>
      </c>
      <c r="V51" s="126">
        <v>10</v>
      </c>
      <c r="W51" s="126">
        <v>15</v>
      </c>
      <c r="X51" s="764"/>
      <c r="Y51" s="764"/>
    </row>
    <row r="52" spans="1:25" s="126" customFormat="1" ht="15" customHeight="1">
      <c r="A52" s="125"/>
      <c r="B52" s="368">
        <v>1</v>
      </c>
      <c r="C52" s="148">
        <v>20</v>
      </c>
      <c r="D52" s="752"/>
      <c r="E52" s="984"/>
      <c r="F52" s="138" cm="1">
        <f t="array" aca="1" ref="F52" ca="1">$B52*(IF(D52="",0,IF(E52="",VLOOKUP(D52,$X$53:$Y$57,2,TRUE),IF(AND((E52-$B$51)&lt;($S52:$W52 INDIRECT("CPLA50"&amp;D52)+2),(E52-$B$51)&gt;=($S52:$W52 INDIRECT("CPLA50"&amp;D52)-12)),VLOOKUP(D52,$X$53:$Y$57,2),MAX(IF((E52-$B$51)&lt;$S52:$W52,$S$65:$W$65,0))))))</f>
        <v>0</v>
      </c>
      <c r="G52" s="2005"/>
      <c r="H52" s="1976"/>
      <c r="I52" s="2006"/>
      <c r="J52" s="752"/>
      <c r="K52" s="984"/>
      <c r="L52" s="138" cm="1">
        <f t="array" aca="1" ref="L52" ca="1">$B52*(IF(J52="",0,IF(K52="",VLOOKUP(J52,$X$53:$Y$57,2,TRUE),IF(AND((K52-5)&lt;($S52:$W52 INDIRECT("CPLA50"&amp;J52)+2),(K52-5)&gt;=($S52:$W52 INDIRECT("CPLA50"&amp;J52)-12)),VLOOKUP(J52,$X$53:$Y$57,2),MAX(IF((K52-5)&lt;$S52:$W52,$S$65:$W$65,0))))))</f>
        <v>0</v>
      </c>
      <c r="M52" s="2005"/>
      <c r="N52" s="1976"/>
      <c r="O52" s="2006"/>
      <c r="R52" s="765">
        <v>20</v>
      </c>
      <c r="S52" s="764">
        <v>0</v>
      </c>
      <c r="T52" s="764"/>
      <c r="U52" s="764"/>
      <c r="V52" s="764">
        <v>10</v>
      </c>
      <c r="W52" s="766">
        <f>R52</f>
        <v>20</v>
      </c>
      <c r="X52" s="764"/>
      <c r="Y52" s="764"/>
    </row>
    <row r="53" spans="1:25" s="126" customFormat="1" ht="15" customHeight="1">
      <c r="A53" s="125"/>
      <c r="B53" s="368">
        <v>1</v>
      </c>
      <c r="C53" s="148">
        <v>25</v>
      </c>
      <c r="D53" s="752"/>
      <c r="E53" s="984"/>
      <c r="F53" s="138" cm="1">
        <f t="array" aca="1" ref="F53" ca="1">$B53*(IF(D53="",0,IF(E53="",VLOOKUP(D53,$X$53:$Y$57,2,TRUE),IF(AND((E53-$B$51)&lt;($S53:$W53 INDIRECT("CPLA50"&amp;D53)+2),(E53-$B$51)&gt;=($S53:$W53 INDIRECT("CPLA50"&amp;D53)-12)),VLOOKUP(D53,$X$53:$Y$57,2),MAX(IF((E53-$B$51)&lt;$S53:$W53,$S$65:$W$65,0))))))</f>
        <v>0</v>
      </c>
      <c r="G53" s="2005"/>
      <c r="H53" s="1976"/>
      <c r="I53" s="2006"/>
      <c r="J53" s="752"/>
      <c r="K53" s="984"/>
      <c r="L53" s="138" cm="1">
        <f t="array" aca="1" ref="L53" ca="1">$B53*(IF(J53="",0,IF(K53="",VLOOKUP(J53,$X$53:$Y$57,2,TRUE),IF(AND((K53-5)&lt;($S53:$W53 INDIRECT("CPLA50"&amp;J53)+2),(K53-5)&gt;=($S53:$W53 INDIRECT("CPLA50"&amp;J53)-12)),VLOOKUP(J53,$X$53:$Y$57,2),MAX(IF((K53-5)&lt;$S53:$W53,$S$65:$W$65,0))))))</f>
        <v>0</v>
      </c>
      <c r="M53" s="2005"/>
      <c r="N53" s="1976"/>
      <c r="O53" s="2006"/>
      <c r="R53" s="765">
        <v>25</v>
      </c>
      <c r="S53" s="764">
        <v>0</v>
      </c>
      <c r="T53" s="764"/>
      <c r="U53" s="764">
        <v>10</v>
      </c>
      <c r="V53" s="764">
        <v>20</v>
      </c>
      <c r="W53" s="766">
        <f t="shared" ref="W53:W60" si="0">R53</f>
        <v>25</v>
      </c>
      <c r="X53" s="764" t="s">
        <v>147</v>
      </c>
      <c r="Y53" s="764">
        <v>0.25</v>
      </c>
    </row>
    <row r="54" spans="1:25" s="126" customFormat="1" ht="15" customHeight="1">
      <c r="A54" s="125"/>
      <c r="B54" s="368">
        <v>1</v>
      </c>
      <c r="C54" s="148">
        <v>30</v>
      </c>
      <c r="D54" s="752"/>
      <c r="E54" s="984"/>
      <c r="F54" s="138" cm="1">
        <f t="array" aca="1" ref="F54" ca="1">$B54*(IF(D54="",0,IF(E54="",VLOOKUP(D54,$X$53:$Y$57,2,TRUE),IF(AND((E54-$B$51)&lt;($S54:$W54 INDIRECT("CPLA50"&amp;D54)+2),(E54-$B$51)&gt;=($S54:$W54 INDIRECT("CPLA50"&amp;D54)-12)),VLOOKUP(D54,$X$53:$Y$57,2),MAX(IF((E54-$B$51)&lt;$S54:$W54,$S$65:$W$65,0))))))</f>
        <v>0</v>
      </c>
      <c r="G54" s="2005"/>
      <c r="H54" s="1976"/>
      <c r="I54" s="2006"/>
      <c r="J54" s="752"/>
      <c r="K54" s="984"/>
      <c r="L54" s="138" cm="1">
        <f t="array" aca="1" ref="L54" ca="1">$B54*(IF(J54="",0,IF(K54="",VLOOKUP(J54,$X$53:$Y$57,2,TRUE),IF(AND((K54-5)&lt;($S54:$W54 INDIRECT("CPLA50"&amp;J54)+2),(K54-5)&gt;=($S54:$W54 INDIRECT("CPLA50"&amp;J54)-12)),VLOOKUP(J54,$X$53:$Y$57,2),MAX(IF((K54-5)&lt;$S54:$W54,$S$65:$W$65,0))))))</f>
        <v>0</v>
      </c>
      <c r="M54" s="2005"/>
      <c r="N54" s="1976"/>
      <c r="O54" s="2006"/>
      <c r="R54" s="765">
        <v>30</v>
      </c>
      <c r="S54" s="764">
        <v>0</v>
      </c>
      <c r="T54" s="764"/>
      <c r="U54" s="764">
        <v>10</v>
      </c>
      <c r="V54" s="764">
        <v>20</v>
      </c>
      <c r="W54" s="766">
        <f t="shared" si="0"/>
        <v>30</v>
      </c>
      <c r="X54" s="764" t="s">
        <v>150</v>
      </c>
      <c r="Y54" s="764">
        <v>1</v>
      </c>
    </row>
    <row r="55" spans="1:25" s="126" customFormat="1" ht="15" customHeight="1">
      <c r="A55" s="125"/>
      <c r="B55" s="368">
        <v>2</v>
      </c>
      <c r="C55" s="148">
        <v>35</v>
      </c>
      <c r="D55" s="752"/>
      <c r="E55" s="984"/>
      <c r="F55" s="138" cm="1">
        <f t="array" aca="1" ref="F55" ca="1">$B55*(IF(D55="",0,IF(E55="",VLOOKUP(D55,$X$53:$Y$57,2,TRUE),IF(AND((E55-$B$51)&lt;($S55:$W55 INDIRECT("CPLA50"&amp;D55)+2),(E55-$B$51)&gt;=($S55:$W55 INDIRECT("CPLA50"&amp;D55)-12)),VLOOKUP(D55,$X$53:$Y$57,2),MAX(IF((E55-$B$51)&lt;$S55:$W55,$S$65:$W$65,0))))))</f>
        <v>0</v>
      </c>
      <c r="G55" s="2005"/>
      <c r="H55" s="1976"/>
      <c r="I55" s="2006"/>
      <c r="J55" s="752"/>
      <c r="K55" s="984"/>
      <c r="L55" s="138" cm="1">
        <f t="array" aca="1" ref="L55" ca="1">$B55*(IF(J55="",0,IF(K55="",VLOOKUP(J55,$X$53:$Y$57,2,TRUE),IF(AND((K55-5)&lt;($S55:$W55 INDIRECT("CPLA50"&amp;J55)+2),(K55-5)&gt;=($S55:$W55 INDIRECT("CPLA50"&amp;J55)-12)),VLOOKUP(J55,$X$53:$Y$57,2),MAX(IF((K55-5)&lt;$S55:$W55,$S$65:$W$65,0))))))</f>
        <v>0</v>
      </c>
      <c r="M55" s="2005"/>
      <c r="N55" s="1976"/>
      <c r="O55" s="2006"/>
      <c r="R55" s="765">
        <v>35</v>
      </c>
      <c r="S55" s="764">
        <v>0</v>
      </c>
      <c r="T55" s="764">
        <v>10</v>
      </c>
      <c r="U55" s="764">
        <v>20</v>
      </c>
      <c r="V55" s="764">
        <v>30</v>
      </c>
      <c r="W55" s="766">
        <f t="shared" si="0"/>
        <v>35</v>
      </c>
      <c r="X55" s="764" t="s">
        <v>148</v>
      </c>
      <c r="Y55" s="764">
        <v>0.5</v>
      </c>
    </row>
    <row r="56" spans="1:25" s="126" customFormat="1" ht="15" customHeight="1">
      <c r="A56" s="125"/>
      <c r="B56" s="368">
        <v>2</v>
      </c>
      <c r="C56" s="148">
        <v>40</v>
      </c>
      <c r="D56" s="752"/>
      <c r="E56" s="984"/>
      <c r="F56" s="138" cm="1">
        <f t="array" aca="1" ref="F56" ca="1">$B56*(IF(D56="",0,IF(E56="",VLOOKUP(D56,$X$53:$Y$57,2,TRUE),IF(AND((E56-$B$51)&lt;($S56:$W56 INDIRECT("CPLA50"&amp;D56)+2),(E56-$B$51)&gt;=($S56:$W56 INDIRECT("CPLA50"&amp;D56)-12)),VLOOKUP(D56,$X$53:$Y$57,2),MAX(IF((E56-$B$51)&lt;$S56:$W56,$S$65:$W$65,0))))))</f>
        <v>0</v>
      </c>
      <c r="G56" s="2005"/>
      <c r="H56" s="1976"/>
      <c r="I56" s="2006"/>
      <c r="J56" s="752"/>
      <c r="K56" s="984"/>
      <c r="L56" s="138" cm="1">
        <f t="array" aca="1" ref="L56" ca="1">$B56*(IF(J56="",0,IF(K56="",VLOOKUP(J56,$X$53:$Y$57,2,TRUE),IF(AND((K56-5)&lt;($S56:$W56 INDIRECT("CPLA50"&amp;J56)+2),(K56-5)&gt;=($S56:$W56 INDIRECT("CPLA50"&amp;J56)-12)),VLOOKUP(J56,$X$53:$Y$57,2),MAX(IF((K56-5)&lt;$S56:$W56,$S$65:$W$65,0))))))</f>
        <v>0</v>
      </c>
      <c r="M56" s="2005"/>
      <c r="N56" s="1976"/>
      <c r="O56" s="2006"/>
      <c r="R56" s="765">
        <v>40</v>
      </c>
      <c r="S56" s="764">
        <v>0</v>
      </c>
      <c r="T56" s="764">
        <v>10</v>
      </c>
      <c r="U56" s="764">
        <v>20</v>
      </c>
      <c r="V56" s="764">
        <v>30</v>
      </c>
      <c r="W56" s="766">
        <f t="shared" si="0"/>
        <v>40</v>
      </c>
      <c r="X56" s="764" t="s">
        <v>146</v>
      </c>
      <c r="Y56" s="764">
        <v>0</v>
      </c>
    </row>
    <row r="57" spans="1:25" s="126" customFormat="1" ht="15" customHeight="1">
      <c r="A57" s="125"/>
      <c r="B57" s="435">
        <v>3</v>
      </c>
      <c r="C57" s="148">
        <v>45</v>
      </c>
      <c r="D57" s="752"/>
      <c r="E57" s="984"/>
      <c r="F57" s="138" cm="1">
        <f t="array" aca="1" ref="F57" ca="1">$B57*(IF(D57="",0,IF(E57="",VLOOKUP(D57,$X$53:$Y$57,2,TRUE),IF(AND((E57-$B$51)&lt;($S57:$W57 INDIRECT("CPLA50"&amp;D57)+2),(E57-$B$51)&gt;=($S57:$W57 INDIRECT("CPLA50"&amp;D57)-12)),VLOOKUP(D57,$X$53:$Y$57,2),MAX(IF((E57-$B$51)&lt;$S57:$W57,$S$65:$W$65,0))))))</f>
        <v>0</v>
      </c>
      <c r="G57" s="2005"/>
      <c r="H57" s="1976"/>
      <c r="I57" s="2006"/>
      <c r="J57" s="752"/>
      <c r="K57" s="984"/>
      <c r="L57" s="138" cm="1">
        <f t="array" aca="1" ref="L57" ca="1">$B57*(IF(J57="",0,IF(K57="",VLOOKUP(J57,$X$53:$Y$57,2,TRUE),IF(AND((K57-5)&lt;($S57:$W57 INDIRECT("CPLA50"&amp;J57)+2),(K57-5)&gt;=($S57:$W57 INDIRECT("CPLA50"&amp;J57)-12)),VLOOKUP(J57,$X$53:$Y$57,2),MAX(IF((K57-5)&lt;$S57:$W57,$S$65:$W$65,0))))))</f>
        <v>0</v>
      </c>
      <c r="M57" s="2005"/>
      <c r="N57" s="1976"/>
      <c r="O57" s="2006"/>
      <c r="R57" s="765">
        <v>45</v>
      </c>
      <c r="S57" s="764">
        <v>0</v>
      </c>
      <c r="T57" s="764">
        <v>10</v>
      </c>
      <c r="U57" s="764">
        <v>20</v>
      </c>
      <c r="V57" s="764">
        <v>30</v>
      </c>
      <c r="W57" s="766">
        <f t="shared" si="0"/>
        <v>45</v>
      </c>
      <c r="X57" s="764" t="s">
        <v>149</v>
      </c>
      <c r="Y57" s="764">
        <v>0.75</v>
      </c>
    </row>
    <row r="58" spans="1:25" s="126" customFormat="1" ht="15" customHeight="1">
      <c r="A58" s="125"/>
      <c r="B58" s="435">
        <v>3</v>
      </c>
      <c r="C58" s="148">
        <v>50</v>
      </c>
      <c r="D58" s="752"/>
      <c r="E58" s="984"/>
      <c r="F58" s="138" cm="1">
        <f t="array" aca="1" ref="F58" ca="1">$B58*(IF(D58="",0,IF(E58="",VLOOKUP(D58,$X$53:$Y$57,2,TRUE),IF(AND((E58-$B$51)&lt;($S58:$W58 INDIRECT("CPLA50"&amp;D58)+2),(E58-$B$51)&gt;=($S58:$W58 INDIRECT("CPLA50"&amp;D58)-12)),VLOOKUP(D58,$X$53:$Y$57,2),MAX(IF((E58-$B$51)&lt;$S58:$W58,$S$65:$W$65,0))))))</f>
        <v>0</v>
      </c>
      <c r="G58" s="1964"/>
      <c r="H58" s="1963"/>
      <c r="I58" s="751">
        <f>IF(G58="",0,IF(G58&gt;=1.7,$B58,0))</f>
        <v>0</v>
      </c>
      <c r="J58" s="752"/>
      <c r="K58" s="984"/>
      <c r="L58" s="138" cm="1">
        <f t="array" aca="1" ref="L58" ca="1">$B58*(IF(J58="",0,IF(K58="",VLOOKUP(J58,$X$53:$Y$57,2,TRUE),IF(AND((K58-5)&lt;($S58:$W58 INDIRECT("CPLA50"&amp;J58)+2),(K58-5)&gt;=($S58:$W58 INDIRECT("CPLA50"&amp;J58)-12)),VLOOKUP(J58,$X$53:$Y$57,2),MAX(IF((K58-5)&lt;$S58:$W58,$S$65:$W$65,0))))))</f>
        <v>0</v>
      </c>
      <c r="M58" s="1964"/>
      <c r="N58" s="1963"/>
      <c r="O58" s="751">
        <f>IF(M58="",0,IF(M58&gt;=1.7,$B58,0))</f>
        <v>0</v>
      </c>
      <c r="R58" s="765">
        <v>50</v>
      </c>
      <c r="S58" s="764">
        <v>0</v>
      </c>
      <c r="T58" s="764">
        <v>10</v>
      </c>
      <c r="U58" s="764">
        <v>20</v>
      </c>
      <c r="V58" s="764">
        <v>30</v>
      </c>
      <c r="W58" s="766">
        <f t="shared" si="0"/>
        <v>50</v>
      </c>
      <c r="X58" s="764"/>
      <c r="Y58" s="764"/>
    </row>
    <row r="59" spans="1:25" s="126" customFormat="1" ht="15" customHeight="1">
      <c r="A59" s="125"/>
      <c r="B59" s="435">
        <v>3</v>
      </c>
      <c r="C59" s="148">
        <v>55</v>
      </c>
      <c r="D59" s="752"/>
      <c r="E59" s="984"/>
      <c r="F59" s="138" cm="1">
        <f t="array" aca="1" ref="F59" ca="1">$B59*(IF(D59="",0,IF(E59="",VLOOKUP(D59,$X$53:$Y$57,2,TRUE),IF(AND((E59-$B$51)&lt;($S59:$W59 INDIRECT("CPLA50"&amp;D59)+2),(E59-$B$51)&gt;=($S59:$W59 INDIRECT("CPLA50"&amp;D59)-12)),VLOOKUP(D59,$X$53:$Y$57,2),MAX(IF((E59-$B$51)&lt;$S59:$W59,$S$65:$W$65,0))))))</f>
        <v>0</v>
      </c>
      <c r="G59" s="1964"/>
      <c r="H59" s="1963"/>
      <c r="I59" s="751">
        <f t="shared" ref="I59:I64" si="1">IF(G59="",0,IF(G59&gt;=1.7,$B59,0))</f>
        <v>0</v>
      </c>
      <c r="J59" s="752"/>
      <c r="K59" s="984"/>
      <c r="L59" s="138" cm="1">
        <f t="array" aca="1" ref="L59" ca="1">$B59*(IF(J59="",0,IF(K59="",VLOOKUP(J59,$X$53:$Y$57,2,TRUE),IF(AND((K59-5)&lt;($S59:$W59 INDIRECT("CPLA50"&amp;J59)+2),(K59-5)&gt;=($S59:$W59 INDIRECT("CPLA50"&amp;J59)-12)),VLOOKUP(J59,$X$53:$Y$57,2),MAX(IF((K59-5)&lt;$S59:$W59,$S$65:$W$65,0))))))</f>
        <v>0</v>
      </c>
      <c r="M59" s="1964"/>
      <c r="N59" s="1963"/>
      <c r="O59" s="751">
        <f t="shared" ref="O59:O64" si="2">IF(M59="",0,IF(M59&gt;=1.7,$B59,0))</f>
        <v>0</v>
      </c>
      <c r="R59" s="765">
        <v>55</v>
      </c>
      <c r="S59" s="764">
        <v>0</v>
      </c>
      <c r="T59" s="764">
        <v>10</v>
      </c>
      <c r="U59" s="764">
        <v>20</v>
      </c>
      <c r="V59" s="764">
        <v>30</v>
      </c>
      <c r="W59" s="766">
        <f t="shared" si="0"/>
        <v>55</v>
      </c>
      <c r="X59" s="764"/>
      <c r="Y59" s="764"/>
    </row>
    <row r="60" spans="1:25" s="126" customFormat="1" ht="15" customHeight="1">
      <c r="A60" s="125"/>
      <c r="B60" s="368">
        <v>2</v>
      </c>
      <c r="C60" s="148">
        <v>60</v>
      </c>
      <c r="D60" s="752"/>
      <c r="E60" s="984"/>
      <c r="F60" s="138" cm="1">
        <f t="array" aca="1" ref="F60" ca="1">$B60*(IF(D60="",0,IF(E60="",VLOOKUP(D60,$X$53:$Y$57,2,TRUE),IF(AND((E60-$B$51)&lt;($S60:$W60 INDIRECT("CPLA50"&amp;D60)+2),(E60-$B$51)&gt;=($S60:$W60 INDIRECT("CPLA50"&amp;D60)-12)),VLOOKUP(D60,$X$53:$Y$57,2),MAX(IF((E60-$B$51)&lt;$S60:$W60,$S$65:$W$65,0))))))</f>
        <v>0</v>
      </c>
      <c r="G60" s="1964"/>
      <c r="H60" s="1963"/>
      <c r="I60" s="751">
        <f t="shared" si="1"/>
        <v>0</v>
      </c>
      <c r="J60" s="752"/>
      <c r="K60" s="984"/>
      <c r="L60" s="138" cm="1">
        <f t="array" aca="1" ref="L60" ca="1">$B60*(IF(J60="",0,IF(K60="",VLOOKUP(J60,$X$53:$Y$57,2,TRUE),IF(AND((K60-5)&lt;($S60:$W60 INDIRECT("CPLA50"&amp;J60)+2),(K60-5)&gt;=($S60:$W60 INDIRECT("CPLA50"&amp;J60)-12)),VLOOKUP(J60,$X$53:$Y$57,2),MAX(IF((K60-5)&lt;$S60:$W60,$S$65:$W$65,0))))))</f>
        <v>0</v>
      </c>
      <c r="M60" s="1964"/>
      <c r="N60" s="1963"/>
      <c r="O60" s="751">
        <f t="shared" si="2"/>
        <v>0</v>
      </c>
      <c r="R60" s="765">
        <v>60</v>
      </c>
      <c r="S60" s="764">
        <v>0</v>
      </c>
      <c r="T60" s="764">
        <v>10</v>
      </c>
      <c r="U60" s="764">
        <v>20</v>
      </c>
      <c r="V60" s="764">
        <v>30</v>
      </c>
      <c r="W60" s="766">
        <f t="shared" si="0"/>
        <v>60</v>
      </c>
      <c r="X60" s="764"/>
      <c r="Y60" s="764"/>
    </row>
    <row r="61" spans="1:25" s="126" customFormat="1" ht="15" customHeight="1">
      <c r="A61" s="125"/>
      <c r="B61" s="435">
        <v>1</v>
      </c>
      <c r="C61" s="148">
        <v>65</v>
      </c>
      <c r="D61" s="1975"/>
      <c r="E61" s="1976"/>
      <c r="F61" s="1977"/>
      <c r="G61" s="1964"/>
      <c r="H61" s="1963"/>
      <c r="I61" s="751">
        <f t="shared" si="1"/>
        <v>0</v>
      </c>
      <c r="J61" s="1975"/>
      <c r="K61" s="1976"/>
      <c r="L61" s="1977"/>
      <c r="M61" s="1964"/>
      <c r="N61" s="1963"/>
      <c r="O61" s="751">
        <f t="shared" si="2"/>
        <v>0</v>
      </c>
      <c r="R61" s="765">
        <v>65</v>
      </c>
      <c r="S61" s="764"/>
      <c r="T61" s="764"/>
      <c r="U61" s="764"/>
      <c r="V61" s="764"/>
      <c r="W61" s="764"/>
      <c r="X61" s="764"/>
      <c r="Y61" s="764"/>
    </row>
    <row r="62" spans="1:25" s="126" customFormat="1" ht="15" customHeight="1">
      <c r="A62" s="125"/>
      <c r="B62" s="435">
        <v>1</v>
      </c>
      <c r="C62" s="148">
        <v>70</v>
      </c>
      <c r="D62" s="1975"/>
      <c r="E62" s="1976"/>
      <c r="F62" s="1977"/>
      <c r="G62" s="1964"/>
      <c r="H62" s="1963"/>
      <c r="I62" s="751">
        <f t="shared" si="1"/>
        <v>0</v>
      </c>
      <c r="J62" s="1975"/>
      <c r="K62" s="1976"/>
      <c r="L62" s="1977"/>
      <c r="M62" s="1964"/>
      <c r="N62" s="1963"/>
      <c r="O62" s="751">
        <f t="shared" si="2"/>
        <v>0</v>
      </c>
      <c r="R62" s="765">
        <v>70</v>
      </c>
      <c r="S62" s="764"/>
      <c r="T62" s="764"/>
      <c r="U62" s="764"/>
      <c r="V62" s="764"/>
      <c r="W62" s="764"/>
      <c r="X62" s="764"/>
      <c r="Y62" s="764"/>
    </row>
    <row r="63" spans="1:25" s="126" customFormat="1" ht="15" customHeight="1">
      <c r="A63" s="125"/>
      <c r="B63" s="435">
        <v>1</v>
      </c>
      <c r="C63" s="148">
        <v>75</v>
      </c>
      <c r="D63" s="1975"/>
      <c r="E63" s="1976"/>
      <c r="F63" s="1977"/>
      <c r="G63" s="1964"/>
      <c r="H63" s="1963"/>
      <c r="I63" s="751">
        <f t="shared" si="1"/>
        <v>0</v>
      </c>
      <c r="J63" s="1975"/>
      <c r="K63" s="1976"/>
      <c r="L63" s="1977"/>
      <c r="M63" s="1964"/>
      <c r="N63" s="1963"/>
      <c r="O63" s="751">
        <f t="shared" si="2"/>
        <v>0</v>
      </c>
      <c r="R63" s="765">
        <v>75</v>
      </c>
      <c r="S63" s="764"/>
      <c r="T63" s="764"/>
      <c r="U63" s="764"/>
      <c r="V63" s="764"/>
      <c r="W63" s="764"/>
      <c r="X63" s="764"/>
      <c r="Y63" s="764"/>
    </row>
    <row r="64" spans="1:25" s="126" customFormat="1" ht="15" customHeight="1" thickBot="1">
      <c r="A64" s="125"/>
      <c r="B64" s="435">
        <v>1</v>
      </c>
      <c r="C64" s="148">
        <v>80</v>
      </c>
      <c r="D64" s="1978"/>
      <c r="E64" s="1979"/>
      <c r="F64" s="1980"/>
      <c r="G64" s="2015"/>
      <c r="H64" s="2016"/>
      <c r="I64" s="751">
        <f t="shared" si="1"/>
        <v>0</v>
      </c>
      <c r="J64" s="1978"/>
      <c r="K64" s="1979"/>
      <c r="L64" s="1980"/>
      <c r="M64" s="2015"/>
      <c r="N64" s="2016"/>
      <c r="O64" s="751">
        <f t="shared" si="2"/>
        <v>0</v>
      </c>
      <c r="R64" s="765">
        <v>80</v>
      </c>
      <c r="S64" s="764"/>
      <c r="T64" s="764"/>
      <c r="U64" s="764"/>
      <c r="V64" s="764"/>
      <c r="W64" s="764"/>
      <c r="X64" s="764"/>
      <c r="Y64" s="764"/>
    </row>
    <row r="65" spans="1:25" s="126" customFormat="1" ht="15" customHeight="1" thickBot="1">
      <c r="A65" s="125"/>
      <c r="B65" s="2007" t="s">
        <v>2595</v>
      </c>
      <c r="C65" s="2008"/>
      <c r="D65" s="2009">
        <f ca="1">SUM(F52:F60)</f>
        <v>0</v>
      </c>
      <c r="E65" s="1972"/>
      <c r="F65" s="1973"/>
      <c r="G65" s="1972">
        <f>SUM(I58:I64)</f>
        <v>0</v>
      </c>
      <c r="H65" s="1972"/>
      <c r="I65" s="1974"/>
      <c r="J65" s="2009">
        <f ca="1">SUM(L52:L60)</f>
        <v>0</v>
      </c>
      <c r="K65" s="1972"/>
      <c r="L65" s="1973"/>
      <c r="M65" s="1972">
        <f>SUM(O58:O64)</f>
        <v>0</v>
      </c>
      <c r="N65" s="1972"/>
      <c r="O65" s="1974"/>
      <c r="R65" s="764"/>
      <c r="S65" s="767">
        <v>1</v>
      </c>
      <c r="T65" s="767">
        <v>0.75</v>
      </c>
      <c r="U65" s="767">
        <v>0.5</v>
      </c>
      <c r="V65" s="767">
        <v>0.25</v>
      </c>
      <c r="W65" s="767">
        <v>0</v>
      </c>
      <c r="X65" s="764"/>
      <c r="Y65" s="764"/>
    </row>
    <row r="66" spans="1:25" s="126" customFormat="1" ht="15" customHeight="1" thickBot="1">
      <c r="A66" s="125"/>
      <c r="B66" s="125"/>
      <c r="C66" s="127"/>
      <c r="D66" s="125"/>
      <c r="E66" s="125"/>
      <c r="F66" s="125"/>
      <c r="G66" s="125"/>
      <c r="H66" s="125"/>
      <c r="I66" s="125"/>
    </row>
    <row r="67" spans="1:25" s="126" customFormat="1" ht="15" customHeight="1">
      <c r="A67" s="125"/>
      <c r="B67" s="130" t="s">
        <v>2605</v>
      </c>
      <c r="C67" s="131"/>
      <c r="D67" s="1981" t="s">
        <v>632</v>
      </c>
      <c r="E67" s="1982"/>
      <c r="F67" s="1982"/>
      <c r="G67" s="1982"/>
      <c r="H67" s="1982"/>
      <c r="I67" s="1982"/>
      <c r="J67" s="1982"/>
      <c r="K67" s="1982"/>
      <c r="L67" s="1982"/>
      <c r="M67" s="1982"/>
      <c r="N67" s="1982"/>
      <c r="O67" s="1983"/>
    </row>
    <row r="68" spans="1:25" s="126" customFormat="1" ht="15" customHeight="1">
      <c r="A68" s="125"/>
      <c r="B68" s="128"/>
      <c r="C68" s="129"/>
      <c r="D68" s="1984" t="s">
        <v>2604</v>
      </c>
      <c r="E68" s="1985"/>
      <c r="F68" s="1986"/>
      <c r="G68" s="1985" t="s">
        <v>2603</v>
      </c>
      <c r="H68" s="1985"/>
      <c r="I68" s="1986"/>
      <c r="J68" s="1987" t="s">
        <v>2602</v>
      </c>
      <c r="K68" s="1985"/>
      <c r="L68" s="1986"/>
      <c r="M68" s="1985" t="s">
        <v>2601</v>
      </c>
      <c r="N68" s="1985"/>
      <c r="O68" s="1988"/>
    </row>
    <row r="69" spans="1:25" s="126" customFormat="1" ht="15" customHeight="1">
      <c r="A69" s="125"/>
      <c r="B69" s="128"/>
      <c r="C69" s="129"/>
      <c r="D69" s="1984" t="s">
        <v>623</v>
      </c>
      <c r="E69" s="1985"/>
      <c r="F69" s="479" t="s">
        <v>40</v>
      </c>
      <c r="G69" s="1987" t="s">
        <v>623</v>
      </c>
      <c r="H69" s="1985"/>
      <c r="I69" s="479" t="s">
        <v>40</v>
      </c>
      <c r="J69" s="1987" t="s">
        <v>623</v>
      </c>
      <c r="K69" s="1985"/>
      <c r="L69" s="479" t="s">
        <v>40</v>
      </c>
      <c r="M69" s="1987" t="s">
        <v>623</v>
      </c>
      <c r="N69" s="1985"/>
      <c r="O69" s="754" t="s">
        <v>40</v>
      </c>
    </row>
    <row r="70" spans="1:25" s="126" customFormat="1" ht="15" customHeight="1">
      <c r="A70" s="125"/>
      <c r="B70" s="368">
        <v>1</v>
      </c>
      <c r="C70" s="148">
        <v>10</v>
      </c>
      <c r="D70" s="1995"/>
      <c r="E70" s="1996"/>
      <c r="F70" s="138">
        <f>IF(D70="",0,IF(D70=0,1,0))</f>
        <v>0</v>
      </c>
      <c r="G70" s="1964"/>
      <c r="H70" s="1963"/>
      <c r="I70" s="138">
        <f>IF(G70="",0,IF(G70=0,1,0))</f>
        <v>0</v>
      </c>
      <c r="J70" s="1996"/>
      <c r="K70" s="1996"/>
      <c r="L70" s="138">
        <f>IF(J70="",0,IF(J70=0,1,0))</f>
        <v>0</v>
      </c>
      <c r="M70" s="1964"/>
      <c r="N70" s="1963"/>
      <c r="O70" s="751">
        <f>IF(M70="",0,IF(M70=0,1,0))</f>
        <v>0</v>
      </c>
    </row>
    <row r="71" spans="1:25" s="126" customFormat="1" ht="15" customHeight="1">
      <c r="A71" s="125"/>
      <c r="B71" s="368">
        <v>1</v>
      </c>
      <c r="C71" s="148">
        <v>15</v>
      </c>
      <c r="D71" s="1995"/>
      <c r="E71" s="1996"/>
      <c r="F71" s="138">
        <f>IF(D71="",0,IF(D71=0,1,0))</f>
        <v>0</v>
      </c>
      <c r="G71" s="2005"/>
      <c r="H71" s="1976"/>
      <c r="I71" s="1977"/>
      <c r="J71" s="1996"/>
      <c r="K71" s="1996"/>
      <c r="L71" s="138">
        <f>IF(J71="",0,IF(J71=0,1,0))</f>
        <v>0</v>
      </c>
      <c r="M71" s="2005"/>
      <c r="N71" s="1976"/>
      <c r="O71" s="2006"/>
    </row>
    <row r="72" spans="1:25" s="126" customFormat="1" ht="15" customHeight="1" thickBot="1">
      <c r="A72" s="125"/>
      <c r="B72" s="368">
        <v>1</v>
      </c>
      <c r="C72" s="148">
        <v>20</v>
      </c>
      <c r="D72" s="1997"/>
      <c r="E72" s="1998"/>
      <c r="F72" s="138">
        <f>IF(D72="",0,IF(D72=0,1,0))</f>
        <v>0</v>
      </c>
      <c r="G72" s="2011"/>
      <c r="H72" s="1979"/>
      <c r="I72" s="1977"/>
      <c r="J72" s="1996"/>
      <c r="K72" s="1996"/>
      <c r="L72" s="138">
        <f>IF(J72="",0,IF(J72=0,1,0))</f>
        <v>0</v>
      </c>
      <c r="M72" s="2005"/>
      <c r="N72" s="1976"/>
      <c r="O72" s="2006"/>
    </row>
    <row r="73" spans="1:25" s="126" customFormat="1" ht="15" customHeight="1" thickBot="1">
      <c r="A73" s="125"/>
      <c r="B73" s="2007" t="s">
        <v>2595</v>
      </c>
      <c r="C73" s="2008"/>
      <c r="D73" s="2009">
        <f>SUM(F70:F72,I70)</f>
        <v>0</v>
      </c>
      <c r="E73" s="1972"/>
      <c r="F73" s="1972"/>
      <c r="G73" s="1972"/>
      <c r="H73" s="1972"/>
      <c r="I73" s="1973"/>
      <c r="J73" s="1972">
        <f>SUM(L70:L72,O70)</f>
        <v>0</v>
      </c>
      <c r="K73" s="1972"/>
      <c r="L73" s="1972"/>
      <c r="M73" s="1972"/>
      <c r="N73" s="1972"/>
      <c r="O73" s="1974"/>
    </row>
    <row r="74" spans="1:25" s="126" customFormat="1" ht="15" customHeight="1" thickBot="1">
      <c r="A74" s="125"/>
      <c r="B74" s="125"/>
      <c r="C74" s="127"/>
      <c r="D74" s="125"/>
      <c r="E74" s="125"/>
      <c r="F74" s="125"/>
      <c r="G74" s="125"/>
      <c r="H74" s="125"/>
      <c r="I74" s="125"/>
    </row>
    <row r="75" spans="1:25" s="126" customFormat="1" ht="15" customHeight="1">
      <c r="A75" s="125"/>
      <c r="B75" s="130" t="s">
        <v>2600</v>
      </c>
      <c r="C75" s="131"/>
      <c r="D75" s="1981" t="s">
        <v>632</v>
      </c>
      <c r="E75" s="1982"/>
      <c r="F75" s="1982"/>
      <c r="G75" s="1982"/>
      <c r="H75" s="1982"/>
      <c r="I75" s="1982"/>
      <c r="J75" s="1982"/>
      <c r="K75" s="1982"/>
      <c r="L75" s="1982"/>
      <c r="M75" s="1982"/>
      <c r="N75" s="1982"/>
      <c r="O75" s="1983"/>
    </row>
    <row r="76" spans="1:25" s="126" customFormat="1" ht="15" customHeight="1">
      <c r="A76" s="125"/>
      <c r="B76" s="128"/>
      <c r="C76" s="129"/>
      <c r="D76" s="1984" t="s">
        <v>2599</v>
      </c>
      <c r="E76" s="1985"/>
      <c r="F76" s="1986"/>
      <c r="G76" s="1987" t="s">
        <v>2598</v>
      </c>
      <c r="H76" s="1985"/>
      <c r="I76" s="1986"/>
      <c r="J76" s="1985" t="s">
        <v>2597</v>
      </c>
      <c r="K76" s="1985"/>
      <c r="L76" s="1986"/>
      <c r="M76" s="1987" t="s">
        <v>2596</v>
      </c>
      <c r="N76" s="1985"/>
      <c r="O76" s="1988"/>
    </row>
    <row r="77" spans="1:25" s="126" customFormat="1" ht="15" customHeight="1">
      <c r="A77" s="125"/>
      <c r="B77" s="128"/>
      <c r="C77" s="129"/>
      <c r="D77" s="1984" t="s">
        <v>623</v>
      </c>
      <c r="E77" s="1985"/>
      <c r="F77" s="479" t="s">
        <v>40</v>
      </c>
      <c r="G77" s="1987" t="s">
        <v>623</v>
      </c>
      <c r="H77" s="1985"/>
      <c r="I77" s="479" t="s">
        <v>40</v>
      </c>
      <c r="J77" s="1987" t="s">
        <v>623</v>
      </c>
      <c r="K77" s="1985"/>
      <c r="L77" s="479" t="s">
        <v>40</v>
      </c>
      <c r="M77" s="1987" t="s">
        <v>623</v>
      </c>
      <c r="N77" s="1985"/>
      <c r="O77" s="754" t="s">
        <v>40</v>
      </c>
    </row>
    <row r="78" spans="1:25" s="126" customFormat="1" ht="15" customHeight="1">
      <c r="A78" s="125"/>
      <c r="B78" s="368">
        <v>1</v>
      </c>
      <c r="C78" s="148">
        <v>4</v>
      </c>
      <c r="D78" s="2010"/>
      <c r="E78" s="1963"/>
      <c r="F78" s="1065" t="str">
        <f>IF(D78="","Fail",IF(D78=0,"Pass","Fail"))</f>
        <v>Fail</v>
      </c>
      <c r="G78" s="1964"/>
      <c r="H78" s="1963"/>
      <c r="I78" s="1065" t="str">
        <f>IF(G78="","Fail",IF(G78=0,"Pass","Fail"))</f>
        <v>Fail</v>
      </c>
      <c r="J78" s="1963"/>
      <c r="K78" s="1963"/>
      <c r="L78" s="1065" t="str">
        <f>IF(J78="","Fail",IF(J78=0,"Pass","Fail"))</f>
        <v>Fail</v>
      </c>
      <c r="M78" s="1964"/>
      <c r="N78" s="1963"/>
      <c r="O78" s="751">
        <f>IF(M78="",0,IF(M78=0,1,0))</f>
        <v>0</v>
      </c>
      <c r="P78" s="807"/>
    </row>
    <row r="79" spans="1:25" s="126" customFormat="1" ht="15" customHeight="1">
      <c r="A79" s="125"/>
      <c r="B79" s="368">
        <v>1</v>
      </c>
      <c r="C79" s="148">
        <v>8</v>
      </c>
      <c r="D79" s="2010"/>
      <c r="E79" s="1963"/>
      <c r="F79" s="1065" t="str">
        <f>IF(D79="","Fail",IF(D79=0,"Pass","Fail"))</f>
        <v>Fail</v>
      </c>
      <c r="G79" s="1964"/>
      <c r="H79" s="1963"/>
      <c r="I79" s="1065" t="str">
        <f>IF(G79="","Fail",IF(G79=0,"Pass","Fail"))</f>
        <v>Fail</v>
      </c>
      <c r="J79" s="1963"/>
      <c r="K79" s="1963"/>
      <c r="L79" s="1065" t="str">
        <f>IF(J79="","Fail",IF(J79=0,"Pass","Fail"))</f>
        <v>Fail</v>
      </c>
      <c r="M79" s="1964"/>
      <c r="N79" s="1963"/>
      <c r="O79" s="751">
        <f>IF(M79="",0,IF(M79=0,1,0))</f>
        <v>0</v>
      </c>
      <c r="P79" s="807"/>
    </row>
    <row r="80" spans="1:25" s="126" customFormat="1" ht="15" customHeight="1" thickBot="1">
      <c r="A80" s="125"/>
      <c r="B80" s="368"/>
      <c r="C80" s="148" t="s">
        <v>2708</v>
      </c>
      <c r="D80" s="1997" t="s">
        <v>2706</v>
      </c>
      <c r="E80" s="1998"/>
      <c r="F80" s="1998"/>
      <c r="G80" s="1998"/>
      <c r="H80" s="1998"/>
      <c r="I80" s="1998"/>
      <c r="J80" s="1998"/>
      <c r="K80" s="1998"/>
      <c r="L80" s="1998"/>
      <c r="M80" s="1998"/>
      <c r="N80" s="1998"/>
      <c r="O80" s="2012"/>
    </row>
    <row r="81" spans="1:19" s="126" customFormat="1" ht="15" customHeight="1" thickBot="1">
      <c r="A81" s="125"/>
      <c r="B81" s="2007" t="s">
        <v>2595</v>
      </c>
      <c r="C81" s="2008"/>
      <c r="D81" s="2009">
        <f>IF(AND(D80="PASS",F78="Pass",I78="Pass",L78="Pass"),1,0)+IF(AND(D80="PASS",F79="Pass",I79="Pass",L79="Pass"),1,0)</f>
        <v>0</v>
      </c>
      <c r="E81" s="1972"/>
      <c r="F81" s="1972"/>
      <c r="G81" s="1972"/>
      <c r="H81" s="1972"/>
      <c r="I81" s="1972"/>
      <c r="J81" s="1972"/>
      <c r="K81" s="1972"/>
      <c r="L81" s="1973"/>
      <c r="M81" s="1972">
        <f>IF(D80="PASS",SUM(O78:O79))</f>
        <v>0</v>
      </c>
      <c r="N81" s="1972"/>
      <c r="O81" s="1974"/>
    </row>
    <row r="82" spans="1:19" s="126" customFormat="1" ht="15" customHeight="1" thickBot="1">
      <c r="A82" s="125"/>
      <c r="B82" s="125"/>
      <c r="C82" s="127"/>
      <c r="D82" s="125"/>
      <c r="E82" s="125"/>
      <c r="F82" s="125"/>
      <c r="G82" s="125"/>
      <c r="H82" s="125"/>
      <c r="I82" s="125"/>
      <c r="S82" s="762"/>
    </row>
    <row r="83" spans="1:19" s="126" customFormat="1" ht="15" customHeight="1" thickBot="1">
      <c r="A83" s="125"/>
      <c r="B83" s="2017" t="s">
        <v>37</v>
      </c>
      <c r="C83" s="2018"/>
      <c r="D83" s="2002" t="s">
        <v>632</v>
      </c>
      <c r="E83" s="2003"/>
      <c r="F83" s="2003"/>
      <c r="G83" s="2003"/>
      <c r="H83" s="2003"/>
      <c r="I83" s="2004"/>
      <c r="J83" s="2002" t="s">
        <v>633</v>
      </c>
      <c r="K83" s="2003"/>
      <c r="L83" s="2003"/>
      <c r="M83" s="2003"/>
      <c r="N83" s="2003"/>
      <c r="O83" s="2004"/>
    </row>
    <row r="84" spans="1:19" s="126" customFormat="1" ht="15" customHeight="1">
      <c r="A84" s="125"/>
      <c r="B84" s="128"/>
      <c r="C84" s="364"/>
      <c r="D84" s="1984"/>
      <c r="E84" s="1985"/>
      <c r="F84" s="1985"/>
      <c r="G84" s="1985" t="s">
        <v>40</v>
      </c>
      <c r="H84" s="1985"/>
      <c r="I84" s="1988"/>
      <c r="J84" s="1984"/>
      <c r="K84" s="1985"/>
      <c r="L84" s="1985"/>
      <c r="M84" s="1985" t="s">
        <v>40</v>
      </c>
      <c r="N84" s="1985"/>
      <c r="O84" s="1988"/>
    </row>
    <row r="85" spans="1:19" s="126" customFormat="1" ht="15" customHeight="1">
      <c r="A85" s="125"/>
      <c r="B85" s="133"/>
      <c r="C85" s="400" t="s">
        <v>626</v>
      </c>
      <c r="D85" s="1968">
        <f ca="1">ROUND(D32/20,Round)</f>
        <v>0</v>
      </c>
      <c r="E85" s="1969"/>
      <c r="F85" s="1969"/>
      <c r="G85" s="1959">
        <f ca="1">D85*0.25</f>
        <v>0</v>
      </c>
      <c r="H85" s="1959"/>
      <c r="I85" s="1960"/>
      <c r="J85" s="1968">
        <f ca="1">ROUND(D47/20,Round)</f>
        <v>0</v>
      </c>
      <c r="K85" s="1969"/>
      <c r="L85" s="1969"/>
      <c r="M85" s="1959">
        <f ca="1">J85*0.75</f>
        <v>0</v>
      </c>
      <c r="N85" s="1959"/>
      <c r="O85" s="1960"/>
    </row>
    <row r="86" spans="1:19" ht="15" customHeight="1">
      <c r="B86" s="133"/>
      <c r="C86" s="401" t="s">
        <v>627</v>
      </c>
      <c r="D86" s="1968">
        <f ca="1">ROUND(G32/20,Round)</f>
        <v>0</v>
      </c>
      <c r="E86" s="1969"/>
      <c r="F86" s="1969"/>
      <c r="G86" s="1959">
        <f ca="1">D86*0.125</f>
        <v>0</v>
      </c>
      <c r="H86" s="1959"/>
      <c r="I86" s="1960"/>
      <c r="J86" s="1968">
        <f ca="1">ROUND(G47/20,Round)</f>
        <v>0</v>
      </c>
      <c r="K86" s="1969"/>
      <c r="L86" s="1969"/>
      <c r="M86" s="1959">
        <f ca="1">J86*0.375</f>
        <v>0</v>
      </c>
      <c r="N86" s="1959"/>
      <c r="O86" s="1960"/>
    </row>
    <row r="87" spans="1:19" ht="15" customHeight="1">
      <c r="B87" s="133"/>
      <c r="C87" s="401" t="s">
        <v>628</v>
      </c>
      <c r="D87" s="1968">
        <f ca="1">ROUND(J32/20,Round)</f>
        <v>0</v>
      </c>
      <c r="E87" s="1969"/>
      <c r="F87" s="1969"/>
      <c r="G87" s="1959">
        <f ca="1">D87*0.125</f>
        <v>0</v>
      </c>
      <c r="H87" s="1959"/>
      <c r="I87" s="1960"/>
      <c r="J87" s="1968">
        <f ca="1">ROUND(J47/20,Round)</f>
        <v>0</v>
      </c>
      <c r="K87" s="1969"/>
      <c r="L87" s="1969"/>
      <c r="M87" s="1959">
        <f ca="1">J87*0.375</f>
        <v>0</v>
      </c>
      <c r="N87" s="1959"/>
      <c r="O87" s="1960"/>
    </row>
    <row r="88" spans="1:19" ht="15" customHeight="1">
      <c r="B88" s="133"/>
      <c r="C88" s="401" t="s">
        <v>2608</v>
      </c>
      <c r="D88" s="1968">
        <f ca="1">ROUND(M32/20,Round)</f>
        <v>0</v>
      </c>
      <c r="E88" s="1969"/>
      <c r="F88" s="1969"/>
      <c r="G88" s="1959">
        <f ca="1">D88*1</f>
        <v>0</v>
      </c>
      <c r="H88" s="1959"/>
      <c r="I88" s="1960"/>
      <c r="J88" s="1968">
        <f ca="1">ROUND(M47/20,Round)</f>
        <v>0</v>
      </c>
      <c r="K88" s="1969"/>
      <c r="L88" s="1969"/>
      <c r="M88" s="1959">
        <f ca="1">J88*0.5</f>
        <v>0</v>
      </c>
      <c r="N88" s="1959"/>
      <c r="O88" s="1960"/>
    </row>
    <row r="89" spans="1:19" ht="15" customHeight="1">
      <c r="B89" s="133"/>
      <c r="C89" s="401" t="s">
        <v>692</v>
      </c>
      <c r="D89" s="1968">
        <f ca="1">ROUND((D65+G65)/30,Round)</f>
        <v>0</v>
      </c>
      <c r="E89" s="1969"/>
      <c r="F89" s="1969"/>
      <c r="G89" s="1959">
        <f ca="1">D89*0.5</f>
        <v>0</v>
      </c>
      <c r="H89" s="1959"/>
      <c r="I89" s="1960"/>
      <c r="J89" s="1968">
        <f ca="1">ROUND((J65+M65)/30,Round)</f>
        <v>0</v>
      </c>
      <c r="K89" s="1969"/>
      <c r="L89" s="1969"/>
      <c r="M89" s="1959">
        <f ca="1">J89*1</f>
        <v>0</v>
      </c>
      <c r="N89" s="1959"/>
      <c r="O89" s="1960"/>
    </row>
    <row r="90" spans="1:19" ht="15" customHeight="1">
      <c r="B90" s="133"/>
      <c r="C90" s="401" t="s">
        <v>837</v>
      </c>
      <c r="D90" s="1968">
        <f>ROUND((D73+J73)/8,Round)</f>
        <v>0</v>
      </c>
      <c r="E90" s="1969"/>
      <c r="F90" s="1969"/>
      <c r="G90" s="1959">
        <f>D90*2</f>
        <v>0</v>
      </c>
      <c r="H90" s="1959"/>
      <c r="I90" s="1960"/>
      <c r="J90" s="1968"/>
      <c r="K90" s="1969"/>
      <c r="L90" s="1969"/>
      <c r="M90" s="1969"/>
      <c r="N90" s="1969"/>
      <c r="O90" s="1970"/>
    </row>
    <row r="91" spans="1:19" ht="15" customHeight="1" thickBot="1">
      <c r="B91" s="135"/>
      <c r="C91" s="402" t="s">
        <v>838</v>
      </c>
      <c r="D91" s="1965">
        <f>ROUND((D81+M81)/4,Round)</f>
        <v>0</v>
      </c>
      <c r="E91" s="1966"/>
      <c r="F91" s="1966"/>
      <c r="G91" s="1961">
        <f>D91*2</f>
        <v>0</v>
      </c>
      <c r="H91" s="1961"/>
      <c r="I91" s="1962"/>
      <c r="J91" s="1965"/>
      <c r="K91" s="1966"/>
      <c r="L91" s="1966"/>
      <c r="M91" s="1966"/>
      <c r="N91" s="1966"/>
      <c r="O91" s="1967"/>
    </row>
    <row r="92" spans="1:19" s="126" customFormat="1" ht="15" customHeight="1" thickBot="1">
      <c r="A92" s="125"/>
      <c r="B92" s="2007" t="s">
        <v>62</v>
      </c>
      <c r="C92" s="2008"/>
      <c r="D92" s="2009">
        <f ca="1">SUM(G85:I91)</f>
        <v>0</v>
      </c>
      <c r="E92" s="1972"/>
      <c r="F92" s="1972"/>
      <c r="G92" s="1972"/>
      <c r="H92" s="1972"/>
      <c r="I92" s="1974"/>
      <c r="J92" s="2009">
        <f ca="1">SUM(M85:O89)</f>
        <v>0</v>
      </c>
      <c r="K92" s="1972"/>
      <c r="L92" s="1972"/>
      <c r="M92" s="1972"/>
      <c r="N92" s="1972"/>
      <c r="O92" s="1974"/>
    </row>
    <row r="93" spans="1:19" ht="15" customHeight="1" thickBot="1"/>
    <row r="94" spans="1:19" ht="21.75" thickBot="1">
      <c r="B94" s="2013" t="s">
        <v>551</v>
      </c>
      <c r="C94" s="2014"/>
      <c r="D94" s="1999">
        <f>IF(NOT(D16="PASS"),0,SUM(D92:O92))</f>
        <v>0</v>
      </c>
      <c r="E94" s="2000"/>
      <c r="F94" s="2000"/>
      <c r="G94" s="2000"/>
      <c r="H94" s="2000"/>
      <c r="I94" s="2000"/>
      <c r="J94" s="2000"/>
      <c r="K94" s="2000"/>
      <c r="L94" s="2000"/>
      <c r="M94" s="2000"/>
      <c r="N94" s="2000"/>
      <c r="O94" s="2001"/>
      <c r="P94" s="837"/>
    </row>
  </sheetData>
  <dataConsolidate/>
  <mergeCells count="166">
    <mergeCell ref="B47:C47"/>
    <mergeCell ref="D47:F47"/>
    <mergeCell ref="G47:I47"/>
    <mergeCell ref="D18:O18"/>
    <mergeCell ref="G32:I32"/>
    <mergeCell ref="J32:L32"/>
    <mergeCell ref="M32:O32"/>
    <mergeCell ref="D32:F32"/>
    <mergeCell ref="B2:C3"/>
    <mergeCell ref="B4:C4"/>
    <mergeCell ref="D34:F34"/>
    <mergeCell ref="G34:I34"/>
    <mergeCell ref="D9:O9"/>
    <mergeCell ref="D2:O4"/>
    <mergeCell ref="D5:O5"/>
    <mergeCell ref="D6:O6"/>
    <mergeCell ref="D7:O7"/>
    <mergeCell ref="D8:O8"/>
    <mergeCell ref="B16:C16"/>
    <mergeCell ref="D13:I13"/>
    <mergeCell ref="J13:O13"/>
    <mergeCell ref="B32:C32"/>
    <mergeCell ref="D14:O14"/>
    <mergeCell ref="D15:O15"/>
    <mergeCell ref="B92:C92"/>
    <mergeCell ref="D92:I92"/>
    <mergeCell ref="J92:O92"/>
    <mergeCell ref="D73:I73"/>
    <mergeCell ref="J73:O73"/>
    <mergeCell ref="D49:I49"/>
    <mergeCell ref="G85:I85"/>
    <mergeCell ref="D76:F76"/>
    <mergeCell ref="D88:F88"/>
    <mergeCell ref="G88:I88"/>
    <mergeCell ref="D50:F50"/>
    <mergeCell ref="G50:I50"/>
    <mergeCell ref="G76:I76"/>
    <mergeCell ref="G52:I52"/>
    <mergeCell ref="G64:H64"/>
    <mergeCell ref="G79:H79"/>
    <mergeCell ref="B83:C83"/>
    <mergeCell ref="B65:C65"/>
    <mergeCell ref="D65:F65"/>
    <mergeCell ref="G65:I65"/>
    <mergeCell ref="G86:I86"/>
    <mergeCell ref="B81:C81"/>
    <mergeCell ref="D61:F61"/>
    <mergeCell ref="D62:F62"/>
    <mergeCell ref="B94:C94"/>
    <mergeCell ref="D19:F19"/>
    <mergeCell ref="G19:I19"/>
    <mergeCell ref="J19:L19"/>
    <mergeCell ref="M19:O19"/>
    <mergeCell ref="D87:F87"/>
    <mergeCell ref="D89:F89"/>
    <mergeCell ref="D90:F90"/>
    <mergeCell ref="D91:F91"/>
    <mergeCell ref="G78:H78"/>
    <mergeCell ref="D68:F68"/>
    <mergeCell ref="J68:L68"/>
    <mergeCell ref="M55:O55"/>
    <mergeCell ref="M56:O56"/>
    <mergeCell ref="M57:O57"/>
    <mergeCell ref="D75:O75"/>
    <mergeCell ref="M63:N63"/>
    <mergeCell ref="M64:N64"/>
    <mergeCell ref="M61:N61"/>
    <mergeCell ref="M62:N62"/>
    <mergeCell ref="G61:H61"/>
    <mergeCell ref="J65:L65"/>
    <mergeCell ref="G68:I68"/>
    <mergeCell ref="M68:O68"/>
    <mergeCell ref="B73:C73"/>
    <mergeCell ref="M81:O81"/>
    <mergeCell ref="D81:L81"/>
    <mergeCell ref="D78:E78"/>
    <mergeCell ref="D79:E79"/>
    <mergeCell ref="G71:I71"/>
    <mergeCell ref="M71:O71"/>
    <mergeCell ref="G72:I72"/>
    <mergeCell ref="D67:O67"/>
    <mergeCell ref="D77:E77"/>
    <mergeCell ref="G77:H77"/>
    <mergeCell ref="M72:O72"/>
    <mergeCell ref="M70:N70"/>
    <mergeCell ref="M76:O76"/>
    <mergeCell ref="J76:L76"/>
    <mergeCell ref="G69:H69"/>
    <mergeCell ref="J69:K69"/>
    <mergeCell ref="D80:O80"/>
    <mergeCell ref="D94:O94"/>
    <mergeCell ref="D33:O33"/>
    <mergeCell ref="J34:L34"/>
    <mergeCell ref="M34:O34"/>
    <mergeCell ref="G62:H62"/>
    <mergeCell ref="G63:H63"/>
    <mergeCell ref="D83:I83"/>
    <mergeCell ref="D64:F64"/>
    <mergeCell ref="J83:O83"/>
    <mergeCell ref="M69:N69"/>
    <mergeCell ref="G53:I53"/>
    <mergeCell ref="G54:I54"/>
    <mergeCell ref="G55:I55"/>
    <mergeCell ref="G56:I56"/>
    <mergeCell ref="G57:I57"/>
    <mergeCell ref="M54:O54"/>
    <mergeCell ref="M51:N51"/>
    <mergeCell ref="M58:N58"/>
    <mergeCell ref="M59:N59"/>
    <mergeCell ref="M60:N60"/>
    <mergeCell ref="M53:O53"/>
    <mergeCell ref="M52:O52"/>
    <mergeCell ref="M88:O88"/>
    <mergeCell ref="M89:O89"/>
    <mergeCell ref="J11:O12"/>
    <mergeCell ref="D11:I12"/>
    <mergeCell ref="D16:O16"/>
    <mergeCell ref="D84:F84"/>
    <mergeCell ref="G84:I84"/>
    <mergeCell ref="J84:L84"/>
    <mergeCell ref="M84:O84"/>
    <mergeCell ref="G51:H51"/>
    <mergeCell ref="G58:H58"/>
    <mergeCell ref="G59:H59"/>
    <mergeCell ref="G60:H60"/>
    <mergeCell ref="J77:K77"/>
    <mergeCell ref="M77:N77"/>
    <mergeCell ref="D69:E69"/>
    <mergeCell ref="D70:E70"/>
    <mergeCell ref="D71:E71"/>
    <mergeCell ref="D72:E72"/>
    <mergeCell ref="G70:H70"/>
    <mergeCell ref="J70:K70"/>
    <mergeCell ref="J71:K71"/>
    <mergeCell ref="J72:K72"/>
    <mergeCell ref="D85:F85"/>
    <mergeCell ref="D86:F86"/>
    <mergeCell ref="J85:L85"/>
    <mergeCell ref="J86:L86"/>
    <mergeCell ref="M85:O85"/>
    <mergeCell ref="M86:O86"/>
    <mergeCell ref="G89:I89"/>
    <mergeCell ref="J47:L47"/>
    <mergeCell ref="M47:O47"/>
    <mergeCell ref="D63:F63"/>
    <mergeCell ref="J61:L61"/>
    <mergeCell ref="J62:L62"/>
    <mergeCell ref="J63:L63"/>
    <mergeCell ref="M65:O65"/>
    <mergeCell ref="J64:L64"/>
    <mergeCell ref="J49:O49"/>
    <mergeCell ref="J50:L50"/>
    <mergeCell ref="M50:O50"/>
    <mergeCell ref="G90:I90"/>
    <mergeCell ref="G91:I91"/>
    <mergeCell ref="J78:K78"/>
    <mergeCell ref="J79:K79"/>
    <mergeCell ref="M78:N78"/>
    <mergeCell ref="M79:N79"/>
    <mergeCell ref="J91:O91"/>
    <mergeCell ref="J90:O90"/>
    <mergeCell ref="M87:O87"/>
    <mergeCell ref="J87:L87"/>
    <mergeCell ref="J88:L88"/>
    <mergeCell ref="J89:L89"/>
    <mergeCell ref="G87:I87"/>
  </mergeCells>
  <conditionalFormatting sqref="D21:D31 G21:G31 J21:J31 M21:M31">
    <cfRule type="cellIs" dxfId="1142" priority="163" operator="equal">
      <formula>"Green"</formula>
    </cfRule>
    <cfRule type="cellIs" dxfId="1141" priority="164" operator="equal">
      <formula>"Yellow"</formula>
    </cfRule>
    <cfRule type="cellIs" dxfId="1140" priority="165" operator="equal">
      <formula>"Orange"</formula>
    </cfRule>
    <cfRule type="cellIs" dxfId="1139" priority="166" operator="equal">
      <formula>"Brown"</formula>
    </cfRule>
    <cfRule type="cellIs" dxfId="1138" priority="167" operator="equal">
      <formula>"Red"</formula>
    </cfRule>
    <cfRule type="cellIs" dxfId="1137" priority="168" operator="equal">
      <formula>"D Red"</formula>
    </cfRule>
  </conditionalFormatting>
  <conditionalFormatting sqref="D36:D46">
    <cfRule type="cellIs" dxfId="1136" priority="31" operator="equal">
      <formula>"Green"</formula>
    </cfRule>
    <cfRule type="cellIs" dxfId="1135" priority="32" operator="equal">
      <formula>"Yellow"</formula>
    </cfRule>
    <cfRule type="cellIs" dxfId="1134" priority="33" operator="equal">
      <formula>"Orange"</formula>
    </cfRule>
    <cfRule type="cellIs" dxfId="1133" priority="34" operator="equal">
      <formula>"Brown"</formula>
    </cfRule>
    <cfRule type="cellIs" dxfId="1132" priority="35" operator="equal">
      <formula>"Red"</formula>
    </cfRule>
    <cfRule type="cellIs" dxfId="1131" priority="36" operator="equal">
      <formula>"D Red"</formula>
    </cfRule>
  </conditionalFormatting>
  <conditionalFormatting sqref="G36:G46">
    <cfRule type="cellIs" dxfId="1130" priority="25" operator="equal">
      <formula>"Green"</formula>
    </cfRule>
    <cfRule type="cellIs" dxfId="1129" priority="26" operator="equal">
      <formula>"Yellow"</formula>
    </cfRule>
    <cfRule type="cellIs" dxfId="1128" priority="27" operator="equal">
      <formula>"Orange"</formula>
    </cfRule>
    <cfRule type="cellIs" dxfId="1127" priority="28" operator="equal">
      <formula>"Brown"</formula>
    </cfRule>
    <cfRule type="cellIs" dxfId="1126" priority="29" operator="equal">
      <formula>"Red"</formula>
    </cfRule>
    <cfRule type="cellIs" dxfId="1125" priority="30" operator="equal">
      <formula>"D Red"</formula>
    </cfRule>
  </conditionalFormatting>
  <conditionalFormatting sqref="J36:J46">
    <cfRule type="cellIs" dxfId="1124" priority="19" operator="equal">
      <formula>"Green"</formula>
    </cfRule>
    <cfRule type="cellIs" dxfId="1123" priority="20" operator="equal">
      <formula>"Yellow"</formula>
    </cfRule>
    <cfRule type="cellIs" dxfId="1122" priority="21" operator="equal">
      <formula>"Orange"</formula>
    </cfRule>
    <cfRule type="cellIs" dxfId="1121" priority="22" operator="equal">
      <formula>"Brown"</formula>
    </cfRule>
    <cfRule type="cellIs" dxfId="1120" priority="23" operator="equal">
      <formula>"Red"</formula>
    </cfRule>
    <cfRule type="cellIs" dxfId="1119" priority="24" operator="equal">
      <formula>"D Red"</formula>
    </cfRule>
  </conditionalFormatting>
  <conditionalFormatting sqref="M36:M46">
    <cfRule type="cellIs" dxfId="1118" priority="13" operator="equal">
      <formula>"Green"</formula>
    </cfRule>
    <cfRule type="cellIs" dxfId="1117" priority="14" operator="equal">
      <formula>"Yellow"</formula>
    </cfRule>
    <cfRule type="cellIs" dxfId="1116" priority="15" operator="equal">
      <formula>"Orange"</formula>
    </cfRule>
    <cfRule type="cellIs" dxfId="1115" priority="16" operator="equal">
      <formula>"Brown"</formula>
    </cfRule>
    <cfRule type="cellIs" dxfId="1114" priority="17" operator="equal">
      <formula>"Red"</formula>
    </cfRule>
    <cfRule type="cellIs" dxfId="1113" priority="18" operator="equal">
      <formula>"D Red"</formula>
    </cfRule>
  </conditionalFormatting>
  <conditionalFormatting sqref="D52:D60">
    <cfRule type="cellIs" dxfId="1112" priority="7" operator="equal">
      <formula>"Green"</formula>
    </cfRule>
    <cfRule type="cellIs" dxfId="1111" priority="8" operator="equal">
      <formula>"Yellow"</formula>
    </cfRule>
    <cfRule type="cellIs" dxfId="1110" priority="9" operator="equal">
      <formula>"Orange"</formula>
    </cfRule>
    <cfRule type="cellIs" dxfId="1109" priority="10" operator="equal">
      <formula>"Brown"</formula>
    </cfRule>
    <cfRule type="cellIs" dxfId="1108" priority="11" operator="equal">
      <formula>"Red"</formula>
    </cfRule>
    <cfRule type="cellIs" dxfId="1107" priority="12" operator="equal">
      <formula>"D Red"</formula>
    </cfRule>
  </conditionalFormatting>
  <conditionalFormatting sqref="J52:J60">
    <cfRule type="cellIs" dxfId="1106" priority="1" operator="equal">
      <formula>"Green"</formula>
    </cfRule>
    <cfRule type="cellIs" dxfId="1105" priority="2" operator="equal">
      <formula>"Yellow"</formula>
    </cfRule>
    <cfRule type="cellIs" dxfId="1104" priority="3" operator="equal">
      <formula>"Orange"</formula>
    </cfRule>
    <cfRule type="cellIs" dxfId="1103" priority="4" operator="equal">
      <formula>"Brown"</formula>
    </cfRule>
    <cfRule type="cellIs" dxfId="1102" priority="5" operator="equal">
      <formula>"Red"</formula>
    </cfRule>
    <cfRule type="cellIs" dxfId="1101" priority="6" operator="equal">
      <formula>"D Red"</formula>
    </cfRule>
  </conditionalFormatting>
  <dataValidations count="3">
    <dataValidation type="list" allowBlank="1" showInputMessage="1" showErrorMessage="1" sqref="J13 D13:D15" xr:uid="{3AD98BDC-54DD-F347-9E9A-70026B6C2663}">
      <formula1>"YES,NO"</formula1>
    </dataValidation>
    <dataValidation type="list" allowBlank="1" showInputMessage="1" showErrorMessage="1" sqref="D13 J13 D80:O80" xr:uid="{856104F5-4865-824C-8D42-85BA638868BD}">
      <formula1>"PASS,FAIL"</formula1>
    </dataValidation>
    <dataValidation type="list" allowBlank="1" showInputMessage="1" showErrorMessage="1" sqref="D7" xr:uid="{9612791A-7487-2A42-9BBC-32E57DCF8C91}">
      <formula1>"Auto-Brake,Auto-Brake with Forward Collision Warning"</formula1>
    </dataValidation>
  </dataValidations>
  <pageMargins left="0.8" right="0.44" top="0.53" bottom="1" header="0.5" footer="0.5"/>
  <pageSetup paperSize="9" scale="51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DE683CB-59AD-4C84-9E84-F33D6D6382E1}">
          <x14:formula1>
            <xm:f>Datasheet!$I$62:$I$66</xm:f>
          </x14:formula1>
          <xm:sqref>D21:D31 G21:G31 J21:J31 M21:M31 D36:D46 G36:G46 J36:J46 M36:M46 D52:D60 J52:J60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6C443-F920-4CB7-83A2-DCC7222A4161}">
  <sheetPr codeName="Sheet7">
    <tabColor rgb="FF00B050"/>
    <pageSetUpPr fitToPage="1"/>
  </sheetPr>
  <dimension ref="A1:AD76"/>
  <sheetViews>
    <sheetView showGridLines="0" showOutlineSymbols="0" topLeftCell="A5" zoomScaleNormal="100" workbookViewId="0"/>
  </sheetViews>
  <sheetFormatPr defaultColWidth="9.85546875" defaultRowHeight="12.75"/>
  <cols>
    <col min="1" max="2" width="9.85546875" style="125"/>
    <col min="3" max="3" width="46.28515625" style="125" customWidth="1"/>
    <col min="4" max="15" width="7.85546875" style="125" customWidth="1"/>
    <col min="16" max="16" width="9.85546875" style="125"/>
    <col min="17" max="24" width="9.85546875" style="125" hidden="1" customWidth="1"/>
    <col min="25" max="16384" width="9.85546875" style="125"/>
  </cols>
  <sheetData>
    <row r="1" spans="1:25" ht="13.5" thickBot="1">
      <c r="A1" s="124">
        <v>3</v>
      </c>
    </row>
    <row r="2" spans="1:25" s="127" customFormat="1" ht="13.35" customHeight="1">
      <c r="B2" s="2020" t="s">
        <v>2624</v>
      </c>
      <c r="C2" s="2021"/>
      <c r="D2" s="2029"/>
      <c r="E2" s="2030"/>
      <c r="F2" s="2030"/>
      <c r="G2" s="2030"/>
      <c r="H2" s="2030"/>
      <c r="I2" s="2030"/>
      <c r="J2" s="2030"/>
      <c r="K2" s="2030"/>
      <c r="L2" s="2031"/>
      <c r="M2" s="137"/>
      <c r="N2" s="836"/>
      <c r="O2" s="160"/>
      <c r="P2" s="137"/>
      <c r="Q2" s="137"/>
      <c r="R2" s="137"/>
      <c r="S2" s="137"/>
      <c r="T2" s="137"/>
      <c r="U2" s="137"/>
      <c r="V2" s="137"/>
      <c r="W2" s="137"/>
      <c r="X2" s="137"/>
      <c r="Y2" s="137"/>
    </row>
    <row r="3" spans="1:25" s="127" customFormat="1" ht="15" customHeight="1">
      <c r="B3" s="2022"/>
      <c r="C3" s="2023"/>
      <c r="D3" s="2032"/>
      <c r="E3" s="2033"/>
      <c r="F3" s="2033"/>
      <c r="G3" s="2033"/>
      <c r="H3" s="2033"/>
      <c r="I3" s="2033"/>
      <c r="J3" s="2033"/>
      <c r="K3" s="2033"/>
      <c r="L3" s="2034"/>
      <c r="M3" s="137"/>
      <c r="N3" s="137"/>
      <c r="O3" s="137"/>
      <c r="P3" s="137"/>
      <c r="Q3" s="137"/>
      <c r="R3" s="807"/>
      <c r="S3" s="137"/>
      <c r="T3" s="137"/>
      <c r="U3" s="137"/>
      <c r="V3" s="137"/>
      <c r="W3" s="137"/>
      <c r="X3" s="137"/>
      <c r="Y3" s="137"/>
    </row>
    <row r="4" spans="1:25" ht="15" customHeight="1" thickBot="1">
      <c r="B4" s="2024" t="str">
        <f>'General Overview'!G12</f>
        <v/>
      </c>
      <c r="C4" s="2025"/>
      <c r="D4" s="2035"/>
      <c r="E4" s="2036"/>
      <c r="F4" s="2036"/>
      <c r="G4" s="2036"/>
      <c r="H4" s="2036"/>
      <c r="I4" s="2036"/>
      <c r="J4" s="2036"/>
      <c r="K4" s="2036"/>
      <c r="L4" s="2037"/>
      <c r="M4" s="137"/>
      <c r="N4" s="137"/>
      <c r="O4" s="137"/>
      <c r="P4" s="837"/>
      <c r="Q4" s="837"/>
      <c r="R4" s="807"/>
      <c r="S4" s="837"/>
      <c r="T4" s="837"/>
      <c r="U4" s="837"/>
      <c r="V4" s="837"/>
      <c r="W4" s="837"/>
      <c r="X4" s="837"/>
      <c r="Y4" s="837"/>
    </row>
    <row r="5" spans="1:25" s="126" customFormat="1" ht="15" customHeight="1">
      <c r="A5" s="125"/>
      <c r="B5" s="130" t="s">
        <v>243</v>
      </c>
      <c r="C5" s="363"/>
      <c r="D5" s="2038"/>
      <c r="E5" s="2039"/>
      <c r="F5" s="2039"/>
      <c r="G5" s="2039"/>
      <c r="H5" s="2039"/>
      <c r="I5" s="2039"/>
      <c r="J5" s="2039"/>
      <c r="K5" s="2039"/>
      <c r="L5" s="2040"/>
      <c r="M5" s="137"/>
      <c r="N5" s="137"/>
      <c r="O5" s="137"/>
      <c r="P5" s="807"/>
      <c r="Q5" s="807"/>
      <c r="R5" s="807"/>
      <c r="S5" s="807"/>
      <c r="T5" s="807"/>
      <c r="U5" s="807"/>
      <c r="V5" s="807"/>
      <c r="W5" s="807"/>
      <c r="X5" s="807"/>
      <c r="Y5" s="807"/>
    </row>
    <row r="6" spans="1:25" s="126" customFormat="1" ht="15" customHeight="1">
      <c r="A6" s="125"/>
      <c r="B6" s="128"/>
      <c r="C6" s="364" t="s">
        <v>624</v>
      </c>
      <c r="D6" s="2044"/>
      <c r="E6" s="2045"/>
      <c r="F6" s="2045"/>
      <c r="G6" s="2045"/>
      <c r="H6" s="2045"/>
      <c r="I6" s="2045"/>
      <c r="J6" s="2045"/>
      <c r="K6" s="2045"/>
      <c r="L6" s="2046"/>
      <c r="M6" s="137"/>
      <c r="N6" s="137"/>
      <c r="O6" s="137"/>
      <c r="P6" s="807"/>
      <c r="Q6" s="807"/>
      <c r="R6" s="807"/>
      <c r="S6" s="807"/>
      <c r="T6" s="807"/>
      <c r="U6" s="807"/>
      <c r="V6" s="807"/>
      <c r="W6" s="807"/>
      <c r="X6" s="807"/>
      <c r="Y6" s="807"/>
    </row>
    <row r="7" spans="1:25" s="126" customFormat="1" ht="15" customHeight="1">
      <c r="A7" s="125"/>
      <c r="B7" s="128"/>
      <c r="C7" s="364" t="s">
        <v>244</v>
      </c>
      <c r="D7" s="2044"/>
      <c r="E7" s="2045"/>
      <c r="F7" s="2045"/>
      <c r="G7" s="2045"/>
      <c r="H7" s="2045"/>
      <c r="I7" s="2045"/>
      <c r="J7" s="2045"/>
      <c r="K7" s="2045"/>
      <c r="L7" s="2046"/>
      <c r="M7" s="137"/>
      <c r="N7" s="137"/>
      <c r="O7" s="137"/>
      <c r="P7" s="807"/>
      <c r="Q7" s="807"/>
      <c r="R7" s="807"/>
      <c r="S7" s="807"/>
      <c r="T7" s="807"/>
      <c r="U7" s="807"/>
      <c r="V7" s="807"/>
      <c r="W7" s="807"/>
      <c r="X7" s="807"/>
      <c r="Y7" s="807"/>
    </row>
    <row r="8" spans="1:25" s="126" customFormat="1" ht="15" customHeight="1">
      <c r="A8" s="125"/>
      <c r="B8" s="128"/>
      <c r="C8" s="364" t="s">
        <v>362</v>
      </c>
      <c r="D8" s="2077"/>
      <c r="E8" s="2078"/>
      <c r="F8" s="2078"/>
      <c r="G8" s="2078"/>
      <c r="H8" s="2078"/>
      <c r="I8" s="2078"/>
      <c r="J8" s="2078"/>
      <c r="K8" s="2078"/>
      <c r="L8" s="2079"/>
      <c r="M8" s="137"/>
      <c r="N8" s="137"/>
      <c r="O8" s="137"/>
      <c r="P8" s="807"/>
      <c r="Q8" s="807"/>
      <c r="R8" s="807"/>
      <c r="S8" s="807"/>
      <c r="T8" s="807"/>
      <c r="U8" s="807"/>
      <c r="V8" s="807"/>
      <c r="W8" s="807"/>
      <c r="X8" s="807"/>
      <c r="Y8" s="807"/>
    </row>
    <row r="9" spans="1:25" s="126" customFormat="1" ht="15" customHeight="1" thickBot="1">
      <c r="A9" s="125"/>
      <c r="B9" s="135"/>
      <c r="C9" s="365" t="s">
        <v>245</v>
      </c>
      <c r="D9" s="2074"/>
      <c r="E9" s="2075"/>
      <c r="F9" s="2075"/>
      <c r="G9" s="2075"/>
      <c r="H9" s="2075"/>
      <c r="I9" s="2075"/>
      <c r="J9" s="2075"/>
      <c r="K9" s="2075"/>
      <c r="L9" s="2076"/>
      <c r="M9" s="137"/>
      <c r="N9" s="137"/>
      <c r="O9" s="137"/>
      <c r="P9" s="807"/>
      <c r="Q9" s="807"/>
      <c r="R9" s="807"/>
      <c r="S9" s="807"/>
      <c r="T9" s="807"/>
      <c r="U9" s="807"/>
      <c r="V9" s="807"/>
      <c r="W9" s="807"/>
      <c r="X9" s="807"/>
      <c r="Y9" s="807"/>
    </row>
    <row r="10" spans="1:25" s="126" customFormat="1" ht="15" customHeight="1" thickBot="1">
      <c r="A10" s="125"/>
      <c r="B10" s="125"/>
      <c r="C10" s="127"/>
      <c r="D10" s="125"/>
      <c r="E10" s="125"/>
      <c r="F10" s="125"/>
      <c r="G10" s="125"/>
      <c r="H10" s="125"/>
      <c r="I10" s="125"/>
      <c r="M10" s="137"/>
      <c r="N10" s="137"/>
      <c r="O10" s="137"/>
      <c r="P10" s="807"/>
      <c r="Q10" s="807"/>
      <c r="R10" s="807"/>
      <c r="S10" s="807"/>
      <c r="T10" s="807"/>
      <c r="U10" s="807"/>
      <c r="V10" s="807"/>
      <c r="W10" s="807"/>
      <c r="X10" s="807"/>
      <c r="Y10" s="807"/>
    </row>
    <row r="11" spans="1:25" s="126" customFormat="1" ht="15" customHeight="1">
      <c r="A11" s="125"/>
      <c r="B11" s="130" t="s">
        <v>550</v>
      </c>
      <c r="C11" s="131"/>
      <c r="D11" s="2038"/>
      <c r="E11" s="2039"/>
      <c r="F11" s="2039"/>
      <c r="G11" s="2039"/>
      <c r="H11" s="2039"/>
      <c r="I11" s="2039"/>
      <c r="J11" s="2039"/>
      <c r="K11" s="2039"/>
      <c r="L11" s="2040"/>
      <c r="M11" s="807"/>
      <c r="N11" s="807"/>
      <c r="O11" s="807"/>
      <c r="P11" s="807"/>
      <c r="Q11" s="807"/>
      <c r="R11" s="807"/>
      <c r="S11" s="807"/>
      <c r="T11" s="807"/>
      <c r="U11" s="807"/>
      <c r="V11" s="807"/>
      <c r="W11" s="807"/>
      <c r="X11" s="807"/>
      <c r="Y11" s="807"/>
    </row>
    <row r="12" spans="1:25" s="126" customFormat="1" ht="15" customHeight="1">
      <c r="A12" s="125"/>
      <c r="B12" s="128"/>
      <c r="C12" s="132"/>
      <c r="D12" s="2071"/>
      <c r="E12" s="2072"/>
      <c r="F12" s="2072"/>
      <c r="G12" s="2072"/>
      <c r="H12" s="2072"/>
      <c r="I12" s="2072"/>
      <c r="J12" s="2072"/>
      <c r="K12" s="2072"/>
      <c r="L12" s="2073"/>
      <c r="M12" s="807"/>
      <c r="N12" s="807"/>
      <c r="O12" s="807"/>
      <c r="P12" s="807"/>
      <c r="Q12" s="807"/>
      <c r="R12" s="807"/>
      <c r="S12" s="807"/>
      <c r="T12" s="807"/>
      <c r="U12" s="807"/>
      <c r="V12" s="807"/>
      <c r="W12" s="807"/>
      <c r="X12" s="807"/>
      <c r="Y12" s="807"/>
    </row>
    <row r="13" spans="1:25" s="126" customFormat="1" ht="15" customHeight="1">
      <c r="A13" s="125"/>
      <c r="B13" s="128"/>
      <c r="C13" s="129" t="s">
        <v>553</v>
      </c>
      <c r="D13" s="2044"/>
      <c r="E13" s="2045"/>
      <c r="F13" s="2045"/>
      <c r="G13" s="2045"/>
      <c r="H13" s="2045"/>
      <c r="I13" s="2045"/>
      <c r="J13" s="2045"/>
      <c r="K13" s="2045"/>
      <c r="L13" s="2046"/>
      <c r="M13" s="807"/>
      <c r="N13" s="807"/>
      <c r="O13" s="807"/>
      <c r="P13" s="807"/>
      <c r="Q13" s="807"/>
      <c r="R13" s="807"/>
      <c r="S13" s="807"/>
      <c r="T13" s="807"/>
      <c r="U13" s="807"/>
      <c r="V13" s="807"/>
      <c r="W13" s="807"/>
      <c r="X13" s="807"/>
      <c r="Y13" s="807"/>
    </row>
    <row r="14" spans="1:25" s="126" customFormat="1" ht="15" customHeight="1" thickBot="1">
      <c r="A14" s="125"/>
      <c r="B14" s="128"/>
      <c r="C14" s="129" t="s">
        <v>625</v>
      </c>
      <c r="D14" s="2065"/>
      <c r="E14" s="2066"/>
      <c r="F14" s="2066"/>
      <c r="G14" s="2066"/>
      <c r="H14" s="2066"/>
      <c r="I14" s="2066"/>
      <c r="J14" s="2066"/>
      <c r="K14" s="2066"/>
      <c r="L14" s="2067"/>
      <c r="M14" s="807"/>
      <c r="N14" s="807"/>
      <c r="O14" s="807"/>
      <c r="P14" s="807"/>
      <c r="Q14" s="807"/>
      <c r="R14" s="807"/>
      <c r="S14" s="807"/>
      <c r="T14" s="807"/>
      <c r="U14" s="807"/>
      <c r="V14" s="807"/>
      <c r="W14" s="807"/>
      <c r="X14" s="807"/>
      <c r="Y14" s="807"/>
    </row>
    <row r="15" spans="1:25" s="126" customFormat="1" ht="15" customHeight="1" thickBot="1">
      <c r="A15" s="125"/>
      <c r="B15" s="2017" t="s">
        <v>550</v>
      </c>
      <c r="C15" s="2050"/>
      <c r="D15" s="2068" t="str">
        <f>IF(AND(D13="YES",D14="NO"),"PASS","FAIL")</f>
        <v>FAIL</v>
      </c>
      <c r="E15" s="2069"/>
      <c r="F15" s="2069"/>
      <c r="G15" s="2069"/>
      <c r="H15" s="2069"/>
      <c r="I15" s="2069"/>
      <c r="J15" s="2069"/>
      <c r="K15" s="2069"/>
      <c r="L15" s="2070"/>
      <c r="M15" s="838"/>
      <c r="N15" s="132"/>
      <c r="O15" s="807"/>
      <c r="P15" s="807"/>
      <c r="Q15" s="807"/>
      <c r="R15" s="807"/>
      <c r="S15" s="807"/>
      <c r="T15" s="807"/>
      <c r="U15" s="807"/>
      <c r="V15" s="807"/>
      <c r="W15" s="807"/>
      <c r="X15" s="807"/>
      <c r="Y15" s="807"/>
    </row>
    <row r="16" spans="1:25" s="126" customFormat="1" ht="15" customHeight="1" thickBot="1">
      <c r="A16" s="125"/>
      <c r="B16" s="125"/>
      <c r="C16" s="127"/>
      <c r="D16" s="125"/>
      <c r="E16" s="125"/>
      <c r="F16" s="125"/>
      <c r="G16" s="125"/>
      <c r="H16" s="125"/>
      <c r="I16" s="125"/>
      <c r="M16" s="132"/>
      <c r="N16" s="807"/>
      <c r="O16" s="807"/>
      <c r="P16" s="807"/>
      <c r="Q16" s="807"/>
      <c r="R16" s="807"/>
      <c r="S16" s="807"/>
      <c r="T16" s="807"/>
      <c r="U16" s="807"/>
      <c r="V16" s="807"/>
      <c r="W16" s="807"/>
      <c r="X16" s="807"/>
      <c r="Y16" s="807"/>
    </row>
    <row r="17" spans="1:25" s="126" customFormat="1" ht="15" customHeight="1">
      <c r="A17" s="125"/>
      <c r="B17" s="130" t="s">
        <v>2609</v>
      </c>
      <c r="C17" s="363"/>
      <c r="D17" s="1981" t="s">
        <v>632</v>
      </c>
      <c r="E17" s="1982"/>
      <c r="F17" s="1982"/>
      <c r="G17" s="1982"/>
      <c r="H17" s="1982"/>
      <c r="I17" s="1982"/>
      <c r="J17" s="1982"/>
      <c r="K17" s="1982"/>
      <c r="L17" s="1983"/>
      <c r="M17" s="132"/>
      <c r="N17" s="807"/>
      <c r="O17" s="807"/>
      <c r="P17" s="807"/>
      <c r="Q17" s="807"/>
      <c r="R17" s="807"/>
      <c r="S17" s="807"/>
      <c r="T17" s="807"/>
      <c r="U17" s="807"/>
      <c r="V17" s="807"/>
      <c r="W17" s="807"/>
      <c r="X17" s="807"/>
      <c r="Y17" s="807"/>
    </row>
    <row r="18" spans="1:25" s="126" customFormat="1" ht="15" customHeight="1">
      <c r="A18" s="125"/>
      <c r="B18" s="128"/>
      <c r="C18" s="364"/>
      <c r="D18" s="1984" t="s">
        <v>2615</v>
      </c>
      <c r="E18" s="1985"/>
      <c r="F18" s="1986"/>
      <c r="G18" s="1987" t="s">
        <v>2614</v>
      </c>
      <c r="H18" s="1985"/>
      <c r="I18" s="1986"/>
      <c r="J18" s="1987" t="s">
        <v>2613</v>
      </c>
      <c r="K18" s="1985"/>
      <c r="L18" s="1988"/>
      <c r="M18" s="132"/>
      <c r="N18" s="807"/>
      <c r="O18" s="807"/>
      <c r="P18" s="807"/>
      <c r="Q18" s="807"/>
      <c r="R18" s="807"/>
      <c r="S18" s="807"/>
      <c r="T18" s="807"/>
      <c r="U18" s="807"/>
      <c r="V18" s="807"/>
      <c r="W18" s="807"/>
      <c r="X18" s="807"/>
      <c r="Y18" s="807"/>
    </row>
    <row r="19" spans="1:25" s="126" customFormat="1" ht="15" customHeight="1">
      <c r="A19" s="125"/>
      <c r="B19" s="368">
        <v>0</v>
      </c>
      <c r="C19" s="768" t="s">
        <v>2644</v>
      </c>
      <c r="D19" s="756" t="s">
        <v>2606</v>
      </c>
      <c r="E19" s="755" t="s">
        <v>623</v>
      </c>
      <c r="F19" s="479" t="s">
        <v>40</v>
      </c>
      <c r="G19" s="758" t="s">
        <v>2606</v>
      </c>
      <c r="H19" s="755" t="s">
        <v>623</v>
      </c>
      <c r="I19" s="479" t="s">
        <v>40</v>
      </c>
      <c r="J19" s="758" t="s">
        <v>2606</v>
      </c>
      <c r="K19" s="755" t="s">
        <v>623</v>
      </c>
      <c r="L19" s="754" t="s">
        <v>40</v>
      </c>
      <c r="M19" s="132"/>
      <c r="N19" s="807"/>
      <c r="O19" s="807"/>
      <c r="P19" s="807"/>
      <c r="Q19" s="807"/>
      <c r="R19" s="807"/>
      <c r="S19" s="807"/>
      <c r="T19" s="807"/>
      <c r="U19" s="807"/>
      <c r="V19" s="807"/>
      <c r="W19" s="807"/>
      <c r="X19" s="807"/>
      <c r="Y19" s="807"/>
    </row>
    <row r="20" spans="1:25" s="126" customFormat="1" ht="15" customHeight="1">
      <c r="A20" s="125"/>
      <c r="B20" s="435">
        <v>1</v>
      </c>
      <c r="C20" s="514">
        <v>10</v>
      </c>
      <c r="D20" s="752"/>
      <c r="E20" s="983"/>
      <c r="F20" s="138" cm="1">
        <f t="array" aca="1" ref="F20" ca="1">$B20*(IF(D20="",0,IF(E20="",VLOOKUP(D20,$W$36:$X$40,2,TRUE),IF(AND((E20-$B$19)&lt;($R33:$V33 INDIRECT("CBFA50"&amp;D20)+2),(E20-$B$19)&gt;=($R33:$V33 INDIRECT("CBFA50"&amp;D20)-12)),VLOOKUP(D20,$W$36:$X$40,2),MAX(IF((E20-$B$19)&lt;$R33:$V33,$R$48:$V$48,0))))))</f>
        <v>0</v>
      </c>
      <c r="G20" s="752"/>
      <c r="H20" s="983"/>
      <c r="I20" s="138" cm="1">
        <f t="array" aca="1" ref="I20" ca="1">$B20*(IF(G20="",0,IF(H20="",VLOOKUP(G20,$W$36:$X$40,2,TRUE),IF(AND((H20-$B$19)&lt;($R33:$V33 INDIRECT("CBFA50"&amp;G20)+2),(H20-$B$19)&gt;=($R33:$V33 INDIRECT("CBFA50"&amp;G20)-12)),VLOOKUP(G20,$W$36:$X$40,2),MAX(IF((H20-$B$19)&lt;$R33:$V33,$R$48:$V$48,0))))))</f>
        <v>0</v>
      </c>
      <c r="J20" s="752"/>
      <c r="K20" s="983"/>
      <c r="L20" s="751" cm="1">
        <f t="array" aca="1" ref="L20" ca="1">$B20*(IF(J20="",0,IF(K20="",VLOOKUP(J20,$W$36:$X$40,2,TRUE),IF(AND((K20-$B$19)&lt;($R33:$V33 INDIRECT("CBFA50"&amp;J20)+2),(K20-$B$19)&gt;=($R33:$V33 INDIRECT("CBFA50"&amp;J20)-12)),VLOOKUP(J20,$W$36:$X$40,2),MAX(IF((K20-$B$19)&lt;$R33:$V33,$R$48:$V$48,0))))))</f>
        <v>0</v>
      </c>
      <c r="M20" s="838"/>
      <c r="N20" s="132"/>
      <c r="O20" s="807"/>
      <c r="P20" s="807"/>
      <c r="Q20" s="807"/>
      <c r="R20" s="807"/>
      <c r="S20" s="807"/>
      <c r="T20" s="807"/>
      <c r="U20" s="807"/>
      <c r="V20" s="807"/>
      <c r="W20" s="807"/>
      <c r="X20" s="807"/>
      <c r="Y20" s="807"/>
    </row>
    <row r="21" spans="1:25" s="126" customFormat="1" ht="15" customHeight="1">
      <c r="A21" s="125"/>
      <c r="B21" s="435">
        <v>1</v>
      </c>
      <c r="C21" s="514">
        <v>15</v>
      </c>
      <c r="D21" s="752"/>
      <c r="E21" s="983"/>
      <c r="F21" s="138" cm="1">
        <f t="array" aca="1" ref="F21" ca="1">$B21*(IF(D21="",0,IF(E21="",VLOOKUP(D21,$W$36:$X$40,2,TRUE),IF(AND((E21-$B$19)&lt;($R34:$V34 INDIRECT("CBFA50"&amp;D21)+2),(E21-$B$19)&gt;=($R34:$V34 INDIRECT("CBFA50"&amp;D21)-12)),VLOOKUP(D21,$W$36:$X$40,2),MAX(IF((E21-$B$19)&lt;$R34:$V34,$R$48:$V$48,0))))))</f>
        <v>0</v>
      </c>
      <c r="G21" s="752"/>
      <c r="H21" s="983"/>
      <c r="I21" s="138" cm="1">
        <f t="array" aca="1" ref="I21" ca="1">$B21*(IF(G21="",0,IF(H21="",VLOOKUP(G21,$W$36:$X$40,2,TRUE),IF(AND((H21-$B$19)&lt;($R34:$V34 INDIRECT("CBFA50"&amp;G21)+2),(H21-$B$19)&gt;=($R34:$V34 INDIRECT("CBFA50"&amp;G21)-12)),VLOOKUP(G21,$W$36:$X$40,2),MAX(IF((H21-$B$19)&lt;$R34:$V34,$R$48:$V$48,0))))))</f>
        <v>0</v>
      </c>
      <c r="J21" s="752"/>
      <c r="K21" s="983"/>
      <c r="L21" s="751" cm="1">
        <f t="array" aca="1" ref="L21" ca="1">$B21*(IF(J21="",0,IF(K21="",VLOOKUP(J21,$W$36:$X$40,2,TRUE),IF(AND((K21-$B$19)&lt;($R34:$V34 INDIRECT("CBFA50"&amp;J21)+2),(K21-$B$19)&gt;=($R34:$V34 INDIRECT("CBFA50"&amp;J21)-12)),VLOOKUP(J21,$W$36:$X$40,2),MAX(IF((K21-$B$19)&lt;$R34:$V34,$R$48:$V$48,0))))))</f>
        <v>0</v>
      </c>
      <c r="M21" s="132"/>
      <c r="N21" s="807"/>
      <c r="O21" s="807"/>
      <c r="P21" s="807"/>
      <c r="Q21" s="807"/>
      <c r="R21" s="807"/>
      <c r="S21" s="807"/>
      <c r="T21" s="807"/>
      <c r="U21" s="807"/>
      <c r="V21" s="807"/>
      <c r="W21" s="807"/>
      <c r="X21" s="807"/>
      <c r="Y21" s="807"/>
    </row>
    <row r="22" spans="1:25" s="126" customFormat="1" ht="15" customHeight="1">
      <c r="A22" s="125"/>
      <c r="B22" s="435">
        <v>1</v>
      </c>
      <c r="C22" s="514">
        <v>20</v>
      </c>
      <c r="D22" s="752"/>
      <c r="E22" s="983"/>
      <c r="F22" s="138" cm="1">
        <f t="array" aca="1" ref="F22" ca="1">$B22*(IF(D22="",0,IF(E22="",VLOOKUP(D22,$W$36:$X$40,2,TRUE),IF(AND((E22-$B$19)&lt;($R35:$V35 INDIRECT("CBFA50"&amp;D22)+2),(E22-$B$19)&gt;=($R35:$V35 INDIRECT("CBFA50"&amp;D22)-12)),VLOOKUP(D22,$W$36:$X$40,2),MAX(IF((E22-$B$19)&lt;$R35:$V35,$R$48:$V$48,0))))))</f>
        <v>0</v>
      </c>
      <c r="G22" s="752"/>
      <c r="H22" s="983"/>
      <c r="I22" s="138" cm="1">
        <f t="array" aca="1" ref="I22" ca="1">$B22*(IF(G22="",0,IF(H22="",VLOOKUP(G22,$W$36:$X$40,2,TRUE),IF(AND((H22-$B$19)&lt;($R35:$V35 INDIRECT("CBFA50"&amp;G22)+2),(H22-$B$19)&gt;=($R35:$V35 INDIRECT("CBFA50"&amp;G22)-12)),VLOOKUP(G22,$W$36:$X$40,2),MAX(IF((H22-$B$19)&lt;$R35:$V35,$R$48:$V$48,0))))))</f>
        <v>0</v>
      </c>
      <c r="J22" s="752"/>
      <c r="K22" s="983"/>
      <c r="L22" s="751" cm="1">
        <f t="array" aca="1" ref="L22" ca="1">$B22*(IF(J22="",0,IF(K22="",VLOOKUP(J22,$W$36:$X$40,2,TRUE),IF(AND((K22-$B$19)&lt;($R35:$V35 INDIRECT("CBFA50"&amp;J22)+2),(K22-$B$19)&gt;=($R35:$V35 INDIRECT("CBFA50"&amp;J22)-12)),VLOOKUP(J22,$W$36:$X$40,2),MAX(IF((K22-$B$19)&lt;$R35:$V35,$R$48:$V$48,0))))))</f>
        <v>0</v>
      </c>
      <c r="M22" s="838"/>
      <c r="N22" s="132"/>
      <c r="O22" s="807"/>
      <c r="P22" s="807"/>
      <c r="Q22" s="807"/>
      <c r="R22" s="807"/>
      <c r="S22" s="807"/>
      <c r="T22" s="807"/>
      <c r="U22" s="807"/>
      <c r="V22" s="807"/>
      <c r="W22" s="807"/>
      <c r="X22" s="807"/>
      <c r="Y22" s="807"/>
    </row>
    <row r="23" spans="1:25" s="126" customFormat="1" ht="15" customHeight="1">
      <c r="A23" s="125"/>
      <c r="B23" s="435">
        <v>1</v>
      </c>
      <c r="C23" s="514">
        <v>25</v>
      </c>
      <c r="D23" s="752"/>
      <c r="E23" s="984"/>
      <c r="F23" s="138" cm="1">
        <f t="array" aca="1" ref="F23" ca="1">$B23*(IF(D23="",0,IF(E23="",VLOOKUP(D23,$W$36:$X$40,2,TRUE),IF(AND((E23-$B$19)&lt;($R36:$V36 INDIRECT("CBFA50"&amp;D23)+2),(E23-$B$19)&gt;=($R36:$V36 INDIRECT("CBFA50"&amp;D23)-12)),VLOOKUP(D23,$W$36:$X$40,2),MAX(IF((E23-$B$19)&lt;$R36:$V36,$R$48:$V$48,0))))))</f>
        <v>0</v>
      </c>
      <c r="G23" s="752"/>
      <c r="H23" s="984"/>
      <c r="I23" s="138" cm="1">
        <f t="array" aca="1" ref="I23" ca="1">$B23*(IF(G23="",0,IF(H23="",VLOOKUP(G23,$W$36:$X$40,2,TRUE),IF(AND((H23-$B$19)&lt;($R36:$V36 INDIRECT("CBFA50"&amp;G23)+2),(H23-$B$19)&gt;=($R36:$V36 INDIRECT("CBFA50"&amp;G23)-12)),VLOOKUP(G23,$W$36:$X$40,2),MAX(IF((H23-$B$19)&lt;$R36:$V36,$R$48:$V$48,0))))))</f>
        <v>0</v>
      </c>
      <c r="J23" s="752"/>
      <c r="K23" s="984"/>
      <c r="L23" s="751" cm="1">
        <f t="array" aca="1" ref="L23" ca="1">$B23*(IF(J23="",0,IF(K23="",VLOOKUP(J23,$W$36:$X$40,2,TRUE),IF(AND((K23-$B$19)&lt;($R36:$V36 INDIRECT("CBFA50"&amp;J23)+2),(K23-$B$19)&gt;=($R36:$V36 INDIRECT("CBFA50"&amp;J23)-12)),VLOOKUP(J23,$W$36:$X$40,2),MAX(IF((K23-$B$19)&lt;$R36:$V36,$R$48:$V$48,0))))))</f>
        <v>0</v>
      </c>
      <c r="M23" s="132"/>
      <c r="N23" s="807"/>
      <c r="O23" s="807"/>
      <c r="P23" s="807"/>
      <c r="Q23" s="807"/>
      <c r="R23" s="807"/>
      <c r="S23" s="807"/>
      <c r="T23" s="807"/>
      <c r="U23" s="807"/>
      <c r="V23" s="807"/>
      <c r="W23" s="807"/>
      <c r="X23" s="807"/>
      <c r="Y23" s="807"/>
    </row>
    <row r="24" spans="1:25" s="126" customFormat="1" ht="15" customHeight="1">
      <c r="A24" s="125"/>
      <c r="B24" s="435">
        <v>1</v>
      </c>
      <c r="C24" s="514">
        <v>30</v>
      </c>
      <c r="D24" s="752"/>
      <c r="E24" s="984"/>
      <c r="F24" s="138" cm="1">
        <f t="array" aca="1" ref="F24" ca="1">$B24*(IF(D24="",0,IF(E24="",VLOOKUP(D24,$W$36:$X$40,2,TRUE),IF(AND((E24-$B$19)&lt;($R37:$V37 INDIRECT("CBFA50"&amp;D24)+2),(E24-$B$19)&gt;=($R37:$V37 INDIRECT("CBFA50"&amp;D24)-12)),VLOOKUP(D24,$W$36:$X$40,2),MAX(IF((E24-$B$19)&lt;$R37:$V37,$R$48:$V$48,0))))))</f>
        <v>0</v>
      </c>
      <c r="G24" s="752"/>
      <c r="H24" s="984"/>
      <c r="I24" s="138" cm="1">
        <f t="array" aca="1" ref="I24" ca="1">$B24*(IF(G24="",0,IF(H24="",VLOOKUP(G24,$W$36:$X$40,2,TRUE),IF(AND((H24-$B$19)&lt;($R37:$V37 INDIRECT("CBFA50"&amp;G24)+2),(H24-$B$19)&gt;=($R37:$V37 INDIRECT("CBFA50"&amp;G24)-12)),VLOOKUP(G24,$W$36:$X$40,2),MAX(IF((H24-$B$19)&lt;$R37:$V37,$R$48:$V$48,0))))))</f>
        <v>0</v>
      </c>
      <c r="J24" s="752"/>
      <c r="K24" s="984"/>
      <c r="L24" s="751" cm="1">
        <f t="array" aca="1" ref="L24" ca="1">$B24*(IF(J24="",0,IF(K24="",VLOOKUP(J24,$W$36:$X$40,2,TRUE),IF(AND((K24-$B$19)&lt;($R37:$V37 INDIRECT("CBFA50"&amp;J24)+2),(K24-$B$19)&gt;=($R37:$V37 INDIRECT("CBFA50"&amp;J24)-12)),VLOOKUP(J24,$W$36:$X$40,2),MAX(IF((K24-$B$19)&lt;$R37:$V37,$R$48:$V$48,0))))))</f>
        <v>0</v>
      </c>
      <c r="M24" s="807"/>
      <c r="N24" s="807"/>
      <c r="O24" s="807"/>
      <c r="P24" s="807"/>
      <c r="Q24" s="807"/>
      <c r="R24" s="807"/>
      <c r="S24" s="807"/>
      <c r="T24" s="807"/>
      <c r="U24" s="807"/>
      <c r="V24" s="807"/>
      <c r="W24" s="807"/>
      <c r="X24" s="807"/>
      <c r="Y24" s="807"/>
    </row>
    <row r="25" spans="1:25" s="126" customFormat="1" ht="15" customHeight="1">
      <c r="A25" s="125"/>
      <c r="B25" s="435">
        <v>1</v>
      </c>
      <c r="C25" s="514">
        <v>35</v>
      </c>
      <c r="D25" s="752"/>
      <c r="E25" s="984"/>
      <c r="F25" s="138" cm="1">
        <f t="array" aca="1" ref="F25" ca="1">$B25*(IF(D25="",0,IF(E25="",VLOOKUP(D25,$W$36:$X$40,2,TRUE),IF(AND((E25-$B$19)&lt;($R38:$V38 INDIRECT("CBFA50"&amp;D25)+2),(E25-$B$19)&gt;=($R38:$V38 INDIRECT("CBFA50"&amp;D25)-12)),VLOOKUP(D25,$W$36:$X$40,2),MAX(IF((E25-$B$19)&lt;$R38:$V38,$R$48:$V$48,0))))))</f>
        <v>0</v>
      </c>
      <c r="G25" s="752"/>
      <c r="H25" s="984"/>
      <c r="I25" s="138" cm="1">
        <f t="array" aca="1" ref="I25" ca="1">$B25*(IF(G25="",0,IF(H25="",VLOOKUP(G25,$W$36:$X$40,2,TRUE),IF(AND((H25-$B$19)&lt;($R38:$V38 INDIRECT("CBFA50"&amp;G25)+2),(H25-$B$19)&gt;=($R38:$V38 INDIRECT("CBFA50"&amp;G25)-12)),VLOOKUP(G25,$W$36:$X$40,2),MAX(IF((H25-$B$19)&lt;$R38:$V38,$R$48:$V$48,0))))))</f>
        <v>0</v>
      </c>
      <c r="J25" s="752"/>
      <c r="K25" s="984"/>
      <c r="L25" s="751" cm="1">
        <f t="array" aca="1" ref="L25" ca="1">$B25*(IF(J25="",0,IF(K25="",VLOOKUP(J25,$W$36:$X$40,2,TRUE),IF(AND((K25-$B$19)&lt;($R38:$V38 INDIRECT("CBFA50"&amp;J25)+2),(K25-$B$19)&gt;=($R38:$V38 INDIRECT("CBFA50"&amp;J25)-12)),VLOOKUP(J25,$W$36:$X$40,2),MAX(IF((K25-$B$19)&lt;$R38:$V38,$R$48:$V$48,0))))))</f>
        <v>0</v>
      </c>
      <c r="M25" s="807"/>
      <c r="N25" s="807"/>
      <c r="O25" s="807"/>
      <c r="P25" s="807"/>
      <c r="Q25" s="807"/>
      <c r="R25" s="807"/>
      <c r="S25" s="807"/>
      <c r="T25" s="807"/>
      <c r="U25" s="807"/>
      <c r="V25" s="807"/>
      <c r="W25" s="807"/>
      <c r="X25" s="807"/>
      <c r="Y25" s="807"/>
    </row>
    <row r="26" spans="1:25" s="126" customFormat="1" ht="15" customHeight="1">
      <c r="A26" s="125"/>
      <c r="B26" s="435">
        <v>1</v>
      </c>
      <c r="C26" s="514">
        <v>40</v>
      </c>
      <c r="D26" s="752"/>
      <c r="E26" s="984"/>
      <c r="F26" s="138" cm="1">
        <f t="array" aca="1" ref="F26" ca="1">$B26*(IF(D26="",0,IF(E26="",VLOOKUP(D26,$W$36:$X$40,2,TRUE),IF(AND((E26-$B$19)&lt;($R39:$V39 INDIRECT("CBFA50"&amp;D26)+2),(E26-$B$19)&gt;=($R39:$V39 INDIRECT("CBFA50"&amp;D26)-12)),VLOOKUP(D26,$W$36:$X$40,2),MAX(IF((E26-$B$19)&lt;$R39:$V39,$R$48:$V$48,0))))))</f>
        <v>0</v>
      </c>
      <c r="G26" s="752"/>
      <c r="H26" s="984"/>
      <c r="I26" s="138" cm="1">
        <f t="array" aca="1" ref="I26" ca="1">$B26*(IF(G26="",0,IF(H26="",VLOOKUP(G26,$W$36:$X$40,2,TRUE),IF(AND((H26-$B$19)&lt;($R39:$V39 INDIRECT("CBFA50"&amp;G26)+2),(H26-$B$19)&gt;=($R39:$V39 INDIRECT("CBFA50"&amp;G26)-12)),VLOOKUP(G26,$W$36:$X$40,2),MAX(IF((H26-$B$19)&lt;$R39:$V39,$R$48:$V$48,0))))))</f>
        <v>0</v>
      </c>
      <c r="J26" s="752"/>
      <c r="K26" s="984"/>
      <c r="L26" s="751" cm="1">
        <f t="array" aca="1" ref="L26" ca="1">$B26*(IF(J26="",0,IF(K26="",VLOOKUP(J26,$W$36:$X$40,2,TRUE),IF(AND((K26-$B$19)&lt;($R39:$V39 INDIRECT("CBFA50"&amp;J26)+2),(K26-$B$19)&gt;=($R39:$V39 INDIRECT("CBFA50"&amp;J26)-12)),VLOOKUP(J26,$W$36:$X$40,2),MAX(IF((K26-$B$19)&lt;$R39:$V39,$R$48:$V$48,0))))))</f>
        <v>0</v>
      </c>
      <c r="M26" s="807"/>
      <c r="N26" s="807"/>
      <c r="O26" s="807"/>
      <c r="P26" s="807"/>
      <c r="Q26" s="807"/>
      <c r="R26" s="807"/>
      <c r="S26" s="807"/>
      <c r="T26" s="807"/>
      <c r="U26" s="807"/>
      <c r="V26" s="807"/>
      <c r="W26" s="807"/>
      <c r="X26" s="807"/>
      <c r="Y26" s="807"/>
    </row>
    <row r="27" spans="1:25" s="126" customFormat="1" ht="15" customHeight="1">
      <c r="A27" s="125"/>
      <c r="B27" s="435">
        <v>1</v>
      </c>
      <c r="C27" s="514">
        <v>45</v>
      </c>
      <c r="D27" s="752"/>
      <c r="E27" s="984"/>
      <c r="F27" s="138" cm="1">
        <f t="array" aca="1" ref="F27" ca="1">$B27*(IF(D27="",0,IF(E27="",VLOOKUP(D27,$W$36:$X$40,2,TRUE),IF(AND((E27-$B$19)&lt;($R40:$V40 INDIRECT("CBFA50"&amp;D27)+2),(E27-$B$19)&gt;=($R40:$V40 INDIRECT("CBFA50"&amp;D27)-12)),VLOOKUP(D27,$W$36:$X$40,2),MAX(IF((E27-$B$19)&lt;$R40:$V40,$R$48:$V$48,0))))))</f>
        <v>0</v>
      </c>
      <c r="G27" s="752"/>
      <c r="H27" s="984"/>
      <c r="I27" s="138" cm="1">
        <f t="array" aca="1" ref="I27" ca="1">$B27*(IF(G27="",0,IF(H27="",VLOOKUP(G27,$W$36:$X$40,2,TRUE),IF(AND((H27-$B$19)&lt;($R40:$V40 INDIRECT("CBFA50"&amp;G27)+2),(H27-$B$19)&gt;=($R40:$V40 INDIRECT("CBFA50"&amp;G27)-12)),VLOOKUP(G27,$W$36:$X$40,2),MAX(IF((H27-$B$19)&lt;$R40:$V40,$R$48:$V$48,0))))))</f>
        <v>0</v>
      </c>
      <c r="J27" s="752"/>
      <c r="K27" s="984"/>
      <c r="L27" s="751" cm="1">
        <f t="array" aca="1" ref="L27" ca="1">$B27*(IF(J27="",0,IF(K27="",VLOOKUP(J27,$W$36:$X$40,2,TRUE),IF(AND((K27-$B$19)&lt;($R40:$V40 INDIRECT("CBFA50"&amp;J27)+2),(K27-$B$19)&gt;=($R40:$V40 INDIRECT("CBFA50"&amp;J27)-12)),VLOOKUP(J27,$W$36:$X$40,2),MAX(IF((K27-$B$19)&lt;$R40:$V40,$R$48:$V$48,0))))))</f>
        <v>0</v>
      </c>
      <c r="M27" s="807"/>
      <c r="N27" s="807"/>
      <c r="O27" s="807"/>
      <c r="P27" s="807"/>
      <c r="Q27" s="807"/>
      <c r="R27" s="807"/>
      <c r="S27" s="807"/>
      <c r="T27" s="807"/>
      <c r="U27" s="807"/>
      <c r="V27" s="807"/>
      <c r="W27" s="807"/>
      <c r="X27" s="807"/>
      <c r="Y27" s="807"/>
    </row>
    <row r="28" spans="1:25" s="126" customFormat="1" ht="15" customHeight="1">
      <c r="A28" s="125"/>
      <c r="B28" s="435">
        <v>1</v>
      </c>
      <c r="C28" s="514">
        <v>50</v>
      </c>
      <c r="D28" s="752"/>
      <c r="E28" s="984"/>
      <c r="F28" s="138" cm="1">
        <f t="array" aca="1" ref="F28" ca="1">$B28*(IF(D28="",0,IF(E28="",VLOOKUP(D28,$W$36:$X$40,2,TRUE),IF(AND((E28-$B$19)&lt;($R41:$V41 INDIRECT("CBFA50"&amp;D28)+2),(E28-$B$19)&gt;=($R41:$V41 INDIRECT("CBFA50"&amp;D28)-12)),VLOOKUP(D28,$W$36:$X$40,2),MAX(IF((E28-$B$19)&lt;$R41:$V41,$R$48:$V$48,0))))))</f>
        <v>0</v>
      </c>
      <c r="G28" s="752"/>
      <c r="H28" s="984"/>
      <c r="I28" s="138" cm="1">
        <f t="array" aca="1" ref="I28" ca="1">$B28*(IF(G28="",0,IF(H28="",VLOOKUP(G28,$W$36:$X$40,2,TRUE),IF(AND((H28-$B$19)&lt;($R41:$V41 INDIRECT("CBFA50"&amp;G28)+2),(H28-$B$19)&gt;=($R41:$V41 INDIRECT("CBFA50"&amp;G28)-12)),VLOOKUP(G28,$W$36:$X$40,2),MAX(IF((H28-$B$19)&lt;$R41:$V41,$R$48:$V$48,0))))))</f>
        <v>0</v>
      </c>
      <c r="J28" s="752"/>
      <c r="K28" s="984"/>
      <c r="L28" s="751" cm="1">
        <f t="array" aca="1" ref="L28" ca="1">$B28*(IF(J28="",0,IF(K28="",VLOOKUP(J28,$W$36:$X$40,2,TRUE),IF(AND((K28-$B$19)&lt;($R41:$V41 INDIRECT("CBFA50"&amp;J28)+2),(K28-$B$19)&gt;=($R41:$V41 INDIRECT("CBFA50"&amp;J28)-12)),VLOOKUP(J28,$W$36:$X$40,2),MAX(IF((K28-$B$19)&lt;$R41:$V41,$R$48:$V$48,0))))))</f>
        <v>0</v>
      </c>
      <c r="M28" s="807"/>
      <c r="N28" s="807"/>
      <c r="O28" s="807"/>
      <c r="P28" s="807"/>
      <c r="Q28" s="807"/>
      <c r="R28" s="807"/>
      <c r="S28" s="807"/>
      <c r="T28" s="807"/>
      <c r="U28" s="807"/>
      <c r="V28" s="807"/>
      <c r="W28" s="807"/>
      <c r="X28" s="807"/>
      <c r="Y28" s="807"/>
    </row>
    <row r="29" spans="1:25" s="126" customFormat="1" ht="15" customHeight="1">
      <c r="A29" s="125"/>
      <c r="B29" s="435">
        <v>1</v>
      </c>
      <c r="C29" s="514">
        <v>55</v>
      </c>
      <c r="D29" s="752"/>
      <c r="E29" s="984"/>
      <c r="F29" s="138" cm="1">
        <f t="array" aca="1" ref="F29" ca="1">$B29*(IF(D29="",0,IF(E29="",VLOOKUP(D29,$W$36:$X$40,2,TRUE),IF(AND((E29-$B$19)&lt;($R42:$V42 INDIRECT("CBFA50"&amp;D29)+2),(E29-$B$19)&gt;=($R42:$V42 INDIRECT("CBFA50"&amp;D29)-12)),VLOOKUP(D29,$W$36:$X$40,2),MAX(IF((E29-$B$19)&lt;$R42:$V42,$R$48:$V$48,0))))))</f>
        <v>0</v>
      </c>
      <c r="G29" s="752"/>
      <c r="H29" s="984"/>
      <c r="I29" s="138" cm="1">
        <f t="array" aca="1" ref="I29" ca="1">$B29*(IF(G29="",0,IF(H29="",VLOOKUP(G29,$W$36:$X$40,2,TRUE),IF(AND((H29-$B$19)&lt;($R42:$V42 INDIRECT("CBFA50"&amp;G29)+2),(H29-$B$19)&gt;=($R42:$V42 INDIRECT("CBFA50"&amp;G29)-12)),VLOOKUP(G29,$W$36:$X$40,2),MAX(IF((H29-$B$19)&lt;$R42:$V42,$R$48:$V$48,0))))))</f>
        <v>0</v>
      </c>
      <c r="J29" s="752"/>
      <c r="K29" s="984"/>
      <c r="L29" s="751" cm="1">
        <f t="array" aca="1" ref="L29" ca="1">$B29*(IF(J29="",0,IF(K29="",VLOOKUP(J29,$W$36:$X$40,2,TRUE),IF(AND((K29-$B$19)&lt;($R42:$V42 INDIRECT("CBFA50"&amp;J29)+2),(K29-$B$19)&gt;=($R42:$V42 INDIRECT("CBFA50"&amp;J29)-12)),VLOOKUP(J29,$W$36:$X$40,2),MAX(IF((K29-$B$19)&lt;$R42:$V42,$R$48:$V$48,0))))))</f>
        <v>0</v>
      </c>
      <c r="M29" s="807"/>
      <c r="N29" s="807"/>
      <c r="O29" s="807"/>
      <c r="P29" s="807"/>
      <c r="Q29" s="807"/>
      <c r="R29" s="807"/>
      <c r="S29" s="807"/>
      <c r="T29" s="807"/>
      <c r="U29" s="807"/>
      <c r="V29" s="807"/>
      <c r="W29" s="807"/>
      <c r="X29" s="807"/>
      <c r="Y29" s="807"/>
    </row>
    <row r="30" spans="1:25" s="126" customFormat="1" ht="15" customHeight="1" thickBot="1">
      <c r="A30" s="125"/>
      <c r="B30" s="435">
        <v>1</v>
      </c>
      <c r="C30" s="514">
        <v>60</v>
      </c>
      <c r="D30" s="752"/>
      <c r="E30" s="984"/>
      <c r="F30" s="138" cm="1">
        <f t="array" aca="1" ref="F30" ca="1">$B30*(IF(D30="",0,IF(E30="",VLOOKUP(D30,$W$36:$X$40,2,TRUE),IF(AND((E30-$B$19)&lt;($R43:$V43 INDIRECT("CBFA50"&amp;D30)+2),(E30-$B$19)&gt;=($R43:$V43 INDIRECT("CBFA50"&amp;D30)-12)),VLOOKUP(D30,$W$36:$X$40,2),MAX(IF((E30-$B$19)&lt;$R43:$V43,$R$48:$V$48,0))))))</f>
        <v>0</v>
      </c>
      <c r="G30" s="752"/>
      <c r="H30" s="984"/>
      <c r="I30" s="138" cm="1">
        <f t="array" aca="1" ref="I30" ca="1">$B30*(IF(G30="",0,IF(H30="",VLOOKUP(G30,$W$36:$X$40,2,TRUE),IF(AND((H30-$B$19)&lt;($R43:$V43 INDIRECT("CBFA50"&amp;G30)+2),(H30-$B$19)&gt;=($R43:$V43 INDIRECT("CBFA50"&amp;G30)-12)),VLOOKUP(G30,$W$36:$X$40,2),MAX(IF((H30-$B$19)&lt;$R43:$V43,$R$48:$V$48,0))))))</f>
        <v>0</v>
      </c>
      <c r="J30" s="752"/>
      <c r="K30" s="984"/>
      <c r="L30" s="751" cm="1">
        <f t="array" aca="1" ref="L30" ca="1">$B30*(IF(J30="",0,IF(K30="",VLOOKUP(J30,$W$36:$X$40,2,TRUE),IF(AND((K30-$B$19)&lt;($R43:$V43 INDIRECT("CBFA50"&amp;J30)+2),(K30-$B$19)&gt;=($R43:$V43 INDIRECT("CBFA50"&amp;J30)-12)),VLOOKUP(J30,$W$36:$X$40,2),MAX(IF((K30-$B$19)&lt;$R43:$V43,$R$48:$V$48,0))))))</f>
        <v>0</v>
      </c>
    </row>
    <row r="31" spans="1:25" s="126" customFormat="1" ht="15" customHeight="1" thickBot="1">
      <c r="A31" s="125"/>
      <c r="B31" s="2007" t="s">
        <v>2595</v>
      </c>
      <c r="C31" s="2019"/>
      <c r="D31" s="2009">
        <f ca="1">SUM(F20:F30)</f>
        <v>0</v>
      </c>
      <c r="E31" s="1972"/>
      <c r="F31" s="1973"/>
      <c r="G31" s="1971">
        <f ca="1">SUM(I20:I30)</f>
        <v>0</v>
      </c>
      <c r="H31" s="1972"/>
      <c r="I31" s="1973"/>
      <c r="J31" s="1971">
        <f ca="1">SUM(L20:L30)</f>
        <v>0</v>
      </c>
      <c r="K31" s="1972"/>
      <c r="L31" s="1974"/>
    </row>
    <row r="32" spans="1:25" s="126" customFormat="1" ht="15" customHeight="1" thickBot="1">
      <c r="A32" s="125"/>
      <c r="B32" s="125"/>
      <c r="C32" s="127"/>
      <c r="D32" s="125"/>
      <c r="E32" s="125"/>
      <c r="F32" s="125"/>
      <c r="G32" s="125"/>
      <c r="H32" s="125"/>
      <c r="I32" s="125"/>
      <c r="Q32" s="764"/>
      <c r="R32" s="764" t="s">
        <v>150</v>
      </c>
      <c r="S32" s="764" t="s">
        <v>149</v>
      </c>
      <c r="T32" s="764" t="s">
        <v>148</v>
      </c>
      <c r="U32" s="764" t="s">
        <v>147</v>
      </c>
      <c r="V32" s="764" t="s">
        <v>146</v>
      </c>
      <c r="W32" s="764"/>
      <c r="X32" s="807"/>
    </row>
    <row r="33" spans="1:24" s="126" customFormat="1" ht="15" customHeight="1">
      <c r="A33" s="125"/>
      <c r="B33" s="130" t="s">
        <v>2607</v>
      </c>
      <c r="C33" s="131"/>
      <c r="D33" s="1981" t="s">
        <v>632</v>
      </c>
      <c r="E33" s="1982"/>
      <c r="F33" s="1982"/>
      <c r="G33" s="1982"/>
      <c r="H33" s="1982"/>
      <c r="I33" s="1983"/>
      <c r="Q33" s="765">
        <v>10</v>
      </c>
      <c r="R33" s="764">
        <v>0</v>
      </c>
      <c r="S33" s="764"/>
      <c r="T33" s="764"/>
      <c r="U33" s="764"/>
      <c r="V33" s="764">
        <v>10</v>
      </c>
      <c r="W33" s="764"/>
      <c r="X33" s="764"/>
    </row>
    <row r="34" spans="1:24" s="126" customFormat="1" ht="15" customHeight="1">
      <c r="A34" s="125"/>
      <c r="B34" s="128"/>
      <c r="C34" s="129"/>
      <c r="D34" s="1984" t="s">
        <v>635</v>
      </c>
      <c r="E34" s="1985"/>
      <c r="F34" s="1986"/>
      <c r="G34" s="1987" t="s">
        <v>634</v>
      </c>
      <c r="H34" s="1985"/>
      <c r="I34" s="1988"/>
      <c r="Q34" s="765">
        <v>15</v>
      </c>
      <c r="R34" s="126">
        <v>0</v>
      </c>
      <c r="U34" s="126">
        <v>10</v>
      </c>
      <c r="V34" s="126">
        <v>15</v>
      </c>
      <c r="W34" s="764"/>
      <c r="X34" s="764"/>
    </row>
    <row r="35" spans="1:24" s="126" customFormat="1" ht="15" customHeight="1">
      <c r="A35" s="125"/>
      <c r="B35" s="368">
        <v>15</v>
      </c>
      <c r="C35" s="768" t="s">
        <v>2644</v>
      </c>
      <c r="D35" s="756" t="s">
        <v>2606</v>
      </c>
      <c r="E35" s="755" t="s">
        <v>623</v>
      </c>
      <c r="F35" s="479" t="s">
        <v>40</v>
      </c>
      <c r="G35" s="1987" t="s">
        <v>631</v>
      </c>
      <c r="H35" s="1985"/>
      <c r="I35" s="754" t="s">
        <v>40</v>
      </c>
      <c r="J35" s="777"/>
      <c r="K35" s="777"/>
      <c r="Q35" s="765">
        <v>20</v>
      </c>
      <c r="R35" s="764">
        <v>0</v>
      </c>
      <c r="S35" s="764"/>
      <c r="T35" s="764"/>
      <c r="U35" s="764">
        <v>10</v>
      </c>
      <c r="V35" s="766">
        <f>Q35</f>
        <v>20</v>
      </c>
      <c r="W35" s="764"/>
      <c r="X35" s="764"/>
    </row>
    <row r="36" spans="1:24" s="126" customFormat="1" ht="15" customHeight="1">
      <c r="A36" s="125"/>
      <c r="B36" s="368">
        <v>1</v>
      </c>
      <c r="C36" s="148">
        <v>25</v>
      </c>
      <c r="D36" s="752"/>
      <c r="E36" s="984"/>
      <c r="F36" s="138" cm="1">
        <f t="array" aca="1" ref="F36" ca="1">$B36*(IF(D36="",0,IF(E36="",VLOOKUP(D36,$W$36:$X$40,2,TRUE),IF(AND((E36-$B$35)&lt;($R36:$V36 INDIRECT("CBFA50"&amp;D36)+2),(E36-$B$35)&gt;=($R36:$V36 INDIRECT("CBFA50"&amp;D36)-12)),VLOOKUP(D36,$W$36:$X$40,2),MAX(IF((E36-$B$35)&lt;$R36:$V36,$R$48:$V$48,0))))))</f>
        <v>0</v>
      </c>
      <c r="G36" s="2005"/>
      <c r="H36" s="1976"/>
      <c r="I36" s="2006"/>
      <c r="J36" s="777"/>
      <c r="K36" s="777"/>
      <c r="Q36" s="765">
        <v>25</v>
      </c>
      <c r="R36" s="764">
        <v>0</v>
      </c>
      <c r="S36" s="764"/>
      <c r="T36" s="764">
        <v>10</v>
      </c>
      <c r="U36" s="764">
        <v>20</v>
      </c>
      <c r="V36" s="766">
        <f t="shared" ref="V36:V43" si="0">Q36</f>
        <v>25</v>
      </c>
      <c r="W36" s="764" t="s">
        <v>147</v>
      </c>
      <c r="X36" s="764">
        <v>0.25</v>
      </c>
    </row>
    <row r="37" spans="1:24" s="126" customFormat="1" ht="15" customHeight="1">
      <c r="A37" s="125"/>
      <c r="B37" s="368">
        <v>1</v>
      </c>
      <c r="C37" s="148">
        <v>30</v>
      </c>
      <c r="D37" s="752"/>
      <c r="E37" s="984"/>
      <c r="F37" s="138" cm="1">
        <f t="array" aca="1" ref="F37" ca="1">$B37*(IF(D37="",0,IF(E37="",VLOOKUP(D37,$W$36:$X$40,2,TRUE),IF(AND((E37-$B$35)&lt;($R37:$V37 INDIRECT("CBFA50"&amp;D37)+2),(E37-$B$35)&gt;=($R37:$V37 INDIRECT("CBFA50"&amp;D37)-12)),VLOOKUP(D37,$W$36:$X$40,2),MAX(IF((E37-$B$35)&lt;$R37:$V37,$R$48:$V$48,0))))))</f>
        <v>0</v>
      </c>
      <c r="G37" s="2005"/>
      <c r="H37" s="1976"/>
      <c r="I37" s="2006"/>
      <c r="J37" s="777"/>
      <c r="K37" s="777"/>
      <c r="Q37" s="765">
        <v>30</v>
      </c>
      <c r="R37" s="764">
        <v>0</v>
      </c>
      <c r="S37" s="764"/>
      <c r="T37" s="764">
        <v>10</v>
      </c>
      <c r="U37" s="764">
        <v>20</v>
      </c>
      <c r="V37" s="766">
        <f t="shared" si="0"/>
        <v>30</v>
      </c>
      <c r="W37" s="764" t="s">
        <v>150</v>
      </c>
      <c r="X37" s="764">
        <v>1</v>
      </c>
    </row>
    <row r="38" spans="1:24" s="126" customFormat="1" ht="15" customHeight="1">
      <c r="A38" s="125"/>
      <c r="B38" s="368">
        <v>2</v>
      </c>
      <c r="C38" s="148">
        <v>35</v>
      </c>
      <c r="D38" s="752"/>
      <c r="E38" s="984"/>
      <c r="F38" s="138" cm="1">
        <f t="array" aca="1" ref="F38" ca="1">$B38*(IF(D38="",0,IF(E38="",VLOOKUP(D38,$W$36:$X$40,2,TRUE),IF(AND((E38-$B$35)&lt;($R38:$V38 INDIRECT("CBFA50"&amp;D38)+2),(E38-$B$35)&gt;=($R38:$V38 INDIRECT("CBFA50"&amp;D38)-12)),VLOOKUP(D38,$W$36:$X$40,2),MAX(IF((E38-$B$35)&lt;$R38:$V38,$R$48:$V$48,0))))))</f>
        <v>0</v>
      </c>
      <c r="G38" s="2005"/>
      <c r="H38" s="1976"/>
      <c r="I38" s="2006"/>
      <c r="J38" s="777"/>
      <c r="Q38" s="765">
        <v>35</v>
      </c>
      <c r="R38" s="764">
        <v>0</v>
      </c>
      <c r="S38" s="764">
        <v>10</v>
      </c>
      <c r="T38" s="764">
        <v>20</v>
      </c>
      <c r="U38" s="764">
        <v>30</v>
      </c>
      <c r="V38" s="766">
        <f t="shared" si="0"/>
        <v>35</v>
      </c>
      <c r="W38" s="764" t="s">
        <v>148</v>
      </c>
      <c r="X38" s="764">
        <v>0.5</v>
      </c>
    </row>
    <row r="39" spans="1:24" s="126" customFormat="1" ht="15" customHeight="1">
      <c r="A39" s="125"/>
      <c r="B39" s="368">
        <v>2</v>
      </c>
      <c r="C39" s="148">
        <v>40</v>
      </c>
      <c r="D39" s="752"/>
      <c r="E39" s="984"/>
      <c r="F39" s="138" cm="1">
        <f t="array" aca="1" ref="F39" ca="1">$B39*(IF(D39="",0,IF(E39="",VLOOKUP(D39,$W$36:$X$40,2,TRUE),IF(AND((E39-$B$35)&lt;($R39:$V39 INDIRECT("CBFA50"&amp;D39)+2),(E39-$B$35)&gt;=($R39:$V39 INDIRECT("CBFA50"&amp;D39)-12)),VLOOKUP(D39,$W$36:$X$40,2),MAX(IF((E39-$B$35)&lt;$R39:$V39,$R$48:$V$48,0))))))</f>
        <v>0</v>
      </c>
      <c r="G39" s="2005"/>
      <c r="H39" s="1976"/>
      <c r="I39" s="2006"/>
      <c r="J39" s="777"/>
      <c r="Q39" s="765">
        <v>40</v>
      </c>
      <c r="R39" s="764">
        <v>0</v>
      </c>
      <c r="S39" s="764">
        <v>10</v>
      </c>
      <c r="T39" s="764">
        <v>20</v>
      </c>
      <c r="U39" s="764">
        <v>30</v>
      </c>
      <c r="V39" s="766">
        <f t="shared" si="0"/>
        <v>40</v>
      </c>
      <c r="W39" s="764" t="s">
        <v>146</v>
      </c>
      <c r="X39" s="764">
        <v>0</v>
      </c>
    </row>
    <row r="40" spans="1:24" s="126" customFormat="1" ht="15" customHeight="1">
      <c r="A40" s="125"/>
      <c r="B40" s="435">
        <v>3</v>
      </c>
      <c r="C40" s="148">
        <v>45</v>
      </c>
      <c r="D40" s="752"/>
      <c r="E40" s="984"/>
      <c r="F40" s="138" cm="1">
        <f t="array" aca="1" ref="F40" ca="1">$B40*(IF(D40="",0,IF(E40="",VLOOKUP(D40,$W$36:$X$40,2,TRUE),IF(AND((E40-$B$35)&lt;($R40:$V40 INDIRECT("CBFA50"&amp;D40)+2),(E40-$B$35)&gt;=($R40:$V40 INDIRECT("CBFA50"&amp;D40)-12)),VLOOKUP(D40,$W$36:$X$40,2),MAX(IF((E40-$B$35)&lt;$R40:$V40,$R$48:$V$48,0))))))</f>
        <v>0</v>
      </c>
      <c r="G40" s="2005"/>
      <c r="H40" s="1976"/>
      <c r="I40" s="2006"/>
      <c r="J40" s="777"/>
      <c r="Q40" s="765">
        <v>45</v>
      </c>
      <c r="R40" s="764">
        <v>0</v>
      </c>
      <c r="S40" s="764">
        <v>10</v>
      </c>
      <c r="T40" s="764">
        <v>20</v>
      </c>
      <c r="U40" s="764">
        <v>30</v>
      </c>
      <c r="V40" s="766">
        <f t="shared" si="0"/>
        <v>45</v>
      </c>
      <c r="W40" s="764" t="s">
        <v>149</v>
      </c>
      <c r="X40" s="764">
        <v>0.75</v>
      </c>
    </row>
    <row r="41" spans="1:24" s="126" customFormat="1" ht="15" customHeight="1">
      <c r="A41" s="125"/>
      <c r="B41" s="435">
        <v>3</v>
      </c>
      <c r="C41" s="148">
        <v>50</v>
      </c>
      <c r="D41" s="752"/>
      <c r="E41" s="984"/>
      <c r="F41" s="138" cm="1">
        <f t="array" aca="1" ref="F41" ca="1">$B41*(IF(D41="",0,IF(E41="",VLOOKUP(D41,$W$36:$X$40,2,TRUE),IF(AND((E41-$B$35)&lt;($R41:$V41 INDIRECT("CBFA50"&amp;D41)+2),(E41-$B$35)&gt;=($R41:$V41 INDIRECT("CBFA50"&amp;D41)-12)),VLOOKUP(D41,$W$36:$X$40,2),MAX(IF((E41-$B$35)&lt;$R41:$V41,$R$48:$V$48,0))))))</f>
        <v>0</v>
      </c>
      <c r="G41" s="1964"/>
      <c r="H41" s="1963"/>
      <c r="I41" s="751">
        <f t="shared" ref="I41:I47" si="1">IF(G41="",0,IF(G41&gt;=1.7,$B41,0))</f>
        <v>0</v>
      </c>
      <c r="J41" s="777"/>
      <c r="Q41" s="765">
        <v>50</v>
      </c>
      <c r="R41" s="764">
        <v>0</v>
      </c>
      <c r="S41" s="764">
        <v>10</v>
      </c>
      <c r="T41" s="764">
        <v>20</v>
      </c>
      <c r="U41" s="764">
        <v>30</v>
      </c>
      <c r="V41" s="766">
        <f t="shared" si="0"/>
        <v>50</v>
      </c>
      <c r="W41" s="764"/>
      <c r="X41" s="764"/>
    </row>
    <row r="42" spans="1:24" s="126" customFormat="1" ht="15" customHeight="1">
      <c r="A42" s="125"/>
      <c r="B42" s="435">
        <v>3</v>
      </c>
      <c r="C42" s="148">
        <v>55</v>
      </c>
      <c r="D42" s="752"/>
      <c r="E42" s="984"/>
      <c r="F42" s="138" cm="1">
        <f t="array" aca="1" ref="F42" ca="1">$B42*(IF(D42="",0,IF(E42="",VLOOKUP(D42,$W$36:$X$40,2,TRUE),IF(AND((E42-$B$35)&lt;($R42:$V42 INDIRECT("CBFA50"&amp;D42)+2),(E42-$B$35)&gt;=($R42:$V42 INDIRECT("CBFA50"&amp;D42)-12)),VLOOKUP(D42,$W$36:$X$40,2),MAX(IF((E42-$B$35)&lt;$R42:$V42,$R$48:$V$48,0))))))</f>
        <v>0</v>
      </c>
      <c r="G42" s="1964"/>
      <c r="H42" s="1963"/>
      <c r="I42" s="751">
        <f>IF(G42="",0,IF(G42&gt;=1.7,$B42,0))</f>
        <v>0</v>
      </c>
      <c r="J42" s="777"/>
      <c r="Q42" s="765">
        <v>55</v>
      </c>
      <c r="R42" s="764">
        <v>0</v>
      </c>
      <c r="S42" s="764">
        <v>10</v>
      </c>
      <c r="T42" s="764">
        <v>20</v>
      </c>
      <c r="U42" s="764">
        <v>30</v>
      </c>
      <c r="V42" s="766">
        <f t="shared" si="0"/>
        <v>55</v>
      </c>
      <c r="W42" s="764"/>
      <c r="X42" s="764"/>
    </row>
    <row r="43" spans="1:24" s="126" customFormat="1" ht="15" customHeight="1">
      <c r="A43" s="125"/>
      <c r="B43" s="368">
        <v>1</v>
      </c>
      <c r="C43" s="148">
        <v>60</v>
      </c>
      <c r="D43" s="752"/>
      <c r="E43" s="984"/>
      <c r="F43" s="138" cm="1">
        <f t="array" aca="1" ref="F43" ca="1">$B43*(IF(D43="",0,IF(E43="",VLOOKUP(D43,$W$36:$X$40,2,TRUE),IF(AND((E43-$B$35)&lt;($R43:$V43 INDIRECT("CBFA50"&amp;D43)+2),(E43-$B$35)&gt;=($R43:$V43 INDIRECT("CBFA50"&amp;D43)-12)),VLOOKUP(D43,$W$36:$X$40,2),MAX(IF((E43-$B$35)&lt;$R43:$V43,$R$48:$V$48,0))))))</f>
        <v>0</v>
      </c>
      <c r="G43" s="1964"/>
      <c r="H43" s="1963"/>
      <c r="I43" s="751">
        <f t="shared" si="1"/>
        <v>0</v>
      </c>
      <c r="J43" s="777"/>
      <c r="Q43" s="765">
        <v>60</v>
      </c>
      <c r="R43" s="764">
        <v>0</v>
      </c>
      <c r="S43" s="764">
        <v>10</v>
      </c>
      <c r="T43" s="764">
        <v>20</v>
      </c>
      <c r="U43" s="764">
        <v>30</v>
      </c>
      <c r="V43" s="766">
        <f t="shared" si="0"/>
        <v>60</v>
      </c>
      <c r="W43" s="764"/>
      <c r="X43" s="764"/>
    </row>
    <row r="44" spans="1:24" s="126" customFormat="1" ht="15" customHeight="1">
      <c r="A44" s="125"/>
      <c r="B44" s="435">
        <v>1</v>
      </c>
      <c r="C44" s="148">
        <v>65</v>
      </c>
      <c r="D44" s="1975"/>
      <c r="E44" s="1976"/>
      <c r="F44" s="1977"/>
      <c r="G44" s="1964"/>
      <c r="H44" s="1963"/>
      <c r="I44" s="751">
        <f t="shared" si="1"/>
        <v>0</v>
      </c>
      <c r="J44" s="777"/>
      <c r="Q44" s="765">
        <v>65</v>
      </c>
      <c r="R44" s="764"/>
      <c r="S44" s="764"/>
      <c r="T44" s="764"/>
      <c r="U44" s="764"/>
      <c r="V44" s="764"/>
      <c r="W44" s="764"/>
      <c r="X44" s="764"/>
    </row>
    <row r="45" spans="1:24" s="126" customFormat="1" ht="15" customHeight="1">
      <c r="A45" s="125"/>
      <c r="B45" s="435">
        <v>1</v>
      </c>
      <c r="C45" s="148">
        <v>70</v>
      </c>
      <c r="D45" s="1975"/>
      <c r="E45" s="1976"/>
      <c r="F45" s="1977"/>
      <c r="G45" s="1964"/>
      <c r="H45" s="1963"/>
      <c r="I45" s="751">
        <f t="shared" si="1"/>
        <v>0</v>
      </c>
      <c r="J45" s="777"/>
      <c r="Q45" s="765">
        <v>70</v>
      </c>
      <c r="R45" s="764"/>
      <c r="S45" s="764"/>
      <c r="T45" s="764"/>
      <c r="U45" s="764"/>
      <c r="V45" s="764"/>
      <c r="W45" s="764"/>
      <c r="X45" s="764"/>
    </row>
    <row r="46" spans="1:24" s="126" customFormat="1" ht="15" customHeight="1">
      <c r="A46" s="125"/>
      <c r="B46" s="435">
        <v>1</v>
      </c>
      <c r="C46" s="148">
        <v>75</v>
      </c>
      <c r="D46" s="1975"/>
      <c r="E46" s="1976"/>
      <c r="F46" s="1977"/>
      <c r="G46" s="1964"/>
      <c r="H46" s="1963"/>
      <c r="I46" s="751">
        <f t="shared" si="1"/>
        <v>0</v>
      </c>
      <c r="J46" s="777"/>
      <c r="Q46" s="765">
        <v>75</v>
      </c>
      <c r="R46" s="764"/>
      <c r="S46" s="764"/>
      <c r="T46" s="764"/>
      <c r="U46" s="764"/>
      <c r="V46" s="764"/>
      <c r="W46" s="764"/>
      <c r="X46" s="807"/>
    </row>
    <row r="47" spans="1:24" s="126" customFormat="1" ht="15" customHeight="1" thickBot="1">
      <c r="A47" s="125"/>
      <c r="B47" s="435">
        <v>1</v>
      </c>
      <c r="C47" s="148">
        <v>80</v>
      </c>
      <c r="D47" s="1978"/>
      <c r="E47" s="1979"/>
      <c r="F47" s="1980"/>
      <c r="G47" s="1964"/>
      <c r="H47" s="1963"/>
      <c r="I47" s="751">
        <f t="shared" si="1"/>
        <v>0</v>
      </c>
      <c r="J47" s="777"/>
      <c r="Q47" s="765">
        <v>80</v>
      </c>
      <c r="R47" s="764"/>
      <c r="S47" s="764"/>
      <c r="T47" s="764"/>
      <c r="U47" s="764"/>
      <c r="V47" s="764"/>
      <c r="W47" s="764"/>
      <c r="X47" s="843"/>
    </row>
    <row r="48" spans="1:24" s="126" customFormat="1" ht="15" customHeight="1" thickBot="1">
      <c r="A48" s="125"/>
      <c r="B48" s="2007" t="s">
        <v>2595</v>
      </c>
      <c r="C48" s="2008"/>
      <c r="D48" s="2009">
        <f ca="1">SUM(F36:F43)</f>
        <v>0</v>
      </c>
      <c r="E48" s="1972"/>
      <c r="F48" s="1973"/>
      <c r="G48" s="1972">
        <f>SUM(I41:I47)</f>
        <v>0</v>
      </c>
      <c r="H48" s="1972"/>
      <c r="I48" s="1974"/>
      <c r="J48" s="777"/>
      <c r="Q48" s="764"/>
      <c r="R48" s="767">
        <v>1</v>
      </c>
      <c r="S48" s="767">
        <v>0.75</v>
      </c>
      <c r="T48" s="767">
        <v>0.5</v>
      </c>
      <c r="U48" s="767">
        <v>0.25</v>
      </c>
      <c r="V48" s="767">
        <v>0</v>
      </c>
      <c r="W48" s="764"/>
      <c r="X48" s="843"/>
    </row>
    <row r="49" spans="1:24" s="126" customFormat="1" ht="15" customHeight="1" thickBot="1">
      <c r="A49" s="125"/>
      <c r="B49" s="125"/>
      <c r="C49" s="127"/>
      <c r="D49" s="125"/>
      <c r="E49" s="125"/>
      <c r="F49" s="125"/>
      <c r="G49" s="125"/>
      <c r="H49" s="125"/>
      <c r="I49" s="125"/>
      <c r="X49" s="807"/>
    </row>
    <row r="50" spans="1:24" s="126" customFormat="1" ht="15" customHeight="1">
      <c r="A50" s="125"/>
      <c r="B50" s="130" t="s">
        <v>2605</v>
      </c>
      <c r="C50" s="131"/>
      <c r="D50" s="1981" t="s">
        <v>632</v>
      </c>
      <c r="E50" s="1982"/>
      <c r="F50" s="1982"/>
      <c r="G50" s="1982"/>
      <c r="H50" s="1982"/>
      <c r="I50" s="1983"/>
      <c r="X50" s="807"/>
    </row>
    <row r="51" spans="1:24" s="126" customFormat="1" ht="15" customHeight="1">
      <c r="A51" s="125"/>
      <c r="B51" s="128"/>
      <c r="C51" s="129"/>
      <c r="D51" s="1984" t="s">
        <v>2623</v>
      </c>
      <c r="E51" s="1985"/>
      <c r="F51" s="1986"/>
      <c r="G51" s="1985" t="s">
        <v>2622</v>
      </c>
      <c r="H51" s="1985"/>
      <c r="I51" s="1988"/>
      <c r="X51" s="807"/>
    </row>
    <row r="52" spans="1:24" s="126" customFormat="1" ht="15" customHeight="1">
      <c r="A52" s="125"/>
      <c r="B52" s="128"/>
      <c r="C52" s="129"/>
      <c r="D52" s="1984" t="s">
        <v>623</v>
      </c>
      <c r="E52" s="1985"/>
      <c r="F52" s="479" t="s">
        <v>40</v>
      </c>
      <c r="G52" s="1987" t="s">
        <v>623</v>
      </c>
      <c r="H52" s="1985"/>
      <c r="I52" s="754" t="s">
        <v>40</v>
      </c>
      <c r="X52" s="807"/>
    </row>
    <row r="53" spans="1:24" s="126" customFormat="1" ht="15" customHeight="1">
      <c r="A53" s="125"/>
      <c r="B53" s="368">
        <v>1</v>
      </c>
      <c r="C53" s="148">
        <v>10</v>
      </c>
      <c r="D53" s="1995"/>
      <c r="E53" s="1996"/>
      <c r="F53" s="138">
        <f>IF(D53="",0,IF(D53=0,1,0))</f>
        <v>0</v>
      </c>
      <c r="G53" s="1964"/>
      <c r="H53" s="1963"/>
      <c r="I53" s="751">
        <f>IF(G53="",0,IF(G53=0,1,0))</f>
        <v>0</v>
      </c>
      <c r="X53" s="807"/>
    </row>
    <row r="54" spans="1:24" s="126" customFormat="1" ht="15" customHeight="1">
      <c r="A54" s="125"/>
      <c r="B54" s="368">
        <v>1</v>
      </c>
      <c r="C54" s="148">
        <v>15</v>
      </c>
      <c r="D54" s="1995"/>
      <c r="E54" s="1996"/>
      <c r="F54" s="138">
        <f>IF(D54="",0,IF(D54=0,1,0))</f>
        <v>0</v>
      </c>
      <c r="G54" s="2005"/>
      <c r="H54" s="1976"/>
      <c r="I54" s="2006"/>
      <c r="X54" s="807"/>
    </row>
    <row r="55" spans="1:24" s="126" customFormat="1" ht="15" customHeight="1" thickBot="1">
      <c r="A55" s="125"/>
      <c r="B55" s="368">
        <v>1</v>
      </c>
      <c r="C55" s="148">
        <v>20</v>
      </c>
      <c r="D55" s="1997"/>
      <c r="E55" s="1998"/>
      <c r="F55" s="138">
        <f>IF(D55="",0,IF(D55=0,1,0))</f>
        <v>0</v>
      </c>
      <c r="G55" s="2011"/>
      <c r="H55" s="1979"/>
      <c r="I55" s="2006"/>
      <c r="X55" s="807"/>
    </row>
    <row r="56" spans="1:24" s="126" customFormat="1" ht="15" customHeight="1" thickBot="1">
      <c r="A56" s="125"/>
      <c r="B56" s="2007" t="s">
        <v>2595</v>
      </c>
      <c r="C56" s="2008"/>
      <c r="D56" s="2009">
        <f>SUM(F53:F55,I53)</f>
        <v>0</v>
      </c>
      <c r="E56" s="1972"/>
      <c r="F56" s="1972"/>
      <c r="G56" s="1972"/>
      <c r="H56" s="1972"/>
      <c r="I56" s="1974"/>
      <c r="X56" s="807"/>
    </row>
    <row r="57" spans="1:24" s="126" customFormat="1" ht="15" customHeight="1" thickBot="1">
      <c r="A57" s="125"/>
      <c r="B57" s="125"/>
      <c r="C57" s="127"/>
      <c r="D57" s="125"/>
      <c r="E57" s="125"/>
      <c r="F57" s="125"/>
      <c r="G57" s="125"/>
      <c r="H57" s="125"/>
      <c r="I57" s="125"/>
    </row>
    <row r="58" spans="1:24" s="126" customFormat="1" ht="15" customHeight="1">
      <c r="A58" s="125"/>
      <c r="B58" s="130" t="s">
        <v>2621</v>
      </c>
      <c r="C58" s="131"/>
      <c r="D58" s="1981" t="s">
        <v>632</v>
      </c>
      <c r="E58" s="1982"/>
      <c r="F58" s="1982"/>
      <c r="G58" s="1982"/>
      <c r="H58" s="1982"/>
      <c r="I58" s="1983"/>
      <c r="J58" s="1178"/>
    </row>
    <row r="59" spans="1:24" s="126" customFormat="1" ht="15" customHeight="1">
      <c r="A59" s="125"/>
      <c r="B59" s="128" t="s">
        <v>2653</v>
      </c>
      <c r="C59" s="1066" t="s">
        <v>2925</v>
      </c>
      <c r="D59" s="1984" t="s">
        <v>2620</v>
      </c>
      <c r="E59" s="1985"/>
      <c r="F59" s="1986"/>
      <c r="G59" s="1987" t="s">
        <v>2638</v>
      </c>
      <c r="H59" s="1985"/>
      <c r="I59" s="1988"/>
      <c r="Q59" s="807"/>
      <c r="R59" s="807"/>
      <c r="S59" s="807"/>
      <c r="T59" s="807"/>
    </row>
    <row r="60" spans="1:24" s="126" customFormat="1" ht="15" customHeight="1">
      <c r="A60" s="125"/>
      <c r="B60" s="368">
        <v>0.25</v>
      </c>
      <c r="C60" s="129"/>
      <c r="D60" s="780" t="s">
        <v>2619</v>
      </c>
      <c r="E60" s="781" t="s">
        <v>2618</v>
      </c>
      <c r="F60" s="782" t="s">
        <v>2654</v>
      </c>
      <c r="G60" s="1987"/>
      <c r="H60" s="1985"/>
      <c r="I60" s="1988"/>
      <c r="Q60" s="807"/>
      <c r="R60" s="807"/>
      <c r="S60" s="807"/>
      <c r="T60" s="807"/>
    </row>
    <row r="61" spans="1:24" s="126" customFormat="1" ht="15" customHeight="1">
      <c r="A61" s="125"/>
      <c r="B61" s="368">
        <v>0.25</v>
      </c>
      <c r="C61" s="148" t="s">
        <v>2617</v>
      </c>
      <c r="D61" s="985"/>
      <c r="E61" s="779"/>
      <c r="F61" s="839">
        <f>IF(D61="",0,IF(D61&gt;=2.3,B61,0))</f>
        <v>0</v>
      </c>
      <c r="G61" s="1987"/>
      <c r="H61" s="1985"/>
      <c r="I61" s="1988"/>
      <c r="Q61" s="807"/>
      <c r="R61" s="807"/>
      <c r="S61" s="807"/>
      <c r="T61" s="807"/>
    </row>
    <row r="62" spans="1:24" s="126" customFormat="1" ht="15" customHeight="1">
      <c r="A62" s="125"/>
      <c r="B62" s="368">
        <v>0.25</v>
      </c>
      <c r="C62" s="148" t="s">
        <v>2513</v>
      </c>
      <c r="D62" s="985"/>
      <c r="E62" s="779"/>
      <c r="F62" s="840" cm="1">
        <f t="array" ref="F62">_xlfn.SWITCH(C59,"Conventional",IF(D62="",0,IF(AND(D62&gt;=1.7,F61&gt;0),B62,0)),"Sliding",IF(D62="",0,IF(AND(D62&gt;=1.7,F61&gt;0),B62+B60,0)))</f>
        <v>0</v>
      </c>
      <c r="G62" s="2060" t="s">
        <v>2655</v>
      </c>
      <c r="H62" s="2061"/>
      <c r="I62" s="2064"/>
      <c r="Q62" s="807"/>
      <c r="R62" s="807">
        <v>99999</v>
      </c>
      <c r="S62" s="807"/>
      <c r="T62" s="807"/>
    </row>
    <row r="63" spans="1:24" s="126" customFormat="1" ht="15" customHeight="1" thickBot="1">
      <c r="A63" s="125"/>
      <c r="B63" s="759">
        <f>IF(F62=0,0.5,0.25)</f>
        <v>0.5</v>
      </c>
      <c r="C63" s="778" t="s">
        <v>2616</v>
      </c>
      <c r="D63" s="985"/>
      <c r="E63" s="1177"/>
      <c r="F63" s="840">
        <f>IF(D63="",0,IF(AND(D63&gt;=1.7,E63&lt;=-0.4,F61&gt;0,E63&lt;&gt;""),B63,0))</f>
        <v>0</v>
      </c>
      <c r="G63" s="2062"/>
      <c r="H63" s="2063"/>
      <c r="I63" s="2064"/>
      <c r="Q63" s="807"/>
      <c r="R63" s="807">
        <v>99999</v>
      </c>
      <c r="S63" s="807"/>
      <c r="T63" s="807"/>
    </row>
    <row r="64" spans="1:24" s="126" customFormat="1" ht="15.75" thickBot="1">
      <c r="A64" s="125"/>
      <c r="B64" s="2007" t="s">
        <v>2595</v>
      </c>
      <c r="C64" s="2008"/>
      <c r="D64" s="2009">
        <f>IF(AND(I62="Pass",F62=0,F63=0,F61&gt;0),F61,IF(I62="Pass",F63+F62+F61+B62,F63+F62+F61))</f>
        <v>0</v>
      </c>
      <c r="E64" s="1972"/>
      <c r="F64" s="1972"/>
      <c r="G64" s="1972"/>
      <c r="H64" s="1972"/>
      <c r="I64" s="1974"/>
    </row>
    <row r="65" spans="1:30" s="126" customFormat="1" ht="15" customHeight="1" thickBot="1">
      <c r="A65" s="125"/>
      <c r="B65" s="125"/>
      <c r="C65" s="127"/>
      <c r="D65" s="125"/>
      <c r="E65" s="125"/>
      <c r="F65" s="125"/>
      <c r="G65" s="125"/>
      <c r="H65" s="125"/>
      <c r="I65" s="125"/>
    </row>
    <row r="66" spans="1:30" s="126" customFormat="1" ht="15" customHeight="1" thickBot="1">
      <c r="A66" s="125"/>
      <c r="B66" s="2017" t="s">
        <v>37</v>
      </c>
      <c r="C66" s="2018"/>
      <c r="D66" s="2002" t="s">
        <v>632</v>
      </c>
      <c r="E66" s="2003"/>
      <c r="F66" s="2003"/>
      <c r="G66" s="2003"/>
      <c r="H66" s="2003"/>
      <c r="I66" s="2004"/>
    </row>
    <row r="67" spans="1:30" s="126" customFormat="1" ht="15" customHeight="1">
      <c r="A67" s="125"/>
      <c r="B67" s="128"/>
      <c r="C67" s="364"/>
      <c r="D67" s="1984"/>
      <c r="E67" s="1985"/>
      <c r="F67" s="1985"/>
      <c r="G67" s="1985" t="s">
        <v>40</v>
      </c>
      <c r="H67" s="1985"/>
      <c r="I67" s="1988"/>
    </row>
    <row r="68" spans="1:30" s="126" customFormat="1" ht="15" customHeight="1">
      <c r="A68" s="125"/>
      <c r="B68" s="133"/>
      <c r="C68" s="400" t="s">
        <v>2615</v>
      </c>
      <c r="D68" s="1968">
        <f ca="1">ROUND(D31/11,2)</f>
        <v>0</v>
      </c>
      <c r="E68" s="1969"/>
      <c r="F68" s="1969"/>
      <c r="G68" s="1959">
        <f ca="1">D68*2</f>
        <v>0</v>
      </c>
      <c r="H68" s="1959"/>
      <c r="I68" s="1960"/>
      <c r="Q68" s="762"/>
    </row>
    <row r="69" spans="1:30" ht="15" customHeight="1">
      <c r="B69" s="133"/>
      <c r="C69" s="401" t="s">
        <v>2614</v>
      </c>
      <c r="D69" s="1968">
        <f ca="1">ROUND(G31/11,2)</f>
        <v>0</v>
      </c>
      <c r="E69" s="1969"/>
      <c r="F69" s="1969"/>
      <c r="G69" s="1959">
        <f ca="1">D69*1</f>
        <v>0</v>
      </c>
      <c r="H69" s="1959"/>
      <c r="I69" s="1960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  <c r="AA69" s="126"/>
      <c r="AB69" s="126"/>
      <c r="AC69" s="126"/>
      <c r="AD69" s="126"/>
    </row>
    <row r="70" spans="1:30" ht="15" customHeight="1">
      <c r="B70" s="133"/>
      <c r="C70" s="401" t="s">
        <v>2613</v>
      </c>
      <c r="D70" s="1968">
        <f ca="1">ROUND(J31/11,2)</f>
        <v>0</v>
      </c>
      <c r="E70" s="1969"/>
      <c r="F70" s="1969"/>
      <c r="G70" s="1959">
        <f ca="1">D70*1</f>
        <v>0</v>
      </c>
      <c r="H70" s="1959"/>
      <c r="I70" s="1960"/>
      <c r="J70" s="126"/>
      <c r="K70" s="126"/>
      <c r="L70" s="126"/>
      <c r="M70" s="126"/>
      <c r="N70" s="126"/>
      <c r="O70" s="126"/>
      <c r="P70" s="126"/>
      <c r="Q70" s="126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</row>
    <row r="71" spans="1:30" ht="15" customHeight="1">
      <c r="B71" s="133"/>
      <c r="C71" s="401" t="s">
        <v>693</v>
      </c>
      <c r="D71" s="1968">
        <f ca="1">ROUND((D48+G48)/27,2)</f>
        <v>0</v>
      </c>
      <c r="E71" s="1969"/>
      <c r="F71" s="1969"/>
      <c r="G71" s="1959">
        <f ca="1">D71*2</f>
        <v>0</v>
      </c>
      <c r="H71" s="1959"/>
      <c r="I71" s="1960"/>
      <c r="J71" s="126"/>
      <c r="K71" s="126"/>
      <c r="L71" s="126"/>
      <c r="M71" s="126"/>
      <c r="N71" s="126"/>
      <c r="O71" s="126"/>
      <c r="P71" s="126"/>
      <c r="Q71" s="126"/>
      <c r="R71" s="126"/>
      <c r="S71" s="126"/>
      <c r="T71" s="126"/>
      <c r="U71" s="126"/>
      <c r="V71" s="126"/>
      <c r="W71" s="126"/>
      <c r="X71" s="126"/>
      <c r="Y71" s="126"/>
      <c r="Z71" s="126"/>
      <c r="AA71" s="126"/>
      <c r="AB71" s="126"/>
      <c r="AC71" s="126"/>
      <c r="AD71" s="126"/>
    </row>
    <row r="72" spans="1:30" ht="15" customHeight="1">
      <c r="B72" s="133"/>
      <c r="C72" s="401" t="s">
        <v>2612</v>
      </c>
      <c r="D72" s="1968">
        <f>ROUND((D56+J56)/4,2)</f>
        <v>0</v>
      </c>
      <c r="E72" s="1969"/>
      <c r="F72" s="1969"/>
      <c r="G72" s="1959">
        <f>D72*2</f>
        <v>0</v>
      </c>
      <c r="H72" s="1959"/>
      <c r="I72" s="1960"/>
      <c r="J72" s="126"/>
      <c r="K72" s="126"/>
      <c r="L72" s="126"/>
      <c r="M72" s="126"/>
      <c r="N72" s="126"/>
      <c r="O72" s="126"/>
      <c r="P72" s="126"/>
      <c r="Q72" s="126"/>
      <c r="R72" s="126"/>
      <c r="S72" s="126"/>
      <c r="T72" s="126"/>
      <c r="U72" s="126"/>
      <c r="V72" s="126"/>
      <c r="W72" s="126"/>
      <c r="X72" s="126"/>
      <c r="Y72" s="126"/>
      <c r="Z72" s="126"/>
      <c r="AA72" s="126"/>
      <c r="AB72" s="126"/>
      <c r="AC72" s="126"/>
      <c r="AD72" s="126"/>
    </row>
    <row r="73" spans="1:30" ht="15" customHeight="1" thickBot="1">
      <c r="B73" s="135"/>
      <c r="C73" s="402" t="s">
        <v>2611</v>
      </c>
      <c r="D73" s="1965">
        <f>ROUND(D64,2)</f>
        <v>0</v>
      </c>
      <c r="E73" s="1966"/>
      <c r="F73" s="1966"/>
      <c r="G73" s="1961">
        <f>D73*1</f>
        <v>0</v>
      </c>
      <c r="H73" s="1961"/>
      <c r="I73" s="1962"/>
      <c r="J73" s="126"/>
      <c r="K73" s="126"/>
      <c r="L73" s="126"/>
      <c r="M73" s="126"/>
      <c r="N73" s="126"/>
      <c r="O73" s="126"/>
      <c r="P73" s="126"/>
      <c r="Q73" s="126"/>
      <c r="R73" s="126"/>
      <c r="S73" s="126"/>
      <c r="T73" s="126"/>
      <c r="U73" s="126"/>
      <c r="V73" s="126"/>
      <c r="W73" s="126"/>
      <c r="X73" s="126"/>
      <c r="Y73" s="126"/>
      <c r="Z73" s="126"/>
      <c r="AA73" s="126"/>
      <c r="AB73" s="126"/>
      <c r="AC73" s="126"/>
      <c r="AD73" s="126"/>
    </row>
    <row r="74" spans="1:30" s="126" customFormat="1" ht="15" customHeight="1" thickBot="1">
      <c r="A74" s="125"/>
      <c r="B74" s="2007" t="s">
        <v>62</v>
      </c>
      <c r="C74" s="2008"/>
      <c r="D74" s="2009">
        <f ca="1">SUM(G68:I73)</f>
        <v>0</v>
      </c>
      <c r="E74" s="1972"/>
      <c r="F74" s="1972"/>
      <c r="G74" s="1972"/>
      <c r="H74" s="1972"/>
      <c r="I74" s="1974"/>
    </row>
    <row r="75" spans="1:30" ht="15" customHeight="1" thickBot="1">
      <c r="P75" s="126"/>
      <c r="Q75" s="126"/>
      <c r="R75" s="126"/>
      <c r="S75" s="126"/>
      <c r="T75" s="126"/>
      <c r="U75" s="126"/>
      <c r="V75" s="126"/>
      <c r="W75" s="126"/>
      <c r="X75" s="126"/>
      <c r="Y75" s="126"/>
      <c r="Z75" s="126"/>
      <c r="AA75" s="126"/>
      <c r="AB75" s="126"/>
      <c r="AC75" s="126"/>
      <c r="AD75" s="126"/>
    </row>
    <row r="76" spans="1:30" ht="21.75" thickBot="1">
      <c r="B76" s="2013" t="s">
        <v>2610</v>
      </c>
      <c r="C76" s="2014"/>
      <c r="D76" s="1999">
        <f>IF(NOT(D15="PASS"),0,SUM(D74:O74))</f>
        <v>0</v>
      </c>
      <c r="E76" s="2000"/>
      <c r="F76" s="2000"/>
      <c r="G76" s="2000"/>
      <c r="H76" s="2000"/>
      <c r="I76" s="2001"/>
      <c r="J76" s="837"/>
      <c r="P76" s="126"/>
      <c r="Q76" s="126"/>
      <c r="R76" s="126"/>
      <c r="S76" s="126"/>
      <c r="T76" s="126"/>
      <c r="U76" s="126"/>
      <c r="V76" s="126"/>
      <c r="W76" s="126"/>
      <c r="X76" s="126"/>
      <c r="Y76" s="126"/>
      <c r="Z76" s="126"/>
      <c r="AA76" s="126"/>
      <c r="AB76" s="126"/>
      <c r="AC76" s="126"/>
      <c r="AD76" s="126"/>
    </row>
  </sheetData>
  <dataConsolidate/>
  <mergeCells count="85">
    <mergeCell ref="D71:F71"/>
    <mergeCell ref="B66:C66"/>
    <mergeCell ref="D66:I66"/>
    <mergeCell ref="B74:C74"/>
    <mergeCell ref="D74:I74"/>
    <mergeCell ref="D69:F69"/>
    <mergeCell ref="G69:I69"/>
    <mergeCell ref="D70:F70"/>
    <mergeCell ref="G70:I70"/>
    <mergeCell ref="G71:I71"/>
    <mergeCell ref="D67:F67"/>
    <mergeCell ref="G67:I67"/>
    <mergeCell ref="D68:F68"/>
    <mergeCell ref="G68:I68"/>
    <mergeCell ref="B76:C76"/>
    <mergeCell ref="D72:F72"/>
    <mergeCell ref="G72:I72"/>
    <mergeCell ref="D73:F73"/>
    <mergeCell ref="G73:I73"/>
    <mergeCell ref="D76:I76"/>
    <mergeCell ref="D47:F47"/>
    <mergeCell ref="G47:H47"/>
    <mergeCell ref="B56:C56"/>
    <mergeCell ref="D56:I56"/>
    <mergeCell ref="D51:F51"/>
    <mergeCell ref="G51:I51"/>
    <mergeCell ref="D52:E52"/>
    <mergeCell ref="G52:H52"/>
    <mergeCell ref="D54:E54"/>
    <mergeCell ref="G54:I54"/>
    <mergeCell ref="D55:E55"/>
    <mergeCell ref="G55:I55"/>
    <mergeCell ref="D53:E53"/>
    <mergeCell ref="G53:H53"/>
    <mergeCell ref="D44:F44"/>
    <mergeCell ref="G44:H44"/>
    <mergeCell ref="D45:F45"/>
    <mergeCell ref="G45:H45"/>
    <mergeCell ref="D46:F46"/>
    <mergeCell ref="G46:H46"/>
    <mergeCell ref="J31:L31"/>
    <mergeCell ref="G43:H43"/>
    <mergeCell ref="G37:I37"/>
    <mergeCell ref="G38:I38"/>
    <mergeCell ref="G39:I39"/>
    <mergeCell ref="G35:H35"/>
    <mergeCell ref="G36:I36"/>
    <mergeCell ref="D33:I33"/>
    <mergeCell ref="D34:F34"/>
    <mergeCell ref="G34:I34"/>
    <mergeCell ref="G40:I40"/>
    <mergeCell ref="G41:H41"/>
    <mergeCell ref="G42:H42"/>
    <mergeCell ref="J18:L18"/>
    <mergeCell ref="B2:C3"/>
    <mergeCell ref="B4:C4"/>
    <mergeCell ref="B15:C15"/>
    <mergeCell ref="D17:L17"/>
    <mergeCell ref="D14:L14"/>
    <mergeCell ref="D13:L13"/>
    <mergeCell ref="D15:L15"/>
    <mergeCell ref="D11:L11"/>
    <mergeCell ref="D12:L12"/>
    <mergeCell ref="D2:L4"/>
    <mergeCell ref="D9:L9"/>
    <mergeCell ref="D8:L8"/>
    <mergeCell ref="D7:L7"/>
    <mergeCell ref="D6:L6"/>
    <mergeCell ref="D5:L5"/>
    <mergeCell ref="G59:I61"/>
    <mergeCell ref="G62:H63"/>
    <mergeCell ref="B64:C64"/>
    <mergeCell ref="D59:F59"/>
    <mergeCell ref="D18:F18"/>
    <mergeCell ref="G18:I18"/>
    <mergeCell ref="D58:I58"/>
    <mergeCell ref="D64:I64"/>
    <mergeCell ref="D50:I50"/>
    <mergeCell ref="I62:I63"/>
    <mergeCell ref="B31:C31"/>
    <mergeCell ref="D31:F31"/>
    <mergeCell ref="G31:I31"/>
    <mergeCell ref="B48:C48"/>
    <mergeCell ref="D48:F48"/>
    <mergeCell ref="G48:I48"/>
  </mergeCells>
  <conditionalFormatting sqref="D20:D30">
    <cfRule type="cellIs" dxfId="1100" priority="19" operator="equal">
      <formula>"Green"</formula>
    </cfRule>
    <cfRule type="cellIs" dxfId="1099" priority="20" operator="equal">
      <formula>"Yellow"</formula>
    </cfRule>
    <cfRule type="cellIs" dxfId="1098" priority="21" operator="equal">
      <formula>"Orange"</formula>
    </cfRule>
    <cfRule type="cellIs" dxfId="1097" priority="22" operator="equal">
      <formula>"Brown"</formula>
    </cfRule>
    <cfRule type="cellIs" dxfId="1096" priority="23" operator="equal">
      <formula>"Red"</formula>
    </cfRule>
    <cfRule type="cellIs" dxfId="1095" priority="24" operator="equal">
      <formula>"D Red"</formula>
    </cfRule>
  </conditionalFormatting>
  <conditionalFormatting sqref="G20:G30">
    <cfRule type="cellIs" dxfId="1094" priority="13" operator="equal">
      <formula>"Green"</formula>
    </cfRule>
    <cfRule type="cellIs" dxfId="1093" priority="14" operator="equal">
      <formula>"Yellow"</formula>
    </cfRule>
    <cfRule type="cellIs" dxfId="1092" priority="15" operator="equal">
      <formula>"Orange"</formula>
    </cfRule>
    <cfRule type="cellIs" dxfId="1091" priority="16" operator="equal">
      <formula>"Brown"</formula>
    </cfRule>
    <cfRule type="cellIs" dxfId="1090" priority="17" operator="equal">
      <formula>"Red"</formula>
    </cfRule>
    <cfRule type="cellIs" dxfId="1089" priority="18" operator="equal">
      <formula>"D Red"</formula>
    </cfRule>
  </conditionalFormatting>
  <conditionalFormatting sqref="J20:J30">
    <cfRule type="cellIs" dxfId="1088" priority="7" operator="equal">
      <formula>"Green"</formula>
    </cfRule>
    <cfRule type="cellIs" dxfId="1087" priority="8" operator="equal">
      <formula>"Yellow"</formula>
    </cfRule>
    <cfRule type="cellIs" dxfId="1086" priority="9" operator="equal">
      <formula>"Orange"</formula>
    </cfRule>
    <cfRule type="cellIs" dxfId="1085" priority="10" operator="equal">
      <formula>"Brown"</formula>
    </cfRule>
    <cfRule type="cellIs" dxfId="1084" priority="11" operator="equal">
      <formula>"Red"</formula>
    </cfRule>
    <cfRule type="cellIs" dxfId="1083" priority="12" operator="equal">
      <formula>"D Red"</formula>
    </cfRule>
  </conditionalFormatting>
  <conditionalFormatting sqref="D36:D43">
    <cfRule type="cellIs" dxfId="1082" priority="1" operator="equal">
      <formula>"Green"</formula>
    </cfRule>
    <cfRule type="cellIs" dxfId="1081" priority="2" operator="equal">
      <formula>"Yellow"</formula>
    </cfRule>
    <cfRule type="cellIs" dxfId="1080" priority="3" operator="equal">
      <formula>"Orange"</formula>
    </cfRule>
    <cfRule type="cellIs" dxfId="1079" priority="4" operator="equal">
      <formula>"Brown"</formula>
    </cfRule>
    <cfRule type="cellIs" dxfId="1078" priority="5" operator="equal">
      <formula>"Red"</formula>
    </cfRule>
    <cfRule type="cellIs" dxfId="1077" priority="6" operator="equal">
      <formula>"D Red"</formula>
    </cfRule>
  </conditionalFormatting>
  <dataValidations count="3">
    <dataValidation type="list" allowBlank="1" showInputMessage="1" showErrorMessage="1" sqref="D7" xr:uid="{FFBD91AA-9028-B843-B144-2F5AB9991B68}">
      <formula1>"Auto-Brake,Auto-Brake with Forward Collision Warning"</formula1>
    </dataValidation>
    <dataValidation type="list" allowBlank="1" showInputMessage="1" showErrorMessage="1" sqref="D13:D14" xr:uid="{971CC8D8-A999-EA4E-A929-F1ACDB9A8702}">
      <formula1>"YES,NO"</formula1>
    </dataValidation>
    <dataValidation type="list" allowBlank="1" showInputMessage="1" showErrorMessage="1" sqref="I62:I63" xr:uid="{2B8981D8-E1E9-4D5C-B835-590A7C35B1ED}">
      <formula1>"Pass,Fail"</formula1>
    </dataValidation>
  </dataValidations>
  <pageMargins left="0.8" right="0.44" top="0.53" bottom="1" header="0.5" footer="0.5"/>
  <pageSetup paperSize="9" scale="51"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24D80A1-CC22-468F-95EE-EFA7AA775AD0}">
          <x14:formula1>
            <xm:f>Datasheet!$I$62:$I$66</xm:f>
          </x14:formula1>
          <xm:sqref>D20:D30 G20:G30 J20:J30 D36:D43</xm:sqref>
        </x14:dataValidation>
        <x14:dataValidation type="list" allowBlank="1" showInputMessage="1" showErrorMessage="1" xr:uid="{A92F1EEA-9D48-4777-B4A1-8F4FAE96BCE0}">
          <x14:formula1>
            <xm:f>Datasheet!$AC$293:$AC$294</xm:f>
          </x14:formula1>
          <xm:sqref>C59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E78EF-7661-46E1-B5C9-D1C899860808}">
  <sheetPr codeName="Sheet11">
    <tabColor rgb="FF00B050"/>
    <pageSetUpPr fitToPage="1"/>
  </sheetPr>
  <dimension ref="A1:U71"/>
  <sheetViews>
    <sheetView showGridLines="0" showOutlineSymbols="0" topLeftCell="A5" zoomScaleNormal="100" workbookViewId="0"/>
  </sheetViews>
  <sheetFormatPr defaultColWidth="9.85546875" defaultRowHeight="12.75"/>
  <cols>
    <col min="1" max="2" width="9.85546875" style="125"/>
    <col min="3" max="3" width="46.28515625" style="125" customWidth="1"/>
    <col min="4" max="15" width="7.85546875" style="125" customWidth="1"/>
    <col min="16" max="17" width="9.85546875" style="125"/>
    <col min="18" max="18" width="5.85546875" style="125" bestFit="1" customWidth="1"/>
    <col min="19" max="20" width="9.85546875" style="125"/>
    <col min="21" max="21" width="5.85546875" style="125" bestFit="1" customWidth="1"/>
    <col min="22" max="16384" width="9.85546875" style="125"/>
  </cols>
  <sheetData>
    <row r="1" spans="1:21" ht="13.5" thickBot="1">
      <c r="A1" s="124">
        <v>3</v>
      </c>
      <c r="R1" s="126"/>
    </row>
    <row r="2" spans="1:21" s="127" customFormat="1" ht="13.35" customHeight="1">
      <c r="B2" s="2020" t="s">
        <v>2633</v>
      </c>
      <c r="C2" s="2021"/>
      <c r="D2" s="2029"/>
      <c r="E2" s="2030"/>
      <c r="F2" s="2030"/>
      <c r="G2" s="2030"/>
      <c r="H2" s="2030"/>
      <c r="I2" s="2030"/>
      <c r="J2" s="2030"/>
      <c r="K2" s="2030"/>
      <c r="L2" s="2030"/>
      <c r="M2" s="2030"/>
      <c r="N2" s="2030"/>
      <c r="O2" s="2031"/>
      <c r="P2" s="137"/>
      <c r="Q2" s="836"/>
      <c r="R2" s="160"/>
      <c r="S2" s="137"/>
      <c r="T2" s="137"/>
      <c r="U2" s="137"/>
    </row>
    <row r="3" spans="1:21" s="127" customFormat="1" ht="15" customHeight="1">
      <c r="B3" s="2022"/>
      <c r="C3" s="2023"/>
      <c r="D3" s="2032"/>
      <c r="E3" s="2033"/>
      <c r="F3" s="2033"/>
      <c r="G3" s="2033"/>
      <c r="H3" s="2033"/>
      <c r="I3" s="2033"/>
      <c r="J3" s="2033"/>
      <c r="K3" s="2033"/>
      <c r="L3" s="2033"/>
      <c r="M3" s="2033"/>
      <c r="N3" s="2033"/>
      <c r="O3" s="2034"/>
      <c r="P3" s="137"/>
      <c r="Q3" s="137"/>
      <c r="R3" s="807"/>
      <c r="S3" s="137"/>
      <c r="T3" s="137"/>
      <c r="U3" s="137"/>
    </row>
    <row r="4" spans="1:21" ht="15" customHeight="1" thickBot="1">
      <c r="B4" s="2080" t="str">
        <f>'General Overview'!G13</f>
        <v/>
      </c>
      <c r="C4" s="2081"/>
      <c r="D4" s="2035"/>
      <c r="E4" s="2036"/>
      <c r="F4" s="2036"/>
      <c r="G4" s="2036"/>
      <c r="H4" s="2036"/>
      <c r="I4" s="2036"/>
      <c r="J4" s="2036"/>
      <c r="K4" s="2036"/>
      <c r="L4" s="2036"/>
      <c r="M4" s="2036"/>
      <c r="N4" s="2036"/>
      <c r="O4" s="2037"/>
      <c r="P4" s="837"/>
      <c r="Q4" s="837"/>
      <c r="R4" s="807"/>
      <c r="S4" s="837"/>
      <c r="T4" s="837"/>
      <c r="U4" s="837"/>
    </row>
    <row r="5" spans="1:21" s="126" customFormat="1" ht="15" customHeight="1">
      <c r="A5" s="125"/>
      <c r="B5" s="130" t="s">
        <v>243</v>
      </c>
      <c r="C5" s="363"/>
      <c r="D5" s="2038"/>
      <c r="E5" s="2039"/>
      <c r="F5" s="2039"/>
      <c r="G5" s="2039"/>
      <c r="H5" s="2039"/>
      <c r="I5" s="2039"/>
      <c r="J5" s="2039"/>
      <c r="K5" s="2039"/>
      <c r="L5" s="2039"/>
      <c r="M5" s="2039"/>
      <c r="N5" s="2039"/>
      <c r="O5" s="2040"/>
      <c r="P5" s="807"/>
      <c r="Q5" s="807"/>
      <c r="R5" s="807"/>
      <c r="S5" s="807"/>
      <c r="T5" s="807"/>
      <c r="U5" s="807"/>
    </row>
    <row r="6" spans="1:21" s="126" customFormat="1" ht="15" customHeight="1">
      <c r="A6" s="125"/>
      <c r="B6" s="128"/>
      <c r="C6" s="364" t="s">
        <v>624</v>
      </c>
      <c r="D6" s="2041"/>
      <c r="E6" s="2042"/>
      <c r="F6" s="2042"/>
      <c r="G6" s="2042"/>
      <c r="H6" s="2042"/>
      <c r="I6" s="2042"/>
      <c r="J6" s="2042"/>
      <c r="K6" s="2042"/>
      <c r="L6" s="2042"/>
      <c r="M6" s="2042"/>
      <c r="N6" s="2042"/>
      <c r="O6" s="2043"/>
      <c r="P6" s="807"/>
      <c r="Q6" s="807"/>
      <c r="R6" s="807"/>
      <c r="S6" s="807"/>
      <c r="T6" s="807"/>
      <c r="U6" s="807"/>
    </row>
    <row r="7" spans="1:21" s="126" customFormat="1" ht="15" customHeight="1">
      <c r="A7" s="125"/>
      <c r="B7" s="128"/>
      <c r="C7" s="364" t="s">
        <v>244</v>
      </c>
      <c r="D7" s="2044"/>
      <c r="E7" s="2045"/>
      <c r="F7" s="2045"/>
      <c r="G7" s="2045"/>
      <c r="H7" s="2045"/>
      <c r="I7" s="2045"/>
      <c r="J7" s="2045"/>
      <c r="K7" s="2045"/>
      <c r="L7" s="2045"/>
      <c r="M7" s="2045"/>
      <c r="N7" s="2045"/>
      <c r="O7" s="2046"/>
      <c r="P7" s="807"/>
      <c r="Q7" s="807"/>
      <c r="R7" s="807"/>
      <c r="S7" s="807"/>
      <c r="T7" s="807"/>
      <c r="U7" s="807"/>
    </row>
    <row r="8" spans="1:21" s="126" customFormat="1" ht="15" customHeight="1">
      <c r="A8" s="125"/>
      <c r="B8" s="128"/>
      <c r="C8" s="364" t="s">
        <v>362</v>
      </c>
      <c r="D8" s="2047"/>
      <c r="E8" s="2048"/>
      <c r="F8" s="2048"/>
      <c r="G8" s="2048"/>
      <c r="H8" s="2048"/>
      <c r="I8" s="2048"/>
      <c r="J8" s="2048"/>
      <c r="K8" s="2048"/>
      <c r="L8" s="2048"/>
      <c r="M8" s="2048"/>
      <c r="N8" s="2048"/>
      <c r="O8" s="2049"/>
      <c r="P8" s="807"/>
      <c r="Q8" s="807"/>
      <c r="R8" s="807"/>
      <c r="S8" s="807"/>
      <c r="T8" s="807"/>
      <c r="U8" s="807"/>
    </row>
    <row r="9" spans="1:21" s="126" customFormat="1" ht="15" customHeight="1" thickBot="1">
      <c r="A9" s="125"/>
      <c r="B9" s="135"/>
      <c r="C9" s="365" t="s">
        <v>245</v>
      </c>
      <c r="D9" s="2026"/>
      <c r="E9" s="2027"/>
      <c r="F9" s="2027"/>
      <c r="G9" s="2027"/>
      <c r="H9" s="2027"/>
      <c r="I9" s="2027"/>
      <c r="J9" s="2027"/>
      <c r="K9" s="2027"/>
      <c r="L9" s="2027"/>
      <c r="M9" s="2027"/>
      <c r="N9" s="2027"/>
      <c r="O9" s="2028"/>
      <c r="P9" s="807"/>
      <c r="Q9" s="807"/>
      <c r="R9" s="807"/>
      <c r="S9" s="807"/>
      <c r="T9" s="807"/>
      <c r="U9" s="807"/>
    </row>
    <row r="10" spans="1:21" s="126" customFormat="1" ht="15" customHeight="1" thickBot="1">
      <c r="A10" s="125"/>
      <c r="B10" s="125"/>
      <c r="C10" s="127"/>
      <c r="D10" s="125"/>
      <c r="E10" s="125"/>
      <c r="F10" s="125"/>
      <c r="G10" s="125"/>
      <c r="H10" s="125"/>
      <c r="I10" s="125"/>
      <c r="P10" s="807"/>
      <c r="Q10" s="807"/>
      <c r="R10" s="807"/>
      <c r="S10" s="807"/>
      <c r="T10" s="807"/>
      <c r="U10" s="807"/>
    </row>
    <row r="11" spans="1:21" s="126" customFormat="1" ht="15" customHeight="1">
      <c r="A11" s="125"/>
      <c r="B11" s="130" t="s">
        <v>550</v>
      </c>
      <c r="C11" s="131"/>
      <c r="D11" s="2038"/>
      <c r="E11" s="2039"/>
      <c r="F11" s="2039"/>
      <c r="G11" s="2039"/>
      <c r="H11" s="2039"/>
      <c r="I11" s="2039"/>
      <c r="J11" s="2039"/>
      <c r="K11" s="2039"/>
      <c r="L11" s="2039"/>
      <c r="M11" s="2039"/>
      <c r="N11" s="2039"/>
      <c r="O11" s="2040"/>
      <c r="P11" s="807"/>
      <c r="Q11" s="807"/>
      <c r="R11" s="807"/>
      <c r="S11" s="807"/>
      <c r="T11" s="807"/>
      <c r="U11" s="807"/>
    </row>
    <row r="12" spans="1:21" s="126" customFormat="1" ht="15" customHeight="1">
      <c r="A12" s="125"/>
      <c r="B12" s="128"/>
      <c r="C12" s="132"/>
      <c r="D12" s="2071"/>
      <c r="E12" s="2072"/>
      <c r="F12" s="2072"/>
      <c r="G12" s="2072"/>
      <c r="H12" s="2072"/>
      <c r="I12" s="2072"/>
      <c r="J12" s="2072"/>
      <c r="K12" s="2072"/>
      <c r="L12" s="2072"/>
      <c r="M12" s="2072"/>
      <c r="N12" s="2072"/>
      <c r="O12" s="2073"/>
      <c r="P12" s="807"/>
      <c r="Q12" s="807"/>
      <c r="R12" s="807"/>
      <c r="S12" s="807"/>
      <c r="T12" s="807"/>
      <c r="U12" s="807"/>
    </row>
    <row r="13" spans="1:21" s="126" customFormat="1" ht="15" customHeight="1">
      <c r="A13" s="125"/>
      <c r="B13" s="128"/>
      <c r="C13" s="129" t="s">
        <v>553</v>
      </c>
      <c r="D13" s="2044"/>
      <c r="E13" s="2045"/>
      <c r="F13" s="2045"/>
      <c r="G13" s="2045"/>
      <c r="H13" s="2045"/>
      <c r="I13" s="2045"/>
      <c r="J13" s="2045"/>
      <c r="K13" s="2045"/>
      <c r="L13" s="2045"/>
      <c r="M13" s="2045"/>
      <c r="N13" s="2045"/>
      <c r="O13" s="2046"/>
      <c r="P13" s="841"/>
      <c r="Q13" s="807"/>
      <c r="R13" s="807"/>
      <c r="S13" s="807"/>
      <c r="T13" s="807"/>
      <c r="U13" s="807"/>
    </row>
    <row r="14" spans="1:21" s="126" customFormat="1" ht="15" customHeight="1" thickBot="1">
      <c r="A14" s="125"/>
      <c r="B14" s="128"/>
      <c r="C14" s="129" t="s">
        <v>625</v>
      </c>
      <c r="D14" s="2065"/>
      <c r="E14" s="2066"/>
      <c r="F14" s="2066"/>
      <c r="G14" s="2066"/>
      <c r="H14" s="2066"/>
      <c r="I14" s="2066"/>
      <c r="J14" s="2066"/>
      <c r="K14" s="2066"/>
      <c r="L14" s="2066"/>
      <c r="M14" s="2066"/>
      <c r="N14" s="2066"/>
      <c r="O14" s="2067"/>
      <c r="P14" s="807"/>
      <c r="Q14" s="807"/>
      <c r="R14" s="807"/>
      <c r="S14" s="807"/>
      <c r="T14" s="807"/>
      <c r="U14" s="807"/>
    </row>
    <row r="15" spans="1:21" s="126" customFormat="1" ht="15" customHeight="1" thickBot="1">
      <c r="A15" s="125"/>
      <c r="B15" s="2017" t="s">
        <v>550</v>
      </c>
      <c r="C15" s="2050"/>
      <c r="D15" s="2068" t="str">
        <f>IF(AND(D13="YES",D14="NO"),"PASS","FAIL")</f>
        <v>FAIL</v>
      </c>
      <c r="E15" s="2069"/>
      <c r="F15" s="2069"/>
      <c r="G15" s="2069"/>
      <c r="H15" s="2069"/>
      <c r="I15" s="2069"/>
      <c r="J15" s="2069"/>
      <c r="K15" s="2069"/>
      <c r="L15" s="2069"/>
      <c r="M15" s="2069"/>
      <c r="N15" s="2069"/>
      <c r="O15" s="2070"/>
      <c r="P15" s="838"/>
      <c r="Q15" s="132"/>
      <c r="R15" s="807"/>
      <c r="S15" s="807"/>
      <c r="T15" s="807"/>
      <c r="U15" s="807"/>
    </row>
    <row r="16" spans="1:21" s="126" customFormat="1" ht="15" customHeight="1" thickBot="1">
      <c r="A16" s="125"/>
      <c r="B16" s="125"/>
      <c r="C16" s="127"/>
      <c r="D16" s="125"/>
      <c r="E16" s="125"/>
      <c r="F16" s="125"/>
      <c r="G16" s="125"/>
      <c r="H16" s="125"/>
      <c r="I16" s="125"/>
    </row>
    <row r="17" spans="1:21" s="126" customFormat="1" ht="15" customHeight="1" thickBot="1">
      <c r="A17" s="125"/>
      <c r="B17" s="130" t="s">
        <v>2607</v>
      </c>
      <c r="C17" s="363"/>
      <c r="D17" s="2102" t="s">
        <v>632</v>
      </c>
      <c r="E17" s="2096"/>
      <c r="F17" s="2096"/>
      <c r="G17" s="2096"/>
      <c r="H17" s="2096"/>
      <c r="I17" s="2096"/>
      <c r="J17" s="2096"/>
      <c r="K17" s="2096"/>
      <c r="L17" s="2096"/>
      <c r="M17" s="2096"/>
      <c r="N17" s="2096"/>
      <c r="O17" s="2096"/>
      <c r="P17" s="2096"/>
      <c r="Q17" s="2096"/>
      <c r="R17" s="2096"/>
      <c r="S17" s="2096"/>
      <c r="T17" s="2096"/>
      <c r="U17" s="2097"/>
    </row>
    <row r="18" spans="1:21" s="126" customFormat="1" ht="15" customHeight="1">
      <c r="A18" s="125"/>
      <c r="B18" s="128"/>
      <c r="C18" s="364"/>
      <c r="D18" s="1984" t="s">
        <v>2632</v>
      </c>
      <c r="E18" s="1985"/>
      <c r="F18" s="1985"/>
      <c r="G18" s="1985"/>
      <c r="H18" s="1985"/>
      <c r="I18" s="1986"/>
      <c r="J18" s="2104" t="s">
        <v>2631</v>
      </c>
      <c r="K18" s="1982"/>
      <c r="L18" s="1982"/>
      <c r="M18" s="1982"/>
      <c r="N18" s="1982"/>
      <c r="O18" s="2105"/>
      <c r="P18" s="1982" t="s">
        <v>2637</v>
      </c>
      <c r="Q18" s="1982"/>
      <c r="R18" s="1982"/>
      <c r="S18" s="1982"/>
      <c r="T18" s="1982"/>
      <c r="U18" s="1983"/>
    </row>
    <row r="19" spans="1:21" s="126" customFormat="1" ht="15" customHeight="1">
      <c r="A19" s="125"/>
      <c r="B19" s="128"/>
      <c r="C19" s="364"/>
      <c r="D19" s="1984" t="s">
        <v>236</v>
      </c>
      <c r="E19" s="1985"/>
      <c r="F19" s="1986"/>
      <c r="G19" s="1987" t="s">
        <v>242</v>
      </c>
      <c r="H19" s="1985"/>
      <c r="I19" s="1986"/>
      <c r="J19" s="1987" t="s">
        <v>236</v>
      </c>
      <c r="K19" s="1985"/>
      <c r="L19" s="1986"/>
      <c r="M19" s="1987" t="s">
        <v>242</v>
      </c>
      <c r="N19" s="1985"/>
      <c r="O19" s="1986"/>
      <c r="P19" s="1985" t="s">
        <v>236</v>
      </c>
      <c r="Q19" s="1985"/>
      <c r="R19" s="1986"/>
      <c r="S19" s="1987" t="s">
        <v>242</v>
      </c>
      <c r="T19" s="1985"/>
      <c r="U19" s="1988"/>
    </row>
    <row r="20" spans="1:21" s="126" customFormat="1" ht="15" customHeight="1">
      <c r="A20" s="125"/>
      <c r="B20" s="128"/>
      <c r="C20" s="364"/>
      <c r="D20" s="756" t="s">
        <v>2606</v>
      </c>
      <c r="E20" s="755" t="s">
        <v>623</v>
      </c>
      <c r="F20" s="479" t="s">
        <v>40</v>
      </c>
      <c r="G20" s="758" t="s">
        <v>2606</v>
      </c>
      <c r="H20" s="755" t="s">
        <v>623</v>
      </c>
      <c r="I20" s="479" t="s">
        <v>40</v>
      </c>
      <c r="J20" s="758" t="s">
        <v>2606</v>
      </c>
      <c r="K20" s="755" t="s">
        <v>623</v>
      </c>
      <c r="L20" s="479" t="s">
        <v>40</v>
      </c>
      <c r="M20" s="755" t="s">
        <v>2606</v>
      </c>
      <c r="N20" s="755" t="s">
        <v>623</v>
      </c>
      <c r="O20" s="479" t="s">
        <v>40</v>
      </c>
      <c r="P20" s="755" t="s">
        <v>2606</v>
      </c>
      <c r="Q20" s="755" t="s">
        <v>623</v>
      </c>
      <c r="R20" s="479" t="s">
        <v>40</v>
      </c>
      <c r="S20" s="755" t="s">
        <v>2606</v>
      </c>
      <c r="T20" s="755" t="s">
        <v>623</v>
      </c>
      <c r="U20" s="754" t="s">
        <v>40</v>
      </c>
    </row>
    <row r="21" spans="1:21" s="126" customFormat="1" ht="15" customHeight="1">
      <c r="A21" s="125"/>
      <c r="B21" s="435">
        <v>1</v>
      </c>
      <c r="C21" s="514">
        <v>10</v>
      </c>
      <c r="D21" s="752"/>
      <c r="E21" s="983"/>
      <c r="F21" s="138">
        <f>IF(D21="",0,IF(E21="",IF(D21="Green",$B21,IF(D21="Yellow",0.75*$B21,IF(D21="Orange",0.5*$B21,IF(D21="Brown",0.25*$B21,0)))),IF(E21&lt;2,$B21,0)))</f>
        <v>0</v>
      </c>
      <c r="G21" s="2005"/>
      <c r="H21" s="1976"/>
      <c r="I21" s="1977"/>
      <c r="J21" s="2005"/>
      <c r="K21" s="1976"/>
      <c r="L21" s="1977"/>
      <c r="M21" s="2005"/>
      <c r="N21" s="1976"/>
      <c r="O21" s="1977"/>
      <c r="P21" s="1976"/>
      <c r="Q21" s="1976"/>
      <c r="R21" s="1977"/>
      <c r="S21" s="2005"/>
      <c r="T21" s="1976"/>
      <c r="U21" s="2006"/>
    </row>
    <row r="22" spans="1:21" s="126" customFormat="1" ht="15" customHeight="1">
      <c r="A22" s="125"/>
      <c r="B22" s="435">
        <v>1</v>
      </c>
      <c r="C22" s="514">
        <v>15</v>
      </c>
      <c r="D22" s="752"/>
      <c r="E22" s="983"/>
      <c r="F22" s="138">
        <f>IF(D22="",0,IF(E22="",IF(D22="Green",$B22,IF(D22="Yellow",0.75*$B22,IF(D22="Orange",0.5*$B22,IF(D22="Brown",0.25*$B22,0)))),IF(E22&lt;2,$B22,IF(E22&lt;12,0.25*$B22,0))))</f>
        <v>0</v>
      </c>
      <c r="G22" s="2005"/>
      <c r="H22" s="1976"/>
      <c r="I22" s="1977"/>
      <c r="J22" s="2005"/>
      <c r="K22" s="1976"/>
      <c r="L22" s="1977"/>
      <c r="M22" s="2005"/>
      <c r="N22" s="1976"/>
      <c r="O22" s="1977"/>
      <c r="P22" s="1976"/>
      <c r="Q22" s="1976"/>
      <c r="R22" s="1977"/>
      <c r="S22" s="2005"/>
      <c r="T22" s="1976"/>
      <c r="U22" s="2006"/>
    </row>
    <row r="23" spans="1:21" s="126" customFormat="1" ht="15" customHeight="1">
      <c r="A23" s="125"/>
      <c r="B23" s="435">
        <v>1</v>
      </c>
      <c r="C23" s="514">
        <v>20</v>
      </c>
      <c r="D23" s="752"/>
      <c r="E23" s="983"/>
      <c r="F23" s="138">
        <f>IF(D23="",0,IF(E23="",IF(D23="Green",$B23,IF(D23="Yellow",0.75*$B23,IF(D23="Orange",0.5*$B23,IF(D23="Brown",0.25*$B23,0)))),IF(E23&lt;2,$B23,IF(E23&lt;12,0.25*$B23,0))))</f>
        <v>0</v>
      </c>
      <c r="G23" s="2005"/>
      <c r="H23" s="1976"/>
      <c r="I23" s="1977"/>
      <c r="J23" s="2005"/>
      <c r="K23" s="1976"/>
      <c r="L23" s="1977"/>
      <c r="M23" s="2005"/>
      <c r="N23" s="1976"/>
      <c r="O23" s="1977"/>
      <c r="P23" s="1976"/>
      <c r="Q23" s="1976"/>
      <c r="R23" s="1977"/>
      <c r="S23" s="2005"/>
      <c r="T23" s="1976"/>
      <c r="U23" s="2006"/>
    </row>
    <row r="24" spans="1:21" s="126" customFormat="1" ht="15" customHeight="1">
      <c r="A24" s="125"/>
      <c r="B24" s="435">
        <v>1</v>
      </c>
      <c r="C24" s="514">
        <v>25</v>
      </c>
      <c r="D24" s="752"/>
      <c r="E24" s="983"/>
      <c r="F24" s="138">
        <f>IF(D24="",0,IF(E24="",IF(D24="Green",$B24,IF(D24="Yellow",0.75*$B24,IF(D24="Orange",0.5*$B24,IF(D24="Brown",0.25*$B24,0)))),IF(E24&lt;2,$B24,IF(E24&lt;12,0.5*$B24,IF(E24&lt;22,0.25*$B24,0)))))</f>
        <v>0</v>
      </c>
      <c r="G24" s="2005"/>
      <c r="H24" s="1976"/>
      <c r="I24" s="1977"/>
      <c r="J24" s="2005"/>
      <c r="K24" s="1976"/>
      <c r="L24" s="1977"/>
      <c r="M24" s="2005"/>
      <c r="N24" s="1976"/>
      <c r="O24" s="1977"/>
      <c r="P24" s="1976"/>
      <c r="Q24" s="1976"/>
      <c r="R24" s="1977"/>
      <c r="S24" s="2005"/>
      <c r="T24" s="1976"/>
      <c r="U24" s="2006"/>
    </row>
    <row r="25" spans="1:21" s="126" customFormat="1" ht="15" customHeight="1">
      <c r="A25" s="125"/>
      <c r="B25" s="435">
        <v>1</v>
      </c>
      <c r="C25" s="514">
        <v>30</v>
      </c>
      <c r="D25" s="752"/>
      <c r="E25" s="983"/>
      <c r="F25" s="138">
        <f>IF(D25="",0,IF(E25="",IF(D25="Green",$B25,IF(D25="Yellow",0.75*$B25,IF(D25="Orange",0.5*$B25,IF(D25="Brown",0.25*$B25,0)))),IF(E25&lt;2,$B25,IF(E25&lt;12,0.5*$B25,IF(E25&lt;22,0.25*$B25,0)))))</f>
        <v>0</v>
      </c>
      <c r="G25" s="757"/>
      <c r="H25" s="983"/>
      <c r="I25" s="138">
        <f>IF(G25="",0,IF(H25="",IF(G25="Green",$B25,IF(G25="Yellow",0.75*$B25,IF(G25="Orange",0.5*$B25,IF(G25="Brown",0.25*$B25,0)))),IF(H25&lt;2,$B25,IF(H25&lt;12,0.5*$B25,IF(H25&lt;22,0.25*$B25,0)))))</f>
        <v>0</v>
      </c>
      <c r="J25" s="2005"/>
      <c r="K25" s="1976"/>
      <c r="L25" s="1977"/>
      <c r="M25" s="2005"/>
      <c r="N25" s="1976"/>
      <c r="O25" s="1977"/>
      <c r="P25" s="1976"/>
      <c r="Q25" s="1976"/>
      <c r="R25" s="1977"/>
      <c r="S25" s="2005"/>
      <c r="T25" s="1976"/>
      <c r="U25" s="2006"/>
    </row>
    <row r="26" spans="1:21" s="126" customFormat="1" ht="15" customHeight="1">
      <c r="A26" s="125"/>
      <c r="B26" s="435">
        <v>1</v>
      </c>
      <c r="C26" s="514">
        <v>35</v>
      </c>
      <c r="D26" s="752"/>
      <c r="E26" s="983"/>
      <c r="F26" s="138">
        <f t="shared" ref="F26:F31" si="0">IF(D26="",0,IF(E26="",IF(D26="Green",$B26,IF(D26="Yellow",0.75*$B26,IF(D26="Orange",0.5*$B26,IF(D26="Brown",0.25*$B26,0)))),IF(E26&lt;2,$B26,IF(E26&lt;12,0.75*$B26,IF(E26&lt;22,0.5*$B26,IF(E26&lt;32,0.25*$B26,0))))))</f>
        <v>0</v>
      </c>
      <c r="G26" s="757"/>
      <c r="H26" s="983"/>
      <c r="I26" s="138">
        <f t="shared" ref="I26:I31" si="1">IF(G26="",0,IF(H26="",IF(G26="Green",$B26,IF(G26="Yellow",0.75*$B26,IF(G26="Orange",0.5*$B26,IF(G26="Brown",0.25*$B26,0)))),IF(H26&lt;2,$B26,IF(H26&lt;12,0.75*$B26,IF(H26&lt;22,0.5*$B26,IF(H26&lt;32,0.25*$B26,0))))))</f>
        <v>0</v>
      </c>
      <c r="J26" s="2005"/>
      <c r="K26" s="1976"/>
      <c r="L26" s="1977"/>
      <c r="M26" s="2005"/>
      <c r="N26" s="1976"/>
      <c r="O26" s="1977"/>
      <c r="P26" s="1976"/>
      <c r="Q26" s="1976"/>
      <c r="R26" s="1977"/>
      <c r="S26" s="2005"/>
      <c r="T26" s="1976"/>
      <c r="U26" s="2006"/>
    </row>
    <row r="27" spans="1:21" s="126" customFormat="1" ht="15" customHeight="1">
      <c r="A27" s="125"/>
      <c r="B27" s="435">
        <v>1</v>
      </c>
      <c r="C27" s="514">
        <v>40</v>
      </c>
      <c r="D27" s="752"/>
      <c r="E27" s="983"/>
      <c r="F27" s="138">
        <f t="shared" si="0"/>
        <v>0</v>
      </c>
      <c r="G27" s="757"/>
      <c r="H27" s="983"/>
      <c r="I27" s="138">
        <f t="shared" si="1"/>
        <v>0</v>
      </c>
      <c r="J27" s="2005"/>
      <c r="K27" s="1976"/>
      <c r="L27" s="1977"/>
      <c r="M27" s="2005"/>
      <c r="N27" s="1976"/>
      <c r="O27" s="1977"/>
      <c r="P27" s="1976"/>
      <c r="Q27" s="1976"/>
      <c r="R27" s="1977"/>
      <c r="S27" s="2005"/>
      <c r="T27" s="1976"/>
      <c r="U27" s="2006"/>
    </row>
    <row r="28" spans="1:21" s="126" customFormat="1" ht="15" customHeight="1">
      <c r="A28" s="125"/>
      <c r="B28" s="435">
        <v>1</v>
      </c>
      <c r="C28" s="514">
        <v>45</v>
      </c>
      <c r="D28" s="752"/>
      <c r="E28" s="983"/>
      <c r="F28" s="138">
        <f t="shared" si="0"/>
        <v>0</v>
      </c>
      <c r="G28" s="757"/>
      <c r="H28" s="983"/>
      <c r="I28" s="138">
        <f t="shared" si="1"/>
        <v>0</v>
      </c>
      <c r="J28" s="2005"/>
      <c r="K28" s="1976"/>
      <c r="L28" s="1977"/>
      <c r="M28" s="2005"/>
      <c r="N28" s="1976"/>
      <c r="O28" s="1977"/>
      <c r="P28" s="1976"/>
      <c r="Q28" s="1976"/>
      <c r="R28" s="1977"/>
      <c r="S28" s="2005"/>
      <c r="T28" s="1976"/>
      <c r="U28" s="2006"/>
    </row>
    <row r="29" spans="1:21" s="126" customFormat="1" ht="15" customHeight="1">
      <c r="A29" s="125"/>
      <c r="B29" s="435">
        <v>1</v>
      </c>
      <c r="C29" s="514">
        <v>50</v>
      </c>
      <c r="D29" s="752"/>
      <c r="E29" s="983"/>
      <c r="F29" s="138">
        <f t="shared" si="0"/>
        <v>0</v>
      </c>
      <c r="G29" s="757"/>
      <c r="H29" s="983"/>
      <c r="I29" s="138">
        <f t="shared" si="1"/>
        <v>0</v>
      </c>
      <c r="J29" s="757"/>
      <c r="K29" s="983"/>
      <c r="L29" s="138">
        <f>IF(J29="",0,IF(K29="",IF(J29="Green",$B29,IF(J29="Yellow",0.75*$B29,IF(J29="Orange",0.5*$B29,IF(J29="Brown",0.25*$B29,0)))),IF(K29&lt;2,$B29,IF(K29&lt;12,0.75*$B29,IF(K29&lt;22,0.5*$B29,IF(K29&lt;32,0.25*$B29,0))))))</f>
        <v>0</v>
      </c>
      <c r="M29" s="753"/>
      <c r="N29" s="983"/>
      <c r="O29" s="138">
        <f>IF(M29="",0,IF(N29="",IF(M29="Green",$B29,IF(M29="Yellow",0.75*$B29,IF(M29="Orange",0.5*$B29,IF(M29="Brown",0.25*$B29,0)))),IF(N29&lt;2,$B29,IF(N29&lt;12,0.75*$B29,IF(N29&lt;22,0.5*$B29,IF(N29&lt;32,0.25*$B29,0))))))</f>
        <v>0</v>
      </c>
      <c r="P29" s="753"/>
      <c r="Q29" s="983"/>
      <c r="R29" s="138">
        <f>IF(P29="",0,IF(Q29="",IF(P29="Green",$B29,IF(P29="Yellow",0.75*$B29,IF(P29="Orange",0.5*$B29,IF(P29="Brown",0.25*$B29,0)))),IF(Q29&lt;2,$B29,IF(Q29&lt;12,0.75*$B29,IF(Q29&lt;22,0.5*$B29,IF(Q29&lt;32,0.25*$B29,0))))))</f>
        <v>0</v>
      </c>
      <c r="S29" s="753"/>
      <c r="T29" s="983"/>
      <c r="U29" s="751">
        <f>IF(S29="",0,IF(T29="",IF(S29="Green",$B29,IF(S29="Yellow",0.75*$B29,IF(S29="Orange",0.5*$B29,IF(S29="Brown",0.25*$B29,0)))),IF(T29&lt;2,$B29,IF(T29&lt;12,0.75*$B29,IF(T29&lt;22,0.5*$B29,IF(T29&lt;32,0.25*$B29,0))))))</f>
        <v>0</v>
      </c>
    </row>
    <row r="30" spans="1:21" s="126" customFormat="1" ht="15" customHeight="1">
      <c r="A30" s="125"/>
      <c r="B30" s="435">
        <v>1</v>
      </c>
      <c r="C30" s="514">
        <v>55</v>
      </c>
      <c r="D30" s="752"/>
      <c r="E30" s="983"/>
      <c r="F30" s="138">
        <f t="shared" si="0"/>
        <v>0</v>
      </c>
      <c r="G30" s="757"/>
      <c r="H30" s="983"/>
      <c r="I30" s="138">
        <f t="shared" si="1"/>
        <v>0</v>
      </c>
      <c r="J30" s="2005"/>
      <c r="K30" s="1976"/>
      <c r="L30" s="1977"/>
      <c r="M30" s="2005"/>
      <c r="N30" s="1976"/>
      <c r="O30" s="1977"/>
      <c r="P30" s="1976"/>
      <c r="Q30" s="1976"/>
      <c r="R30" s="1977"/>
      <c r="S30" s="2005"/>
      <c r="T30" s="1976"/>
      <c r="U30" s="2006"/>
    </row>
    <row r="31" spans="1:21" s="126" customFormat="1" ht="15" customHeight="1" thickBot="1">
      <c r="A31" s="125"/>
      <c r="B31" s="435">
        <v>1</v>
      </c>
      <c r="C31" s="514">
        <v>60</v>
      </c>
      <c r="D31" s="752"/>
      <c r="E31" s="983"/>
      <c r="F31" s="138">
        <f t="shared" si="0"/>
        <v>0</v>
      </c>
      <c r="G31" s="757"/>
      <c r="H31" s="983"/>
      <c r="I31" s="138">
        <f t="shared" si="1"/>
        <v>0</v>
      </c>
      <c r="J31" s="2005"/>
      <c r="K31" s="1976"/>
      <c r="L31" s="1977"/>
      <c r="M31" s="2011"/>
      <c r="N31" s="1979"/>
      <c r="O31" s="1980"/>
      <c r="P31" s="1976"/>
      <c r="Q31" s="1976"/>
      <c r="R31" s="1977"/>
      <c r="S31" s="2011"/>
      <c r="T31" s="1979"/>
      <c r="U31" s="2091"/>
    </row>
    <row r="32" spans="1:21" s="126" customFormat="1" ht="15" customHeight="1" thickBot="1">
      <c r="A32" s="125"/>
      <c r="B32" s="2007" t="s">
        <v>2595</v>
      </c>
      <c r="C32" s="2019"/>
      <c r="D32" s="2009">
        <f>SUM(F21:F31)</f>
        <v>0</v>
      </c>
      <c r="E32" s="1972"/>
      <c r="F32" s="1973"/>
      <c r="G32" s="1971">
        <f>SUM(I25:I31)</f>
        <v>0</v>
      </c>
      <c r="H32" s="1972"/>
      <c r="I32" s="1973"/>
      <c r="J32" s="1971">
        <f>SUM(L21:L30)</f>
        <v>0</v>
      </c>
      <c r="K32" s="1972"/>
      <c r="L32" s="1973"/>
      <c r="M32" s="1972">
        <f>SUM(O21:O30)</f>
        <v>0</v>
      </c>
      <c r="N32" s="1972"/>
      <c r="O32" s="1973"/>
      <c r="P32" s="1972">
        <f>SUM(R21:R30)</f>
        <v>0</v>
      </c>
      <c r="Q32" s="1972"/>
      <c r="R32" s="1973"/>
      <c r="S32" s="1972">
        <f>SUM(U21:U30)</f>
        <v>0</v>
      </c>
      <c r="T32" s="1972"/>
      <c r="U32" s="1974"/>
    </row>
    <row r="33" spans="1:15" s="126" customFormat="1" ht="15" customHeight="1" thickBot="1">
      <c r="A33" s="125"/>
      <c r="B33" s="125"/>
      <c r="C33" s="127"/>
      <c r="D33" s="125"/>
      <c r="E33" s="125"/>
      <c r="F33" s="125"/>
      <c r="G33" s="125"/>
      <c r="H33" s="125"/>
      <c r="I33" s="125"/>
    </row>
    <row r="34" spans="1:15" s="126" customFormat="1" ht="15" customHeight="1" thickBot="1">
      <c r="A34" s="125"/>
      <c r="B34" s="130" t="s">
        <v>2605</v>
      </c>
      <c r="C34" s="131"/>
      <c r="D34" s="2102" t="s">
        <v>632</v>
      </c>
      <c r="E34" s="2096"/>
      <c r="F34" s="2096"/>
      <c r="G34" s="2096"/>
      <c r="H34" s="2096"/>
      <c r="I34" s="2096"/>
      <c r="J34" s="2096"/>
      <c r="K34" s="2096"/>
      <c r="L34" s="2097"/>
    </row>
    <row r="35" spans="1:15" s="126" customFormat="1" ht="15" customHeight="1">
      <c r="A35" s="125"/>
      <c r="B35" s="128"/>
      <c r="C35" s="129"/>
      <c r="D35" s="1984" t="s">
        <v>2627</v>
      </c>
      <c r="E35" s="1985"/>
      <c r="F35" s="1985"/>
      <c r="G35" s="1985"/>
      <c r="H35" s="1985"/>
      <c r="I35" s="1985"/>
      <c r="J35" s="1985"/>
      <c r="K35" s="1985"/>
      <c r="L35" s="1988"/>
    </row>
    <row r="36" spans="1:15" s="126" customFormat="1" ht="15" customHeight="1">
      <c r="A36" s="125"/>
      <c r="B36" s="128"/>
      <c r="C36" s="129"/>
      <c r="D36" s="1984" t="s">
        <v>858</v>
      </c>
      <c r="E36" s="1985"/>
      <c r="F36" s="1986"/>
      <c r="G36" s="1987" t="s">
        <v>859</v>
      </c>
      <c r="H36" s="1985"/>
      <c r="I36" s="1986"/>
      <c r="J36" s="1985" t="s">
        <v>2630</v>
      </c>
      <c r="K36" s="1985"/>
      <c r="L36" s="1988"/>
    </row>
    <row r="37" spans="1:15" s="126" customFormat="1" ht="15" customHeight="1">
      <c r="A37" s="125"/>
      <c r="B37" s="128"/>
      <c r="C37" s="129"/>
      <c r="D37" s="1984" t="s">
        <v>623</v>
      </c>
      <c r="E37" s="1985"/>
      <c r="F37" s="479" t="s">
        <v>40</v>
      </c>
      <c r="G37" s="1987" t="s">
        <v>623</v>
      </c>
      <c r="H37" s="1985"/>
      <c r="I37" s="479" t="s">
        <v>40</v>
      </c>
      <c r="J37" s="1985" t="s">
        <v>623</v>
      </c>
      <c r="K37" s="1985"/>
      <c r="L37" s="754" t="s">
        <v>40</v>
      </c>
    </row>
    <row r="38" spans="1:15" s="126" customFormat="1" ht="15" customHeight="1">
      <c r="A38" s="125"/>
      <c r="B38" s="368">
        <v>1</v>
      </c>
      <c r="C38" s="148">
        <v>10</v>
      </c>
      <c r="D38" s="1995"/>
      <c r="E38" s="1996"/>
      <c r="F38" s="138">
        <f>IF(D38="",0,IF(D38=0,1,0))</f>
        <v>0</v>
      </c>
      <c r="G38" s="2098"/>
      <c r="H38" s="1996"/>
      <c r="I38" s="138">
        <f>IF(G38="",0,IF(G38=0,1,0))</f>
        <v>0</v>
      </c>
      <c r="J38" s="1996"/>
      <c r="K38" s="1996"/>
      <c r="L38" s="751">
        <f>IF(J38="",0,IF(J38=0,1,0))</f>
        <v>0</v>
      </c>
    </row>
    <row r="39" spans="1:15" s="126" customFormat="1" ht="15" customHeight="1">
      <c r="A39" s="125"/>
      <c r="B39" s="368">
        <v>1</v>
      </c>
      <c r="C39" s="148">
        <v>15</v>
      </c>
      <c r="D39" s="1995"/>
      <c r="E39" s="1996"/>
      <c r="F39" s="138">
        <f>IF(D39="",0,IF(D39=0,1,0))</f>
        <v>0</v>
      </c>
      <c r="G39" s="2098"/>
      <c r="H39" s="1996"/>
      <c r="I39" s="138">
        <f>IF(G39="",0,IF(G39=0,1,0))</f>
        <v>0</v>
      </c>
      <c r="J39" s="1996"/>
      <c r="K39" s="1996"/>
      <c r="L39" s="751">
        <f>IF(J39="",0,IF(J39=0,1,0))</f>
        <v>0</v>
      </c>
    </row>
    <row r="40" spans="1:15" s="126" customFormat="1" ht="15" customHeight="1" thickBot="1">
      <c r="A40" s="125"/>
      <c r="B40" s="368">
        <v>1</v>
      </c>
      <c r="C40" s="148">
        <v>20</v>
      </c>
      <c r="D40" s="1997"/>
      <c r="E40" s="1998"/>
      <c r="F40" s="761">
        <f>IF(D40="",0,IF(D40=0,1,0))</f>
        <v>0</v>
      </c>
      <c r="G40" s="2092"/>
      <c r="H40" s="1998"/>
      <c r="I40" s="761">
        <f>IF(G40="",0,IF(G40=0,1,0))</f>
        <v>0</v>
      </c>
      <c r="J40" s="1998"/>
      <c r="K40" s="1998"/>
      <c r="L40" s="751">
        <f>IF(J40="",0,IF(J40=0,1,0))</f>
        <v>0</v>
      </c>
    </row>
    <row r="41" spans="1:15" s="126" customFormat="1" ht="15" customHeight="1" thickBot="1">
      <c r="A41" s="125"/>
      <c r="B41" s="2007" t="s">
        <v>2595</v>
      </c>
      <c r="C41" s="2008"/>
      <c r="D41" s="2009">
        <f>SUM(F38:F40)</f>
        <v>0</v>
      </c>
      <c r="E41" s="1972"/>
      <c r="F41" s="1972"/>
      <c r="G41" s="2009">
        <f>SUM(I38:I40)</f>
        <v>0</v>
      </c>
      <c r="H41" s="1972"/>
      <c r="I41" s="1972"/>
      <c r="J41" s="1971">
        <f>SUM(L38:L40)</f>
        <v>0</v>
      </c>
      <c r="K41" s="1972"/>
      <c r="L41" s="1974"/>
    </row>
    <row r="42" spans="1:15" s="126" customFormat="1" ht="15" customHeight="1" thickBot="1">
      <c r="A42" s="125"/>
      <c r="B42" s="125"/>
      <c r="C42" s="127"/>
      <c r="D42" s="125"/>
      <c r="E42" s="125"/>
      <c r="F42" s="125"/>
      <c r="G42" s="125"/>
      <c r="H42" s="125"/>
      <c r="I42" s="125"/>
    </row>
    <row r="43" spans="1:15" s="126" customFormat="1" ht="15" customHeight="1" thickBot="1">
      <c r="A43" s="125"/>
      <c r="B43" s="130" t="s">
        <v>2629</v>
      </c>
      <c r="C43" s="363"/>
      <c r="D43" s="2096" t="s">
        <v>632</v>
      </c>
      <c r="E43" s="2096"/>
      <c r="F43" s="2096"/>
      <c r="G43" s="2096"/>
      <c r="H43" s="2096"/>
      <c r="I43" s="2096"/>
      <c r="J43" s="2096"/>
      <c r="K43" s="2096"/>
      <c r="L43" s="2096"/>
      <c r="M43" s="2096"/>
      <c r="N43" s="2096"/>
      <c r="O43" s="2097"/>
    </row>
    <row r="44" spans="1:15" s="126" customFormat="1" ht="15" customHeight="1">
      <c r="A44" s="125"/>
      <c r="B44" s="128"/>
      <c r="C44" s="364"/>
      <c r="D44" s="1981" t="s">
        <v>2626</v>
      </c>
      <c r="E44" s="1982"/>
      <c r="F44" s="1982"/>
      <c r="G44" s="1983"/>
      <c r="H44" s="1981" t="s">
        <v>2625</v>
      </c>
      <c r="I44" s="1982"/>
      <c r="J44" s="1982"/>
      <c r="K44" s="1982"/>
      <c r="L44" s="1982"/>
      <c r="M44" s="1982"/>
      <c r="N44" s="1982"/>
      <c r="O44" s="1983"/>
    </row>
    <row r="45" spans="1:15" s="126" customFormat="1" ht="15" customHeight="1">
      <c r="A45" s="125"/>
      <c r="B45" s="128"/>
      <c r="C45" s="364"/>
      <c r="D45" s="1984" t="s">
        <v>2643</v>
      </c>
      <c r="E45" s="1985"/>
      <c r="F45" s="1985"/>
      <c r="G45" s="1988"/>
      <c r="H45" s="1984" t="s">
        <v>2642</v>
      </c>
      <c r="I45" s="1985"/>
      <c r="J45" s="1985"/>
      <c r="K45" s="1986"/>
      <c r="L45" s="1985" t="s">
        <v>2641</v>
      </c>
      <c r="M45" s="1985"/>
      <c r="N45" s="1985"/>
      <c r="O45" s="1986"/>
    </row>
    <row r="46" spans="1:15" s="126" customFormat="1" ht="15" customHeight="1">
      <c r="A46" s="125"/>
      <c r="B46" s="128"/>
      <c r="C46" s="364"/>
      <c r="D46" s="2093" t="s">
        <v>644</v>
      </c>
      <c r="E46" s="2094"/>
      <c r="F46" s="2094"/>
      <c r="G46" s="2095"/>
      <c r="H46" s="1984" t="s">
        <v>644</v>
      </c>
      <c r="I46" s="1986"/>
      <c r="J46" s="1985" t="s">
        <v>645</v>
      </c>
      <c r="K46" s="1986"/>
      <c r="L46" s="1987" t="s">
        <v>644</v>
      </c>
      <c r="M46" s="1986"/>
      <c r="N46" s="1985" t="s">
        <v>645</v>
      </c>
      <c r="O46" s="1988"/>
    </row>
    <row r="47" spans="1:15" s="126" customFormat="1" ht="15" customHeight="1">
      <c r="A47" s="125"/>
      <c r="B47" s="368">
        <v>1</v>
      </c>
      <c r="C47" s="655">
        <v>0.2</v>
      </c>
      <c r="D47" s="2085"/>
      <c r="E47" s="2086"/>
      <c r="F47" s="2086"/>
      <c r="G47" s="2087"/>
      <c r="H47" s="2085"/>
      <c r="I47" s="2088"/>
      <c r="J47" s="1985"/>
      <c r="K47" s="1986"/>
      <c r="L47" s="2103"/>
      <c r="M47" s="2088"/>
      <c r="N47" s="1985"/>
      <c r="O47" s="1988"/>
    </row>
    <row r="48" spans="1:15" s="126" customFormat="1" ht="15" customHeight="1">
      <c r="A48" s="125"/>
      <c r="B48" s="368">
        <v>1</v>
      </c>
      <c r="C48" s="655">
        <v>0.3</v>
      </c>
      <c r="D48" s="2085"/>
      <c r="E48" s="2086"/>
      <c r="F48" s="2086"/>
      <c r="G48" s="2087"/>
      <c r="H48" s="2085"/>
      <c r="I48" s="2088"/>
      <c r="J48" s="1985"/>
      <c r="K48" s="1986"/>
      <c r="L48" s="2103"/>
      <c r="M48" s="2088"/>
      <c r="N48" s="1985"/>
      <c r="O48" s="1988"/>
    </row>
    <row r="49" spans="1:18" s="126" customFormat="1" ht="15" customHeight="1">
      <c r="A49" s="125"/>
      <c r="B49" s="368">
        <v>2</v>
      </c>
      <c r="C49" s="655">
        <v>0.4</v>
      </c>
      <c r="D49" s="2085"/>
      <c r="E49" s="2086"/>
      <c r="F49" s="2086"/>
      <c r="G49" s="2087"/>
      <c r="H49" s="2085"/>
      <c r="I49" s="2088"/>
      <c r="J49" s="1985"/>
      <c r="K49" s="1986"/>
      <c r="L49" s="2103"/>
      <c r="M49" s="2088"/>
      <c r="N49" s="1985"/>
      <c r="O49" s="1988"/>
    </row>
    <row r="50" spans="1:18" s="126" customFormat="1" ht="15" customHeight="1">
      <c r="A50" s="125"/>
      <c r="B50" s="368">
        <v>2</v>
      </c>
      <c r="C50" s="655">
        <v>0.5</v>
      </c>
      <c r="D50" s="2085"/>
      <c r="E50" s="2086"/>
      <c r="F50" s="2086"/>
      <c r="G50" s="2087"/>
      <c r="H50" s="2085"/>
      <c r="I50" s="2088"/>
      <c r="J50" s="2086"/>
      <c r="K50" s="2088"/>
      <c r="L50" s="2103"/>
      <c r="M50" s="2088"/>
      <c r="N50" s="2086"/>
      <c r="O50" s="2087"/>
    </row>
    <row r="51" spans="1:18" s="126" customFormat="1" ht="15" customHeight="1">
      <c r="A51" s="125"/>
      <c r="B51" s="435">
        <v>3</v>
      </c>
      <c r="C51" s="655">
        <v>0.6</v>
      </c>
      <c r="D51" s="2085"/>
      <c r="E51" s="2086"/>
      <c r="F51" s="2086"/>
      <c r="G51" s="2087"/>
      <c r="H51" s="2085"/>
      <c r="I51" s="2088"/>
      <c r="J51" s="2086"/>
      <c r="K51" s="2088"/>
      <c r="L51" s="2103"/>
      <c r="M51" s="2088"/>
      <c r="N51" s="2086"/>
      <c r="O51" s="2087"/>
    </row>
    <row r="52" spans="1:18" s="126" customFormat="1" ht="15" customHeight="1" thickBot="1">
      <c r="A52" s="125"/>
      <c r="B52" s="435">
        <v>3</v>
      </c>
      <c r="C52" s="655">
        <v>0.7</v>
      </c>
      <c r="D52" s="2082"/>
      <c r="E52" s="2083"/>
      <c r="F52" s="2083"/>
      <c r="G52" s="2084"/>
      <c r="H52" s="1989"/>
      <c r="I52" s="2090"/>
      <c r="J52" s="2099"/>
      <c r="K52" s="2101"/>
      <c r="L52" s="2089"/>
      <c r="M52" s="2090"/>
      <c r="N52" s="2099"/>
      <c r="O52" s="2100"/>
    </row>
    <row r="53" spans="1:18" s="126" customFormat="1" ht="15" customHeight="1" thickBot="1">
      <c r="A53" s="125"/>
      <c r="B53" s="2007" t="s">
        <v>2595</v>
      </c>
      <c r="C53" s="2008"/>
      <c r="D53" s="2009">
        <f>IF(COUNTIF(D47:E51,"Pass")=5,2,0)</f>
        <v>0</v>
      </c>
      <c r="E53" s="1972"/>
      <c r="F53" s="1972">
        <f>IF(COUNTIF(F47:G51,"Pass")=5,0.5,0)</f>
        <v>0</v>
      </c>
      <c r="G53" s="1974"/>
      <c r="H53" s="2009">
        <f>IF(COUNTIF(H47:I51,"Pass")=5,0.5,0)</f>
        <v>0</v>
      </c>
      <c r="I53" s="1973"/>
      <c r="J53" s="1972">
        <f>IF(COUNTIF(J50:K52,"Pass")=3,0.5,0)</f>
        <v>0</v>
      </c>
      <c r="K53" s="1973"/>
      <c r="L53" s="1971">
        <f>IF(COUNTIF(L47:M51,"Pass")=5,0.5,0)</f>
        <v>0</v>
      </c>
      <c r="M53" s="1973"/>
      <c r="N53" s="1972">
        <f>IF(COUNTIF(N50:O52,"Pass")=3,0.5,0)</f>
        <v>0</v>
      </c>
      <c r="O53" s="1974"/>
    </row>
    <row r="54" spans="1:18" s="126" customFormat="1" ht="15" customHeight="1" thickBot="1">
      <c r="A54" s="125"/>
      <c r="B54" s="125"/>
      <c r="C54" s="127"/>
      <c r="D54" s="125"/>
      <c r="E54" s="125"/>
      <c r="F54" s="125"/>
      <c r="G54" s="125"/>
      <c r="H54" s="125"/>
      <c r="I54" s="125"/>
    </row>
    <row r="55" spans="1:18" s="126" customFormat="1" ht="15" customHeight="1" thickBot="1">
      <c r="A55" s="125"/>
      <c r="B55" s="2017" t="s">
        <v>37</v>
      </c>
      <c r="C55" s="2018"/>
      <c r="D55" s="2002" t="s">
        <v>632</v>
      </c>
      <c r="E55" s="2003"/>
      <c r="F55" s="2003"/>
      <c r="G55" s="2003"/>
      <c r="H55" s="2003"/>
      <c r="I55" s="2004"/>
    </row>
    <row r="56" spans="1:18" s="126" customFormat="1" ht="15" customHeight="1">
      <c r="A56" s="125"/>
      <c r="B56" s="128"/>
      <c r="C56" s="364"/>
      <c r="D56" s="1984"/>
      <c r="E56" s="1985"/>
      <c r="F56" s="1985"/>
      <c r="G56" s="1985" t="s">
        <v>40</v>
      </c>
      <c r="H56" s="1985"/>
      <c r="I56" s="1988"/>
    </row>
    <row r="57" spans="1:18" s="126" customFormat="1" ht="15" customHeight="1">
      <c r="A57" s="125"/>
      <c r="B57" s="133"/>
      <c r="C57" s="400" t="s">
        <v>2628</v>
      </c>
      <c r="D57" s="1968"/>
      <c r="E57" s="1969"/>
      <c r="F57" s="1969"/>
      <c r="G57" s="1969"/>
      <c r="H57" s="1969"/>
      <c r="I57" s="1970"/>
    </row>
    <row r="58" spans="1:18" s="126" customFormat="1" ht="15" customHeight="1">
      <c r="A58" s="125"/>
      <c r="B58" s="133"/>
      <c r="C58" s="760" t="s">
        <v>236</v>
      </c>
      <c r="D58" s="1968">
        <f>ROUND(D32/11,2)</f>
        <v>0</v>
      </c>
      <c r="E58" s="1969"/>
      <c r="F58" s="1969"/>
      <c r="G58" s="1959">
        <f>D58*1</f>
        <v>0</v>
      </c>
      <c r="H58" s="1959"/>
      <c r="I58" s="1960"/>
    </row>
    <row r="59" spans="1:18" s="126" customFormat="1" ht="15" customHeight="1">
      <c r="A59" s="125"/>
      <c r="B59" s="133"/>
      <c r="C59" s="760" t="s">
        <v>242</v>
      </c>
      <c r="D59" s="1968">
        <f>ROUND(G32/7,2)</f>
        <v>0</v>
      </c>
      <c r="E59" s="1969"/>
      <c r="F59" s="1969"/>
      <c r="G59" s="1959">
        <f>D59*0.5</f>
        <v>0</v>
      </c>
      <c r="H59" s="1959"/>
      <c r="I59" s="1960"/>
    </row>
    <row r="60" spans="1:18" s="126" customFormat="1" ht="15" customHeight="1">
      <c r="A60" s="125"/>
      <c r="B60" s="133"/>
      <c r="C60" s="400" t="s">
        <v>2639</v>
      </c>
      <c r="D60" s="1968"/>
      <c r="E60" s="1969"/>
      <c r="F60" s="1969"/>
      <c r="G60" s="1969"/>
      <c r="H60" s="1969"/>
      <c r="I60" s="1970"/>
    </row>
    <row r="61" spans="1:18" s="126" customFormat="1" ht="15" customHeight="1">
      <c r="A61" s="125"/>
      <c r="B61" s="133"/>
      <c r="C61" s="760" t="s">
        <v>236</v>
      </c>
      <c r="D61" s="1968">
        <f>ROUND(J32/1,2)</f>
        <v>0</v>
      </c>
      <c r="E61" s="1969"/>
      <c r="F61" s="1969"/>
      <c r="G61" s="1959">
        <f>D61*0.5</f>
        <v>0</v>
      </c>
      <c r="H61" s="1959"/>
      <c r="I61" s="1960"/>
    </row>
    <row r="62" spans="1:18" s="126" customFormat="1" ht="15" customHeight="1">
      <c r="A62" s="125"/>
      <c r="B62" s="133"/>
      <c r="C62" s="760" t="s">
        <v>242</v>
      </c>
      <c r="D62" s="1968">
        <f>ROUND(M32/1,2)</f>
        <v>0</v>
      </c>
      <c r="E62" s="1969"/>
      <c r="F62" s="1969"/>
      <c r="G62" s="1959">
        <f>D62*0.25</f>
        <v>0</v>
      </c>
      <c r="H62" s="1959"/>
      <c r="I62" s="1960"/>
    </row>
    <row r="63" spans="1:18" ht="15" customHeight="1">
      <c r="B63" s="133"/>
      <c r="C63" s="400" t="s">
        <v>2640</v>
      </c>
      <c r="D63" s="1968"/>
      <c r="E63" s="1969"/>
      <c r="F63" s="1969"/>
      <c r="G63" s="1969"/>
      <c r="H63" s="1969"/>
      <c r="I63" s="1970"/>
      <c r="J63" s="126"/>
      <c r="K63" s="126"/>
      <c r="L63" s="126"/>
      <c r="M63" s="126"/>
      <c r="N63" s="126"/>
      <c r="O63" s="126"/>
      <c r="Q63" s="126"/>
      <c r="R63" s="126"/>
    </row>
    <row r="64" spans="1:18" s="126" customFormat="1" ht="15" customHeight="1">
      <c r="A64" s="125"/>
      <c r="B64" s="133"/>
      <c r="C64" s="760" t="s">
        <v>236</v>
      </c>
      <c r="D64" s="1968">
        <f>ROUND(P32/1,2)</f>
        <v>0</v>
      </c>
      <c r="E64" s="1969"/>
      <c r="F64" s="1969"/>
      <c r="G64" s="1959">
        <f>D64*0.5</f>
        <v>0</v>
      </c>
      <c r="H64" s="1959"/>
      <c r="I64" s="1960"/>
    </row>
    <row r="65" spans="1:19" s="126" customFormat="1" ht="15" customHeight="1">
      <c r="A65" s="125"/>
      <c r="B65" s="133"/>
      <c r="C65" s="760" t="s">
        <v>242</v>
      </c>
      <c r="D65" s="1968">
        <f>ROUND(S32/1,2)</f>
        <v>0</v>
      </c>
      <c r="E65" s="1969"/>
      <c r="F65" s="1969"/>
      <c r="G65" s="1959">
        <f>D65*0.25</f>
        <v>0</v>
      </c>
      <c r="H65" s="1959"/>
      <c r="I65" s="1960"/>
    </row>
    <row r="66" spans="1:19" ht="15" customHeight="1">
      <c r="B66" s="133"/>
      <c r="C66" s="401" t="s">
        <v>2627</v>
      </c>
      <c r="D66" s="1968">
        <f>ROUND(SUM(D41:L41)/9,2)</f>
        <v>0</v>
      </c>
      <c r="E66" s="1969"/>
      <c r="F66" s="1969"/>
      <c r="G66" s="1959">
        <f>D66*3</f>
        <v>0</v>
      </c>
      <c r="H66" s="1959"/>
      <c r="I66" s="1960"/>
      <c r="J66" s="126"/>
      <c r="K66" s="126"/>
      <c r="L66" s="126"/>
      <c r="M66" s="126"/>
      <c r="N66" s="126"/>
      <c r="O66" s="126"/>
      <c r="Q66" s="126"/>
      <c r="R66" s="126"/>
    </row>
    <row r="67" spans="1:19" ht="15" customHeight="1">
      <c r="B67" s="133"/>
      <c r="C67" s="401" t="s">
        <v>2626</v>
      </c>
      <c r="D67" s="1968">
        <f>ROUND(D53/2,2)</f>
        <v>0</v>
      </c>
      <c r="E67" s="1969"/>
      <c r="F67" s="1969"/>
      <c r="G67" s="1959">
        <f>D67*2</f>
        <v>0</v>
      </c>
      <c r="H67" s="1959"/>
      <c r="I67" s="1960"/>
      <c r="J67" s="126"/>
      <c r="K67" s="126"/>
      <c r="L67" s="126"/>
      <c r="M67" s="126"/>
      <c r="N67" s="126"/>
      <c r="O67" s="126"/>
      <c r="Q67" s="126"/>
      <c r="R67" s="126"/>
    </row>
    <row r="68" spans="1:19" ht="15" customHeight="1" thickBot="1">
      <c r="B68" s="133"/>
      <c r="C68" s="401" t="s">
        <v>2625</v>
      </c>
      <c r="D68" s="1968">
        <f>ROUND(SUM(H53:O53)/2,2)</f>
        <v>0</v>
      </c>
      <c r="E68" s="1969"/>
      <c r="F68" s="1969"/>
      <c r="G68" s="1959">
        <f>D68*1</f>
        <v>0</v>
      </c>
      <c r="H68" s="1959"/>
      <c r="I68" s="1960"/>
      <c r="J68" s="126"/>
      <c r="K68" s="126"/>
      <c r="L68" s="126"/>
      <c r="M68" s="126"/>
      <c r="N68" s="126"/>
      <c r="O68" s="126"/>
      <c r="Q68" s="126"/>
      <c r="R68" s="126"/>
    </row>
    <row r="69" spans="1:19" s="126" customFormat="1" ht="15" customHeight="1" thickBot="1">
      <c r="A69" s="125"/>
      <c r="B69" s="2007" t="s">
        <v>62</v>
      </c>
      <c r="C69" s="2008"/>
      <c r="D69" s="2009">
        <f>SUM(G57:I68)</f>
        <v>0</v>
      </c>
      <c r="E69" s="1972"/>
      <c r="F69" s="1972"/>
      <c r="G69" s="1972"/>
      <c r="H69" s="1972"/>
      <c r="I69" s="1974"/>
    </row>
    <row r="70" spans="1:19" ht="15" customHeight="1" thickBot="1"/>
    <row r="71" spans="1:19" ht="21.75" thickBot="1">
      <c r="B71" s="2013" t="s">
        <v>2635</v>
      </c>
      <c r="C71" s="2014"/>
      <c r="D71" s="1999">
        <f>IF(NOT(D15="PASS"),0,SUM(D69:O69))</f>
        <v>0</v>
      </c>
      <c r="E71" s="2000"/>
      <c r="F71" s="2000"/>
      <c r="G71" s="2000"/>
      <c r="H71" s="2000"/>
      <c r="I71" s="2000"/>
      <c r="J71" s="2000"/>
      <c r="K71" s="2000"/>
      <c r="L71" s="2000"/>
      <c r="M71" s="2000"/>
      <c r="N71" s="2000"/>
      <c r="O71" s="2001"/>
      <c r="P71" s="837"/>
      <c r="Q71" s="837"/>
      <c r="R71" s="837"/>
      <c r="S71" s="837"/>
    </row>
  </sheetData>
  <dataConsolidate/>
  <mergeCells count="172">
    <mergeCell ref="L51:M51"/>
    <mergeCell ref="D38:E38"/>
    <mergeCell ref="G38:H38"/>
    <mergeCell ref="J38:K38"/>
    <mergeCell ref="M30:O30"/>
    <mergeCell ref="J30:L30"/>
    <mergeCell ref="D40:E40"/>
    <mergeCell ref="J40:K40"/>
    <mergeCell ref="D19:F19"/>
    <mergeCell ref="G19:I19"/>
    <mergeCell ref="D36:F36"/>
    <mergeCell ref="G36:I36"/>
    <mergeCell ref="L47:M47"/>
    <mergeCell ref="L48:M48"/>
    <mergeCell ref="D49:G49"/>
    <mergeCell ref="G23:I23"/>
    <mergeCell ref="G24:I24"/>
    <mergeCell ref="G41:I41"/>
    <mergeCell ref="D39:E39"/>
    <mergeCell ref="J39:K39"/>
    <mergeCell ref="M21:O21"/>
    <mergeCell ref="M22:O22"/>
    <mergeCell ref="M23:O23"/>
    <mergeCell ref="M24:O24"/>
    <mergeCell ref="D17:U17"/>
    <mergeCell ref="J18:O18"/>
    <mergeCell ref="P18:U18"/>
    <mergeCell ref="M27:O27"/>
    <mergeCell ref="M28:O28"/>
    <mergeCell ref="J21:L21"/>
    <mergeCell ref="J22:L22"/>
    <mergeCell ref="J23:L23"/>
    <mergeCell ref="J24:L24"/>
    <mergeCell ref="J25:L25"/>
    <mergeCell ref="P19:R19"/>
    <mergeCell ref="S19:U19"/>
    <mergeCell ref="P21:R21"/>
    <mergeCell ref="S21:U21"/>
    <mergeCell ref="P22:R22"/>
    <mergeCell ref="J26:L26"/>
    <mergeCell ref="J19:L19"/>
    <mergeCell ref="M19:O19"/>
    <mergeCell ref="S22:U22"/>
    <mergeCell ref="P23:R23"/>
    <mergeCell ref="S23:U23"/>
    <mergeCell ref="D18:I18"/>
    <mergeCell ref="G21:I21"/>
    <mergeCell ref="G22:I22"/>
    <mergeCell ref="N52:O52"/>
    <mergeCell ref="J52:K52"/>
    <mergeCell ref="J48:K48"/>
    <mergeCell ref="J49:K49"/>
    <mergeCell ref="G59:I59"/>
    <mergeCell ref="P31:R31"/>
    <mergeCell ref="G37:H37"/>
    <mergeCell ref="J37:K37"/>
    <mergeCell ref="M31:O31"/>
    <mergeCell ref="H47:I47"/>
    <mergeCell ref="H48:I48"/>
    <mergeCell ref="H49:I49"/>
    <mergeCell ref="H50:I50"/>
    <mergeCell ref="H51:I51"/>
    <mergeCell ref="N48:O48"/>
    <mergeCell ref="N49:O49"/>
    <mergeCell ref="N50:O50"/>
    <mergeCell ref="N51:O51"/>
    <mergeCell ref="D34:L34"/>
    <mergeCell ref="J41:L41"/>
    <mergeCell ref="D41:F41"/>
    <mergeCell ref="N53:O53"/>
    <mergeCell ref="L49:M49"/>
    <mergeCell ref="L50:M50"/>
    <mergeCell ref="S31:U31"/>
    <mergeCell ref="P32:R32"/>
    <mergeCell ref="S32:U32"/>
    <mergeCell ref="G40:H40"/>
    <mergeCell ref="D53:G53"/>
    <mergeCell ref="H45:K45"/>
    <mergeCell ref="H46:I46"/>
    <mergeCell ref="J46:K46"/>
    <mergeCell ref="L46:M46"/>
    <mergeCell ref="D44:G44"/>
    <mergeCell ref="H44:O44"/>
    <mergeCell ref="D45:G45"/>
    <mergeCell ref="D46:G46"/>
    <mergeCell ref="D47:G47"/>
    <mergeCell ref="D43:O43"/>
    <mergeCell ref="N46:O46"/>
    <mergeCell ref="L45:O45"/>
    <mergeCell ref="J47:K47"/>
    <mergeCell ref="N47:O47"/>
    <mergeCell ref="D37:E37"/>
    <mergeCell ref="J36:L36"/>
    <mergeCell ref="G39:H39"/>
    <mergeCell ref="J31:L31"/>
    <mergeCell ref="D35:L35"/>
    <mergeCell ref="P30:R30"/>
    <mergeCell ref="S30:U30"/>
    <mergeCell ref="P24:R24"/>
    <mergeCell ref="S24:U24"/>
    <mergeCell ref="P25:R25"/>
    <mergeCell ref="S25:U25"/>
    <mergeCell ref="P26:R26"/>
    <mergeCell ref="S26:U26"/>
    <mergeCell ref="P27:R27"/>
    <mergeCell ref="S27:U27"/>
    <mergeCell ref="P28:R28"/>
    <mergeCell ref="S28:U28"/>
    <mergeCell ref="M25:O25"/>
    <mergeCell ref="M26:O26"/>
    <mergeCell ref="J27:L27"/>
    <mergeCell ref="J28:L28"/>
    <mergeCell ref="B32:C32"/>
    <mergeCell ref="D32:F32"/>
    <mergeCell ref="G32:I32"/>
    <mergeCell ref="J32:L32"/>
    <mergeCell ref="M32:O32"/>
    <mergeCell ref="L53:M53"/>
    <mergeCell ref="L52:M52"/>
    <mergeCell ref="H52:I52"/>
    <mergeCell ref="B71:C71"/>
    <mergeCell ref="D71:O71"/>
    <mergeCell ref="B69:C69"/>
    <mergeCell ref="D69:I69"/>
    <mergeCell ref="D59:F59"/>
    <mergeCell ref="G67:I67"/>
    <mergeCell ref="D68:F68"/>
    <mergeCell ref="G68:I68"/>
    <mergeCell ref="D67:F67"/>
    <mergeCell ref="D65:F65"/>
    <mergeCell ref="G65:I65"/>
    <mergeCell ref="D63:I63"/>
    <mergeCell ref="D61:F61"/>
    <mergeCell ref="G61:I61"/>
    <mergeCell ref="D62:F62"/>
    <mergeCell ref="G62:I62"/>
    <mergeCell ref="D60:I60"/>
    <mergeCell ref="D64:F64"/>
    <mergeCell ref="G64:I64"/>
    <mergeCell ref="D66:F66"/>
    <mergeCell ref="G66:I66"/>
    <mergeCell ref="B41:C41"/>
    <mergeCell ref="B53:C53"/>
    <mergeCell ref="D52:G52"/>
    <mergeCell ref="D50:G50"/>
    <mergeCell ref="D51:G51"/>
    <mergeCell ref="J50:K50"/>
    <mergeCell ref="J51:K51"/>
    <mergeCell ref="D48:G48"/>
    <mergeCell ref="D58:F58"/>
    <mergeCell ref="G58:I58"/>
    <mergeCell ref="D56:F56"/>
    <mergeCell ref="G56:I56"/>
    <mergeCell ref="D57:I57"/>
    <mergeCell ref="H53:I53"/>
    <mergeCell ref="J53:K53"/>
    <mergeCell ref="B55:C55"/>
    <mergeCell ref="D55:I55"/>
    <mergeCell ref="B2:C3"/>
    <mergeCell ref="D2:O4"/>
    <mergeCell ref="B4:C4"/>
    <mergeCell ref="D5:O5"/>
    <mergeCell ref="D6:O6"/>
    <mergeCell ref="D7:O7"/>
    <mergeCell ref="B15:C15"/>
    <mergeCell ref="D8:O8"/>
    <mergeCell ref="D9:O9"/>
    <mergeCell ref="D15:O15"/>
    <mergeCell ref="D14:O14"/>
    <mergeCell ref="D13:O13"/>
    <mergeCell ref="D12:O12"/>
    <mergeCell ref="D11:O11"/>
  </mergeCells>
  <conditionalFormatting sqref="M21 D21">
    <cfRule type="cellIs" dxfId="1076" priority="31" operator="equal">
      <formula>"Green"</formula>
    </cfRule>
    <cfRule type="cellIs" dxfId="1075" priority="32" operator="equal">
      <formula>"Yellow"</formula>
    </cfRule>
    <cfRule type="cellIs" dxfId="1074" priority="33" operator="equal">
      <formula>"Orange"</formula>
    </cfRule>
    <cfRule type="cellIs" dxfId="1073" priority="34" operator="equal">
      <formula>"Brown"</formula>
    </cfRule>
    <cfRule type="cellIs" dxfId="1072" priority="35" operator="equal">
      <formula>"Red"</formula>
    </cfRule>
    <cfRule type="cellIs" dxfId="1071" priority="36" operator="equal">
      <formula>"D Red"</formula>
    </cfRule>
  </conditionalFormatting>
  <conditionalFormatting sqref="D22:D31 M22:M31 J29 G25:G31">
    <cfRule type="cellIs" dxfId="1070" priority="20" operator="equal">
      <formula>"Green"</formula>
    </cfRule>
    <cfRule type="cellIs" dxfId="1069" priority="21" operator="equal">
      <formula>"Yellow"</formula>
    </cfRule>
    <cfRule type="cellIs" dxfId="1068" priority="22" operator="equal">
      <formula>"Orange"</formula>
    </cfRule>
    <cfRule type="cellIs" dxfId="1067" priority="23" operator="equal">
      <formula>"Brown"</formula>
    </cfRule>
    <cfRule type="cellIs" dxfId="1066" priority="24" operator="equal">
      <formula>"Red"</formula>
    </cfRule>
    <cfRule type="cellIs" dxfId="1065" priority="25" operator="equal">
      <formula>"D Red"</formula>
    </cfRule>
  </conditionalFormatting>
  <conditionalFormatting sqref="D22:D31 M22:M31 J29 G25:G31">
    <cfRule type="cellIs" dxfId="1064" priority="19" operator="equal">
      <formula>"""AEB"""</formula>
    </cfRule>
    <cfRule type="cellIs" dxfId="1063" priority="26" operator="equal">
      <formula>"Green"</formula>
    </cfRule>
    <cfRule type="cellIs" dxfId="1062" priority="27" operator="equal">
      <formula>"Yellow"</formula>
    </cfRule>
    <cfRule type="cellIs" dxfId="1061" priority="28" operator="equal">
      <formula>"Orange"</formula>
    </cfRule>
    <cfRule type="cellIs" dxfId="1060" priority="29" operator="equal">
      <formula>"Brown"</formula>
    </cfRule>
    <cfRule type="cellIs" dxfId="1059" priority="30" operator="equal">
      <formula>"Red"</formula>
    </cfRule>
  </conditionalFormatting>
  <conditionalFormatting sqref="S21">
    <cfRule type="cellIs" dxfId="1058" priority="13" operator="equal">
      <formula>"Green"</formula>
    </cfRule>
    <cfRule type="cellIs" dxfId="1057" priority="14" operator="equal">
      <formula>"Yellow"</formula>
    </cfRule>
    <cfRule type="cellIs" dxfId="1056" priority="15" operator="equal">
      <formula>"Orange"</formula>
    </cfRule>
    <cfRule type="cellIs" dxfId="1055" priority="16" operator="equal">
      <formula>"Brown"</formula>
    </cfRule>
    <cfRule type="cellIs" dxfId="1054" priority="17" operator="equal">
      <formula>"Red"</formula>
    </cfRule>
    <cfRule type="cellIs" dxfId="1053" priority="18" operator="equal">
      <formula>"D Red"</formula>
    </cfRule>
  </conditionalFormatting>
  <conditionalFormatting sqref="S22:S31 P29">
    <cfRule type="cellIs" dxfId="1052" priority="2" operator="equal">
      <formula>"Green"</formula>
    </cfRule>
    <cfRule type="cellIs" dxfId="1051" priority="3" operator="equal">
      <formula>"Yellow"</formula>
    </cfRule>
    <cfRule type="cellIs" dxfId="1050" priority="4" operator="equal">
      <formula>"Orange"</formula>
    </cfRule>
    <cfRule type="cellIs" dxfId="1049" priority="5" operator="equal">
      <formula>"Brown"</formula>
    </cfRule>
    <cfRule type="cellIs" dxfId="1048" priority="6" operator="equal">
      <formula>"Red"</formula>
    </cfRule>
    <cfRule type="cellIs" dxfId="1047" priority="7" operator="equal">
      <formula>"D Red"</formula>
    </cfRule>
  </conditionalFormatting>
  <conditionalFormatting sqref="S22:S31 P29">
    <cfRule type="cellIs" dxfId="1046" priority="1" operator="equal">
      <formula>"""AEB"""</formula>
    </cfRule>
    <cfRule type="cellIs" dxfId="1045" priority="8" operator="equal">
      <formula>"Green"</formula>
    </cfRule>
    <cfRule type="cellIs" dxfId="1044" priority="9" operator="equal">
      <formula>"Yellow"</formula>
    </cfRule>
    <cfRule type="cellIs" dxfId="1043" priority="10" operator="equal">
      <formula>"Orange"</formula>
    </cfRule>
    <cfRule type="cellIs" dxfId="1042" priority="11" operator="equal">
      <formula>"Brown"</formula>
    </cfRule>
    <cfRule type="cellIs" dxfId="1041" priority="12" operator="equal">
      <formula>"Red"</formula>
    </cfRule>
  </conditionalFormatting>
  <dataValidations count="7">
    <dataValidation type="list" allowBlank="1" showInputMessage="1" showErrorMessage="1" sqref="D26:D31 M29 J29 G26:G31 S29 P29" xr:uid="{6D34F769-5861-A34E-85AF-CE16CF06C647}">
      <formula1>"Green,Yellow,Orange,Brown,Red"</formula1>
    </dataValidation>
    <dataValidation type="list" allowBlank="1" showInputMessage="1" showErrorMessage="1" sqref="D24:D25 G25" xr:uid="{C87CD6E5-6CCF-2544-84A3-9C273A6F70CD}">
      <formula1>"Green,Orange,Brown,Red"</formula1>
    </dataValidation>
    <dataValidation type="list" allowBlank="1" showInputMessage="1" showErrorMessage="1" sqref="D22:D23" xr:uid="{0E799A48-6150-7143-BC3E-D13966351B5B}">
      <formula1>"Green,Brown,Red"</formula1>
    </dataValidation>
    <dataValidation type="list" allowBlank="1" showInputMessage="1" showErrorMessage="1" sqref="D21" xr:uid="{B64F62C1-D13C-594C-BF19-6D1AF1708FF2}">
      <formula1>"Green,Red"</formula1>
    </dataValidation>
    <dataValidation type="list" allowBlank="1" showInputMessage="1" showErrorMessage="1" sqref="D13:D14" xr:uid="{AD60FB13-F04F-264D-A796-8F10403754B3}">
      <formula1>"YES,NO"</formula1>
    </dataValidation>
    <dataValidation type="list" allowBlank="1" showInputMessage="1" showErrorMessage="1" sqref="N50:O52 D47:I51 L47:M51 J50:K52" xr:uid="{831E9915-E54A-9946-B92E-88EC8F5AF0B7}">
      <formula1>"PASS,FAIL"</formula1>
    </dataValidation>
    <dataValidation type="list" allowBlank="1" showInputMessage="1" showErrorMessage="1" sqref="D7" xr:uid="{DB6CDFFD-740D-FF4C-99B2-53BA80EA2B75}">
      <formula1>"Auto-Brake,Auto-Brake with Forward Collision Warning"</formula1>
    </dataValidation>
  </dataValidations>
  <pageMargins left="0.8" right="0.44" top="0.53" bottom="1" header="0.5" footer="0.5"/>
  <pageSetup paperSize="9" scale="51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7">
    <tabColor rgb="FF7030A0"/>
    <pageSetUpPr fitToPage="1"/>
  </sheetPr>
  <dimension ref="A1:U52"/>
  <sheetViews>
    <sheetView showGridLines="0" showOutlineSymbols="0" topLeftCell="A5" zoomScaleNormal="100" workbookViewId="0"/>
  </sheetViews>
  <sheetFormatPr defaultColWidth="8.7109375" defaultRowHeight="12.75"/>
  <cols>
    <col min="1" max="2" width="8.7109375" style="1"/>
    <col min="3" max="3" width="44.28515625" style="1" customWidth="1"/>
    <col min="4" max="4" width="12.7109375" style="1" customWidth="1"/>
    <col min="5" max="5" width="13.5703125" style="1" customWidth="1"/>
    <col min="6" max="9" width="12.7109375" style="1" customWidth="1"/>
    <col min="10" max="16" width="8.7109375" style="1"/>
    <col min="17" max="17" width="8.7109375" style="1" customWidth="1"/>
    <col min="18" max="18" width="8.7109375" style="1" hidden="1" customWidth="1"/>
    <col min="19" max="19" width="0" style="1" hidden="1" customWidth="1"/>
    <col min="20" max="16384" width="8.7109375" style="1"/>
  </cols>
  <sheetData>
    <row r="1" spans="1:21" ht="13.5" thickBot="1">
      <c r="R1" s="1" t="s">
        <v>123</v>
      </c>
      <c r="S1" s="2">
        <v>0</v>
      </c>
      <c r="T1" s="2"/>
      <c r="U1" s="2"/>
    </row>
    <row r="2" spans="1:21" s="4" customFormat="1" ht="12.75" customHeight="1">
      <c r="B2" s="1450" t="s">
        <v>842</v>
      </c>
      <c r="C2" s="1608"/>
      <c r="D2" s="1454" t="s">
        <v>49</v>
      </c>
      <c r="E2" s="1455"/>
      <c r="F2" s="1464" t="s">
        <v>2589</v>
      </c>
      <c r="G2" s="1486"/>
      <c r="H2" s="1454" t="s">
        <v>468</v>
      </c>
      <c r="I2" s="1486"/>
      <c r="J2" s="137"/>
      <c r="K2" s="836"/>
      <c r="L2" s="160"/>
      <c r="M2" s="30"/>
      <c r="N2" s="30"/>
      <c r="O2" s="30"/>
      <c r="P2" s="30"/>
      <c r="Q2" s="30"/>
      <c r="R2" s="4" t="s">
        <v>2686</v>
      </c>
      <c r="S2" s="2">
        <v>0.03</v>
      </c>
      <c r="T2" s="2"/>
      <c r="U2" s="2"/>
    </row>
    <row r="3" spans="1:21" s="4" customFormat="1" ht="15" customHeight="1">
      <c r="B3" s="1452"/>
      <c r="C3" s="1609"/>
      <c r="D3" s="2108"/>
      <c r="E3" s="2109"/>
      <c r="F3" s="2111"/>
      <c r="G3" s="2110"/>
      <c r="H3" s="2108"/>
      <c r="I3" s="2110"/>
      <c r="J3" s="30"/>
      <c r="K3" s="9"/>
      <c r="L3" s="30"/>
      <c r="M3" s="30"/>
      <c r="N3" s="30"/>
      <c r="O3" s="30"/>
      <c r="P3" s="30"/>
      <c r="Q3" s="30"/>
      <c r="R3" s="4" t="s">
        <v>2594</v>
      </c>
    </row>
    <row r="4" spans="1:21" ht="15" customHeight="1" thickBot="1">
      <c r="B4" s="1484" t="str">
        <f>'General Overview'!G14</f>
        <v/>
      </c>
      <c r="C4" s="1610"/>
      <c r="D4" s="1909" t="s">
        <v>125</v>
      </c>
      <c r="E4" s="1902"/>
      <c r="F4" s="6" t="s">
        <v>2592</v>
      </c>
      <c r="G4" s="85" t="s">
        <v>125</v>
      </c>
      <c r="H4" s="6" t="s">
        <v>2592</v>
      </c>
      <c r="I4" s="85" t="s">
        <v>125</v>
      </c>
      <c r="J4" s="9"/>
      <c r="K4" s="9"/>
      <c r="L4" s="9"/>
      <c r="M4" s="9"/>
      <c r="N4" s="9"/>
      <c r="O4" s="9"/>
      <c r="P4" s="9"/>
      <c r="Q4" s="9"/>
      <c r="R4" s="1" t="s">
        <v>2689</v>
      </c>
    </row>
    <row r="5" spans="1:21" ht="15" customHeight="1">
      <c r="B5" s="16" t="s">
        <v>843</v>
      </c>
      <c r="C5" s="17"/>
      <c r="D5" s="1425"/>
      <c r="E5" s="1427"/>
      <c r="F5" s="1426" t="s">
        <v>2590</v>
      </c>
      <c r="G5" s="1426"/>
      <c r="H5" s="1426"/>
      <c r="I5" s="1427"/>
      <c r="J5" s="9"/>
      <c r="K5" s="9"/>
      <c r="L5" s="9"/>
      <c r="M5" s="9"/>
      <c r="N5" s="9"/>
      <c r="O5" s="9"/>
      <c r="P5" s="9"/>
      <c r="Q5" s="9"/>
      <c r="R5" s="1" t="s">
        <v>2687</v>
      </c>
    </row>
    <row r="6" spans="1:21" ht="15" customHeight="1">
      <c r="B6" s="8"/>
      <c r="C6" s="9" t="s">
        <v>607</v>
      </c>
      <c r="D6" s="2118"/>
      <c r="E6" s="1926"/>
      <c r="F6" s="2106">
        <f>'General Overview'!C16-1</f>
        <v>-1</v>
      </c>
      <c r="G6" s="941"/>
      <c r="H6" s="2116">
        <f>SUM('General Overview'!C17:D18)</f>
        <v>0</v>
      </c>
      <c r="I6" s="986"/>
      <c r="J6" s="9"/>
      <c r="K6" s="9"/>
      <c r="L6" s="9"/>
      <c r="M6" s="9"/>
      <c r="N6" s="9"/>
      <c r="O6" s="9"/>
      <c r="P6" s="9"/>
      <c r="Q6" s="9"/>
      <c r="R6" s="1" t="s">
        <v>2593</v>
      </c>
    </row>
    <row r="7" spans="1:21" ht="15" customHeight="1">
      <c r="B7" s="801" t="e">
        <f>IF(I7="Fail","Fail",IF(VALUE(LEFT(I7,1))&lt;H6,"Fail","Pass"))</f>
        <v>#VALUE!</v>
      </c>
      <c r="C7" s="223" t="s">
        <v>465</v>
      </c>
      <c r="D7" s="2112"/>
      <c r="E7" s="2113"/>
      <c r="F7" s="2106"/>
      <c r="G7" s="941"/>
      <c r="H7" s="2116"/>
      <c r="I7" s="941"/>
      <c r="J7" s="9"/>
      <c r="K7" s="9"/>
      <c r="L7" s="9"/>
      <c r="M7" s="9"/>
      <c r="N7" s="9"/>
      <c r="O7" s="9"/>
      <c r="P7" s="9"/>
      <c r="Q7" s="9"/>
      <c r="R7" s="1" t="s">
        <v>2688</v>
      </c>
    </row>
    <row r="8" spans="1:21" ht="15" customHeight="1" thickBot="1">
      <c r="B8" s="801" t="e">
        <f>IF(I8="Fail","Fail",IF(VALUE(LEFT(I8,1))&lt;H6,"Fail","Pass"))</f>
        <v>#VALUE!</v>
      </c>
      <c r="C8" s="223" t="s">
        <v>466</v>
      </c>
      <c r="D8" s="2114"/>
      <c r="E8" s="2115"/>
      <c r="F8" s="2107"/>
      <c r="G8" s="941"/>
      <c r="H8" s="2117"/>
      <c r="I8" s="941"/>
      <c r="J8" s="9"/>
      <c r="K8" s="9"/>
      <c r="L8" s="9"/>
      <c r="M8" s="9"/>
      <c r="N8" s="9"/>
      <c r="O8" s="9"/>
      <c r="P8" s="9"/>
      <c r="Q8" s="9"/>
    </row>
    <row r="9" spans="1:21" s="3" customFormat="1" ht="15" customHeight="1" thickBot="1">
      <c r="A9" s="1"/>
      <c r="B9" s="1395" t="s">
        <v>469</v>
      </c>
      <c r="C9" s="1403"/>
      <c r="D9" s="1621" t="str">
        <f>IF(AND(D7="Pass",D8="Pass",LEFT(G6,1)=TEXT(F6,0),LEFT(G7,1)=TEXT(F6,0),LEFT(G8,1)=TEXT(F6,0)),"Pass","Fail")</f>
        <v>Fail</v>
      </c>
      <c r="E9" s="1622"/>
      <c r="F9" s="1622"/>
      <c r="G9" s="1623"/>
      <c r="H9" s="1621" cm="1">
        <f t="array" ref="H9">IF(OR(D9="Fail",I6="Fail"),0,IF(AND(B7:B8="Pass"),VALUE(LEFT(I6,1)/H6),0))</f>
        <v>0</v>
      </c>
      <c r="I9" s="1623"/>
      <c r="J9" s="45"/>
      <c r="K9" s="45"/>
      <c r="L9" s="45"/>
      <c r="M9" s="45"/>
      <c r="N9" s="9"/>
      <c r="O9" s="9"/>
      <c r="P9" s="9"/>
      <c r="Q9" s="9"/>
      <c r="R9" s="629"/>
    </row>
    <row r="10" spans="1:21" ht="15" customHeight="1" thickBot="1">
      <c r="J10" s="9"/>
      <c r="K10" s="9"/>
      <c r="L10" s="9"/>
      <c r="M10" s="9"/>
      <c r="N10" s="9"/>
      <c r="O10" s="9"/>
      <c r="P10" s="9"/>
      <c r="Q10" s="9"/>
      <c r="R10" s="9"/>
    </row>
    <row r="11" spans="1:21" ht="15" customHeight="1">
      <c r="B11" s="16" t="s">
        <v>845</v>
      </c>
      <c r="C11" s="34"/>
      <c r="D11" s="1425"/>
      <c r="E11" s="2119"/>
      <c r="F11" s="1426"/>
      <c r="G11" s="1426"/>
      <c r="H11" s="1426"/>
      <c r="I11" s="1427"/>
      <c r="J11" s="9"/>
      <c r="K11" s="9"/>
      <c r="L11" s="9"/>
      <c r="M11" s="9"/>
      <c r="N11" s="9"/>
      <c r="O11" s="9"/>
      <c r="P11" s="9"/>
      <c r="Q11" s="9"/>
    </row>
    <row r="12" spans="1:21" ht="15" customHeight="1">
      <c r="B12" s="8"/>
      <c r="C12" s="46" t="s">
        <v>553</v>
      </c>
      <c r="D12" s="2112"/>
      <c r="E12" s="2122"/>
      <c r="F12" s="629"/>
      <c r="G12" s="629"/>
      <c r="H12" s="629"/>
      <c r="I12" s="694"/>
      <c r="J12" s="9"/>
      <c r="K12" s="9"/>
      <c r="L12" s="9"/>
      <c r="M12" s="9"/>
      <c r="N12" s="9"/>
      <c r="O12" s="9"/>
      <c r="P12" s="9"/>
      <c r="Q12" s="9"/>
    </row>
    <row r="13" spans="1:21" ht="15" customHeight="1">
      <c r="B13" s="8"/>
      <c r="C13" s="46" t="s">
        <v>2505</v>
      </c>
      <c r="D13" s="2112"/>
      <c r="E13" s="2122"/>
      <c r="F13" s="629"/>
      <c r="G13" s="629"/>
      <c r="H13" s="629"/>
      <c r="I13" s="694"/>
      <c r="J13" s="9"/>
      <c r="K13" s="9"/>
      <c r="L13" s="9"/>
      <c r="M13" s="9"/>
      <c r="N13" s="9"/>
      <c r="O13" s="9"/>
      <c r="P13" s="9"/>
      <c r="Q13" s="9"/>
    </row>
    <row r="14" spans="1:21" ht="15" customHeight="1">
      <c r="B14" s="8"/>
      <c r="C14" s="46" t="s">
        <v>2634</v>
      </c>
      <c r="D14" s="1604"/>
      <c r="E14" s="1637"/>
      <c r="F14" s="629"/>
      <c r="G14" s="1215" t="e">
        <f>IF(VALUE(LEFT(G6,1))=$F$6,"Pass","Fail")</f>
        <v>#VALUE!</v>
      </c>
      <c r="H14" s="1215"/>
      <c r="I14" s="1216"/>
      <c r="J14" s="9"/>
      <c r="K14" s="9"/>
      <c r="L14" s="9"/>
      <c r="M14" s="9"/>
      <c r="N14" s="9"/>
      <c r="O14" s="9"/>
      <c r="P14" s="9"/>
      <c r="Q14" s="9"/>
    </row>
    <row r="15" spans="1:21" ht="15" customHeight="1">
      <c r="B15" s="8"/>
      <c r="C15" s="46" t="s">
        <v>2506</v>
      </c>
      <c r="D15" s="1604"/>
      <c r="E15" s="1637"/>
      <c r="F15" s="629"/>
      <c r="G15" s="1215" t="e">
        <f t="shared" ref="G15:G16" si="0">IF(VALUE(LEFT(G7,1))=$F$6,"Pass","Fail")</f>
        <v>#VALUE!</v>
      </c>
      <c r="H15" s="1215"/>
      <c r="I15" s="1216" t="e">
        <f t="shared" ref="I15:I16" si="1">IF(VALUE(LEFT(I7,1))=$H$6,"Pass","Fail")</f>
        <v>#VALUE!</v>
      </c>
      <c r="J15" s="9"/>
      <c r="K15" s="9"/>
      <c r="L15" s="9"/>
      <c r="M15" s="9"/>
      <c r="N15" s="9"/>
      <c r="O15" s="9"/>
      <c r="P15" s="9"/>
      <c r="Q15" s="9"/>
    </row>
    <row r="16" spans="1:21" ht="15" hidden="1" customHeight="1">
      <c r="B16" s="8"/>
      <c r="C16" s="46"/>
      <c r="D16" s="2130"/>
      <c r="E16" s="2131"/>
      <c r="F16" s="629"/>
      <c r="G16" s="1215" t="e">
        <f t="shared" si="0"/>
        <v>#VALUE!</v>
      </c>
      <c r="H16" s="1215"/>
      <c r="I16" s="1216" t="e">
        <f t="shared" si="1"/>
        <v>#VALUE!</v>
      </c>
      <c r="J16" s="9"/>
      <c r="K16" s="9"/>
      <c r="L16" s="9"/>
      <c r="M16" s="9"/>
      <c r="N16" s="9"/>
      <c r="O16" s="9"/>
      <c r="P16" s="9"/>
      <c r="Q16" s="9"/>
    </row>
    <row r="17" spans="2:19" ht="15" customHeight="1" thickBot="1">
      <c r="B17" s="8"/>
      <c r="C17" s="46" t="s">
        <v>847</v>
      </c>
      <c r="D17" s="2114"/>
      <c r="E17" s="2120"/>
      <c r="F17" s="629"/>
      <c r="G17" s="1215" t="e">
        <f>IF(VALUE(LEFT(G8,1))=$F$6,"Pass","Fail")</f>
        <v>#VALUE!</v>
      </c>
      <c r="H17" s="1215"/>
      <c r="I17" s="1217" t="e">
        <f>IF(VALUE(LEFT(I8,1))=$H$6,"Pass","Fail")</f>
        <v>#VALUE!</v>
      </c>
      <c r="J17" s="9"/>
      <c r="K17" s="9"/>
      <c r="L17" s="9"/>
      <c r="M17" s="9"/>
      <c r="N17" s="9"/>
      <c r="O17" s="9"/>
      <c r="P17" s="9"/>
      <c r="Q17" s="9"/>
    </row>
    <row r="18" spans="2:19" ht="15" customHeight="1" thickBot="1">
      <c r="B18" s="2125" t="s">
        <v>135</v>
      </c>
      <c r="C18" s="2126"/>
      <c r="D18" s="2127" t="e">
        <f ca="1">IF(AND(NOT(AND(D14="Direct",D15="&gt;65km/h"))*SUM('OVERALL RATING'!H7:H10)&gt;18,COUNTIFS(D12:D17,"Pass")=3,NOT(OR('SA AEB Car-to-Car'!D15="FAIL",'VRU AEB Motorcyclist'!D15="FAIL",'VRU AEB Bicyclist'!D15="FAIL",'VRU AEB Pedestrian'!D16="FAIL")),G14="Pass",G15="Pass",G17="Pass",I15="Pass",I17="Pass"),"Pass","Fail")</f>
        <v>#VALUE!</v>
      </c>
      <c r="E18" s="2128"/>
      <c r="F18" s="2128"/>
      <c r="G18" s="2128"/>
      <c r="H18" s="2128"/>
      <c r="I18" s="2129"/>
      <c r="J18" s="9"/>
      <c r="K18" s="629"/>
      <c r="L18" s="9"/>
      <c r="M18" s="9"/>
      <c r="N18" s="9"/>
      <c r="O18" s="9"/>
      <c r="P18" s="9"/>
      <c r="Q18" s="9"/>
    </row>
    <row r="19" spans="2:19" ht="15" customHeight="1">
      <c r="B19" s="8"/>
      <c r="C19" s="9"/>
      <c r="D19" s="1425"/>
      <c r="E19" s="2119"/>
      <c r="F19" s="725"/>
      <c r="G19" s="725"/>
      <c r="H19" s="725"/>
      <c r="I19" s="726"/>
      <c r="J19" s="9"/>
      <c r="K19" s="9"/>
      <c r="L19" s="9"/>
      <c r="M19" s="9"/>
      <c r="N19" s="9"/>
      <c r="O19" s="9"/>
      <c r="P19" s="9"/>
      <c r="Q19" s="9"/>
    </row>
    <row r="20" spans="2:19" ht="15" customHeight="1">
      <c r="B20" s="8"/>
      <c r="C20" s="9" t="s">
        <v>2507</v>
      </c>
      <c r="D20" s="2112"/>
      <c r="E20" s="2122"/>
      <c r="F20" s="698"/>
      <c r="G20" s="698"/>
      <c r="H20" s="698"/>
      <c r="I20" s="699"/>
      <c r="J20" s="9"/>
      <c r="K20" s="9"/>
      <c r="L20" s="9"/>
      <c r="M20" s="9"/>
      <c r="N20" s="9"/>
      <c r="O20" s="9"/>
      <c r="P20" s="9"/>
      <c r="Q20" s="9"/>
    </row>
    <row r="21" spans="2:19" ht="15" customHeight="1">
      <c r="B21" s="8"/>
      <c r="C21" s="9" t="s">
        <v>2509</v>
      </c>
      <c r="D21" s="2112"/>
      <c r="E21" s="2122"/>
      <c r="F21" s="698"/>
      <c r="G21" s="698"/>
      <c r="H21" s="698"/>
      <c r="I21" s="699"/>
      <c r="J21" s="9"/>
      <c r="K21" s="9"/>
      <c r="L21" s="9"/>
      <c r="M21" s="9"/>
      <c r="N21" s="9"/>
      <c r="O21" s="9"/>
      <c r="P21" s="9"/>
      <c r="Q21" s="9"/>
    </row>
    <row r="22" spans="2:19" ht="15" customHeight="1" thickBot="1">
      <c r="B22" s="8"/>
      <c r="C22" s="9" t="s">
        <v>2508</v>
      </c>
      <c r="D22" s="2114"/>
      <c r="E22" s="2120"/>
      <c r="F22" s="700"/>
      <c r="G22" s="700"/>
      <c r="H22" s="700"/>
      <c r="I22" s="701"/>
      <c r="J22" s="9"/>
      <c r="K22" s="9"/>
      <c r="L22" s="9"/>
      <c r="M22" s="9"/>
      <c r="N22" s="9"/>
      <c r="O22" s="9"/>
      <c r="P22" s="9"/>
      <c r="Q22" s="9"/>
    </row>
    <row r="23" spans="2:19" ht="15" customHeight="1" thickBot="1">
      <c r="B23" s="2125" t="s">
        <v>2510</v>
      </c>
      <c r="C23" s="2126"/>
      <c r="D23" s="1621" t="str">
        <f>IF(COUNTIFS(D20:D22,"Pass")=3,"Yes","No")</f>
        <v>No</v>
      </c>
      <c r="E23" s="1622"/>
      <c r="F23" s="1622"/>
      <c r="G23" s="1622"/>
      <c r="H23" s="1622"/>
      <c r="I23" s="1623"/>
      <c r="J23" s="9"/>
      <c r="K23" s="9"/>
      <c r="L23" s="9"/>
      <c r="M23" s="9"/>
      <c r="N23" s="9"/>
      <c r="O23" s="9"/>
      <c r="P23" s="9"/>
      <c r="Q23" s="9"/>
    </row>
    <row r="24" spans="2:19" ht="15" customHeight="1" thickBot="1">
      <c r="B24" s="222"/>
      <c r="C24" s="42"/>
      <c r="D24" s="700"/>
      <c r="E24" s="700"/>
      <c r="F24" s="700"/>
      <c r="G24" s="700"/>
      <c r="H24" s="700"/>
      <c r="I24" s="701"/>
      <c r="J24" s="9"/>
      <c r="K24" s="9"/>
      <c r="L24" s="9"/>
      <c r="M24" s="9"/>
      <c r="N24" s="9"/>
      <c r="O24" s="9"/>
      <c r="P24" s="9"/>
      <c r="Q24" s="9"/>
    </row>
    <row r="25" spans="2:19" ht="16.5" customHeight="1">
      <c r="B25" s="732"/>
      <c r="C25" s="733" t="s">
        <v>2511</v>
      </c>
      <c r="D25" s="2121" t="s">
        <v>2512</v>
      </c>
      <c r="E25" s="2121"/>
      <c r="F25" s="734" t="s">
        <v>2534</v>
      </c>
      <c r="G25" s="735" t="s">
        <v>2513</v>
      </c>
      <c r="H25" s="735" t="s">
        <v>2514</v>
      </c>
      <c r="I25" s="736" t="s">
        <v>2532</v>
      </c>
      <c r="J25" s="9"/>
      <c r="K25" s="9"/>
      <c r="L25" s="9"/>
      <c r="M25" s="9"/>
      <c r="N25" s="9"/>
      <c r="O25" s="9"/>
      <c r="P25" s="9"/>
      <c r="Q25" s="9"/>
    </row>
    <row r="26" spans="2:19" ht="17.25" customHeight="1">
      <c r="B26" s="2141" t="s">
        <v>2515</v>
      </c>
      <c r="C26" s="2143" t="s">
        <v>2516</v>
      </c>
      <c r="D26" s="2124" t="s">
        <v>2517</v>
      </c>
      <c r="E26" s="2124"/>
      <c r="F26" s="728" t="s">
        <v>2530</v>
      </c>
      <c r="G26" s="1070"/>
      <c r="H26" s="1070"/>
      <c r="I26" s="699">
        <f t="shared" ref="I26:I36" si="2">IF(G26="Yes",R26,0)+IF(H26="Yes",S26,0)</f>
        <v>0</v>
      </c>
      <c r="J26" s="1002"/>
      <c r="K26" s="37"/>
      <c r="L26" s="9"/>
      <c r="M26" s="9"/>
      <c r="N26" s="9"/>
      <c r="O26" s="9"/>
      <c r="P26" s="9"/>
      <c r="Q26" s="9"/>
      <c r="R26" s="1">
        <v>0.03</v>
      </c>
      <c r="S26" s="1">
        <v>0.03</v>
      </c>
    </row>
    <row r="27" spans="2:19" ht="17.25" customHeight="1">
      <c r="B27" s="2141"/>
      <c r="C27" s="2143"/>
      <c r="D27" s="2124"/>
      <c r="E27" s="2124"/>
      <c r="F27" s="727" t="s">
        <v>2518</v>
      </c>
      <c r="G27" s="1070"/>
      <c r="H27" s="1070"/>
      <c r="I27" s="699">
        <f t="shared" si="2"/>
        <v>0</v>
      </c>
      <c r="J27" s="1002"/>
      <c r="K27" s="9"/>
      <c r="L27" s="9"/>
      <c r="M27" s="9"/>
      <c r="N27" s="9"/>
      <c r="O27" s="9"/>
      <c r="P27" s="9"/>
      <c r="Q27" s="9"/>
      <c r="R27" s="1">
        <v>0.03</v>
      </c>
      <c r="S27" s="1">
        <v>0.03</v>
      </c>
    </row>
    <row r="28" spans="2:19" ht="17.25" customHeight="1">
      <c r="B28" s="2141"/>
      <c r="C28" s="2143"/>
      <c r="D28" s="2124"/>
      <c r="E28" s="2124"/>
      <c r="F28" s="727" t="s">
        <v>2519</v>
      </c>
      <c r="G28" s="1070"/>
      <c r="H28" s="1070"/>
      <c r="I28" s="699">
        <f t="shared" si="2"/>
        <v>0</v>
      </c>
      <c r="J28" s="1002"/>
      <c r="K28" s="9"/>
      <c r="L28" s="9"/>
      <c r="M28" s="9"/>
      <c r="N28" s="9"/>
      <c r="O28" s="9"/>
      <c r="P28" s="9"/>
      <c r="Q28" s="9"/>
      <c r="R28" s="1">
        <v>0.03</v>
      </c>
      <c r="S28" s="1">
        <v>0.03</v>
      </c>
    </row>
    <row r="29" spans="2:19" ht="17.25" customHeight="1">
      <c r="B29" s="2141"/>
      <c r="C29" s="2143"/>
      <c r="D29" s="2124" t="s">
        <v>2520</v>
      </c>
      <c r="E29" s="2124"/>
      <c r="F29" s="728" t="s">
        <v>2530</v>
      </c>
      <c r="G29" s="1070"/>
      <c r="H29" s="1070"/>
      <c r="I29" s="699">
        <f t="shared" si="2"/>
        <v>0</v>
      </c>
      <c r="J29" s="1002"/>
      <c r="K29" s="9"/>
      <c r="L29" s="9"/>
      <c r="M29" s="9"/>
      <c r="N29" s="9"/>
      <c r="O29" s="9"/>
      <c r="P29" s="9"/>
      <c r="Q29" s="9"/>
      <c r="R29" s="1">
        <v>0.03</v>
      </c>
      <c r="S29" s="1">
        <v>0.03</v>
      </c>
    </row>
    <row r="30" spans="2:19" ht="17.25" customHeight="1">
      <c r="B30" s="2141"/>
      <c r="C30" s="2143"/>
      <c r="D30" s="2124"/>
      <c r="E30" s="2124"/>
      <c r="F30" s="727" t="s">
        <v>2518</v>
      </c>
      <c r="G30" s="1070"/>
      <c r="H30" s="1070"/>
      <c r="I30" s="699">
        <f t="shared" si="2"/>
        <v>0</v>
      </c>
      <c r="J30" s="1002"/>
      <c r="K30" s="9"/>
      <c r="L30" s="9"/>
      <c r="M30" s="9"/>
      <c r="N30" s="9"/>
      <c r="O30" s="9"/>
      <c r="P30" s="9"/>
      <c r="Q30" s="9"/>
      <c r="R30" s="1">
        <v>0.03</v>
      </c>
      <c r="S30" s="1">
        <v>0.03</v>
      </c>
    </row>
    <row r="31" spans="2:19" ht="17.25" customHeight="1">
      <c r="B31" s="2141"/>
      <c r="C31" s="2144" t="s">
        <v>2521</v>
      </c>
      <c r="D31" s="2123" t="s">
        <v>2517</v>
      </c>
      <c r="E31" s="2124"/>
      <c r="F31" s="728" t="s">
        <v>2530</v>
      </c>
      <c r="G31" s="1070"/>
      <c r="H31" s="1070"/>
      <c r="I31" s="699">
        <f t="shared" si="2"/>
        <v>0</v>
      </c>
      <c r="J31" s="1003"/>
      <c r="R31" s="1">
        <v>0.03</v>
      </c>
      <c r="S31" s="1">
        <v>0.03</v>
      </c>
    </row>
    <row r="32" spans="2:19" ht="17.25" customHeight="1">
      <c r="B32" s="2141"/>
      <c r="C32" s="2143"/>
      <c r="D32" s="2124"/>
      <c r="E32" s="2124"/>
      <c r="F32" s="727" t="s">
        <v>2518</v>
      </c>
      <c r="G32" s="1070"/>
      <c r="H32" s="1070"/>
      <c r="I32" s="699">
        <f t="shared" si="2"/>
        <v>0</v>
      </c>
      <c r="J32" s="1003"/>
      <c r="R32" s="1">
        <v>0.03</v>
      </c>
      <c r="S32" s="1">
        <v>0.03</v>
      </c>
    </row>
    <row r="33" spans="1:19" ht="17.25" customHeight="1">
      <c r="B33" s="2141"/>
      <c r="C33" s="2143"/>
      <c r="D33" s="2124" t="s">
        <v>2520</v>
      </c>
      <c r="E33" s="2124"/>
      <c r="F33" s="728" t="s">
        <v>2530</v>
      </c>
      <c r="G33" s="1070"/>
      <c r="H33" s="1070"/>
      <c r="I33" s="699">
        <f t="shared" si="2"/>
        <v>0</v>
      </c>
      <c r="J33" s="1003"/>
      <c r="R33" s="1">
        <v>0.03</v>
      </c>
      <c r="S33" s="1">
        <v>0.03</v>
      </c>
    </row>
    <row r="34" spans="1:19" ht="17.25" customHeight="1">
      <c r="B34" s="2141"/>
      <c r="C34" s="2143"/>
      <c r="D34" s="2124"/>
      <c r="E34" s="2124"/>
      <c r="F34" s="727" t="s">
        <v>2518</v>
      </c>
      <c r="G34" s="1070"/>
      <c r="H34" s="1070"/>
      <c r="I34" s="699">
        <f t="shared" si="2"/>
        <v>0</v>
      </c>
      <c r="J34" s="1003"/>
      <c r="R34" s="1">
        <v>0.03</v>
      </c>
      <c r="S34" s="1">
        <v>0.03</v>
      </c>
    </row>
    <row r="35" spans="1:19" ht="31.5" customHeight="1">
      <c r="B35" s="2141"/>
      <c r="C35" s="2143"/>
      <c r="D35" s="2124" t="s">
        <v>2522</v>
      </c>
      <c r="E35" s="2124"/>
      <c r="F35" s="727" t="s">
        <v>2518</v>
      </c>
      <c r="G35" s="1070"/>
      <c r="H35" s="1070"/>
      <c r="I35" s="699">
        <f t="shared" si="2"/>
        <v>0</v>
      </c>
      <c r="J35" s="1003"/>
      <c r="R35" s="1">
        <v>0.03</v>
      </c>
      <c r="S35" s="1">
        <v>0.03</v>
      </c>
    </row>
    <row r="36" spans="1:19" ht="17.25" customHeight="1">
      <c r="B36" s="2141"/>
      <c r="C36" s="2143" t="s">
        <v>2523</v>
      </c>
      <c r="D36" s="2124" t="s">
        <v>2524</v>
      </c>
      <c r="E36" s="2124"/>
      <c r="F36" s="2123" t="s">
        <v>2813</v>
      </c>
      <c r="G36" s="2137"/>
      <c r="H36" s="2137"/>
      <c r="I36" s="2140">
        <f t="shared" si="2"/>
        <v>0</v>
      </c>
      <c r="J36" s="1003"/>
      <c r="R36" s="1">
        <v>0.05</v>
      </c>
      <c r="S36" s="1">
        <v>0.1</v>
      </c>
    </row>
    <row r="37" spans="1:19" ht="17.25" customHeight="1">
      <c r="B37" s="2141"/>
      <c r="C37" s="2143"/>
      <c r="D37" s="2124"/>
      <c r="E37" s="2124"/>
      <c r="F37" s="2145"/>
      <c r="G37" s="2137"/>
      <c r="H37" s="2137"/>
      <c r="I37" s="2140"/>
      <c r="J37" s="1003"/>
    </row>
    <row r="38" spans="1:19" ht="33.75" customHeight="1">
      <c r="B38" s="2141"/>
      <c r="C38" s="2143"/>
      <c r="D38" s="2124" t="s">
        <v>2525</v>
      </c>
      <c r="E38" s="2124"/>
      <c r="F38" s="727" t="s">
        <v>2518</v>
      </c>
      <c r="G38" s="1070"/>
      <c r="H38" s="1070"/>
      <c r="I38" s="699">
        <f>IF(G38="Yes",R38,0)+IF(H38="Yes",S38,0)</f>
        <v>0</v>
      </c>
      <c r="J38" s="1003"/>
      <c r="R38" s="1">
        <v>0.05</v>
      </c>
      <c r="S38" s="1">
        <v>0.1</v>
      </c>
    </row>
    <row r="39" spans="1:19" ht="20.25" customHeight="1">
      <c r="B39" s="2141" t="s">
        <v>2526</v>
      </c>
      <c r="C39" s="2142" t="s">
        <v>2527</v>
      </c>
      <c r="D39" s="2142"/>
      <c r="E39" s="2142"/>
      <c r="F39" s="2142"/>
      <c r="G39" s="1070"/>
      <c r="H39" s="1070"/>
      <c r="I39" s="699">
        <f>IF(G39="Yes",R39,0)+IF(H39="Yes",S39,0)</f>
        <v>0</v>
      </c>
      <c r="J39" s="1003"/>
      <c r="R39" s="1">
        <v>0.25</v>
      </c>
      <c r="S39" s="1">
        <v>0.1</v>
      </c>
    </row>
    <row r="40" spans="1:19" ht="20.25" customHeight="1">
      <c r="B40" s="2141"/>
      <c r="C40" s="2142" t="s">
        <v>2528</v>
      </c>
      <c r="D40" s="2142"/>
      <c r="E40" s="2142"/>
      <c r="F40" s="2142"/>
      <c r="G40" s="1070"/>
      <c r="H40" s="1070"/>
      <c r="I40" s="699">
        <f>IF(G40="Yes",R40,0)+IF(H40="Yes",S40,0)</f>
        <v>0</v>
      </c>
      <c r="J40" s="1003"/>
      <c r="R40" s="1">
        <v>0.2</v>
      </c>
      <c r="S40" s="1">
        <v>0.1</v>
      </c>
    </row>
    <row r="41" spans="1:19" ht="20.25" customHeight="1">
      <c r="B41" s="2141"/>
      <c r="C41" s="2142" t="s">
        <v>2529</v>
      </c>
      <c r="D41" s="2142"/>
      <c r="E41" s="2142"/>
      <c r="F41" s="2142"/>
      <c r="G41" s="1070"/>
      <c r="H41" s="1070"/>
      <c r="I41" s="699">
        <f>IF(G41="Yes",R41,0)+IF(H41="Yes",S41,0)</f>
        <v>0</v>
      </c>
      <c r="J41" s="1003"/>
      <c r="R41" s="1">
        <v>0.05</v>
      </c>
      <c r="S41" s="1">
        <v>0.2</v>
      </c>
    </row>
    <row r="42" spans="1:19" ht="20.25" customHeight="1" thickBot="1">
      <c r="B42" s="2138" t="s">
        <v>2531</v>
      </c>
      <c r="C42" s="2139"/>
      <c r="D42" s="2139"/>
      <c r="E42" s="2139"/>
      <c r="F42" s="2139"/>
      <c r="G42" s="2139"/>
      <c r="H42" s="1071"/>
      <c r="I42" s="699">
        <f>IF(G42="Yes",R42,0)+IF(H42="Yes",S42,0)</f>
        <v>0</v>
      </c>
      <c r="J42" s="1003"/>
      <c r="S42" s="1">
        <v>0.2</v>
      </c>
    </row>
    <row r="43" spans="1:19" ht="15" customHeight="1" thickBot="1">
      <c r="B43" s="2132" t="s">
        <v>2533</v>
      </c>
      <c r="C43" s="2133"/>
      <c r="D43" s="2134"/>
      <c r="E43" s="2135"/>
      <c r="F43" s="2135"/>
      <c r="G43" s="2135"/>
      <c r="H43" s="2136"/>
      <c r="I43" s="731">
        <f>SUM(I26:I42)</f>
        <v>0</v>
      </c>
      <c r="J43" s="9"/>
      <c r="K43" s="9"/>
      <c r="L43" s="9"/>
      <c r="M43" s="9"/>
      <c r="N43" s="9"/>
      <c r="O43" s="9"/>
      <c r="P43" s="9"/>
    </row>
    <row r="44" spans="1:19" ht="15" customHeight="1" thickBot="1">
      <c r="B44" s="730"/>
      <c r="C44" s="217"/>
      <c r="D44" s="729"/>
      <c r="E44" s="729"/>
      <c r="F44" s="729"/>
      <c r="G44" s="729"/>
      <c r="H44" s="729"/>
      <c r="I44" s="737"/>
    </row>
    <row r="45" spans="1:19" s="3" customFormat="1" ht="15" customHeight="1" thickBot="1">
      <c r="A45" s="1"/>
      <c r="B45" s="1395" t="s">
        <v>844</v>
      </c>
      <c r="C45" s="1403"/>
      <c r="D45" s="1621" t="e">
        <f ca="1">IF(AND('General Overview'!E65="Standard",D18="Pass",D23="Yes"),I43,0)</f>
        <v>#VALUE!</v>
      </c>
      <c r="E45" s="1622"/>
      <c r="F45" s="1622"/>
      <c r="G45" s="1622"/>
      <c r="H45" s="1622"/>
      <c r="I45" s="1623"/>
    </row>
    <row r="46" spans="1:19" ht="15" customHeight="1" thickBot="1"/>
    <row r="47" spans="1:19" s="3" customFormat="1" ht="15" customHeight="1" thickBot="1">
      <c r="A47" s="1"/>
      <c r="B47" s="1395" t="s">
        <v>37</v>
      </c>
      <c r="C47" s="1403"/>
      <c r="D47" s="1519"/>
      <c r="E47" s="1520"/>
      <c r="F47" s="1520"/>
      <c r="G47" s="1520"/>
      <c r="H47" s="1520"/>
      <c r="I47" s="1628"/>
      <c r="J47" s="219"/>
    </row>
    <row r="48" spans="1:19" s="3" customFormat="1" ht="15" customHeight="1">
      <c r="A48" s="1"/>
      <c r="B48" s="10"/>
      <c r="C48" s="86" t="s">
        <v>469</v>
      </c>
      <c r="D48" s="1512">
        <f>IF(D9="FAIL",0,IF(H6=0,IF(D9="PASS",2,0),SUM(H9)))</f>
        <v>0</v>
      </c>
      <c r="E48" s="1611"/>
      <c r="F48" s="1611"/>
      <c r="G48" s="1611"/>
      <c r="H48" s="1611"/>
      <c r="I48" s="1517"/>
      <c r="J48" s="219"/>
    </row>
    <row r="49" spans="2:10" ht="15" customHeight="1" thickBot="1">
      <c r="B49" s="31"/>
      <c r="C49" s="32" t="s">
        <v>844</v>
      </c>
      <c r="D49" s="1522" t="e">
        <f ca="1">D45</f>
        <v>#VALUE!</v>
      </c>
      <c r="E49" s="1630"/>
      <c r="F49" s="1630"/>
      <c r="G49" s="1630"/>
      <c r="H49" s="1630"/>
      <c r="I49" s="1532"/>
      <c r="J49" s="217"/>
    </row>
    <row r="50" spans="2:10" ht="15" customHeight="1" thickBot="1">
      <c r="F50" s="217"/>
      <c r="G50" s="217"/>
      <c r="H50" s="217"/>
      <c r="I50" s="219"/>
      <c r="J50" s="217"/>
    </row>
    <row r="51" spans="2:10" ht="21.75" thickBot="1">
      <c r="B51" s="1420" t="s">
        <v>846</v>
      </c>
      <c r="C51" s="1421"/>
      <c r="D51" s="1422" cm="1">
        <f t="array" aca="1" ref="D51" ca="1">IF(OR(ISERROR(D48:I49)=TRUE),0,D48+D49)</f>
        <v>0</v>
      </c>
      <c r="E51" s="1423"/>
      <c r="F51" s="1423"/>
      <c r="G51" s="1423"/>
      <c r="H51" s="1423"/>
      <c r="I51" s="1424"/>
    </row>
    <row r="52" spans="2:10">
      <c r="D52" s="247" t="str">
        <f>IF(AND(D9=2,H9&gt;0),"All seats",IF(D9=2,"Front seats","Not available"))</f>
        <v>Not available</v>
      </c>
    </row>
  </sheetData>
  <mergeCells count="63">
    <mergeCell ref="I36:I37"/>
    <mergeCell ref="B39:B41"/>
    <mergeCell ref="C39:F39"/>
    <mergeCell ref="C40:F40"/>
    <mergeCell ref="C41:F41"/>
    <mergeCell ref="B26:B38"/>
    <mergeCell ref="C26:C30"/>
    <mergeCell ref="C31:C35"/>
    <mergeCell ref="C36:C38"/>
    <mergeCell ref="D26:E28"/>
    <mergeCell ref="D29:E30"/>
    <mergeCell ref="D33:E34"/>
    <mergeCell ref="D36:E37"/>
    <mergeCell ref="D38:E38"/>
    <mergeCell ref="D35:E35"/>
    <mergeCell ref="F36:F37"/>
    <mergeCell ref="B43:C43"/>
    <mergeCell ref="D43:H43"/>
    <mergeCell ref="G36:G37"/>
    <mergeCell ref="H36:H37"/>
    <mergeCell ref="B42:G42"/>
    <mergeCell ref="B51:C51"/>
    <mergeCell ref="B9:C9"/>
    <mergeCell ref="B47:C47"/>
    <mergeCell ref="B45:C45"/>
    <mergeCell ref="F11:I11"/>
    <mergeCell ref="D45:I45"/>
    <mergeCell ref="D15:E15"/>
    <mergeCell ref="D17:E17"/>
    <mergeCell ref="D9:G9"/>
    <mergeCell ref="D12:E12"/>
    <mergeCell ref="D13:E13"/>
    <mergeCell ref="D14:E14"/>
    <mergeCell ref="B18:C18"/>
    <mergeCell ref="D18:I18"/>
    <mergeCell ref="D16:E16"/>
    <mergeCell ref="B23:C23"/>
    <mergeCell ref="D51:I51"/>
    <mergeCell ref="D4:E4"/>
    <mergeCell ref="H9:I9"/>
    <mergeCell ref="H6:H8"/>
    <mergeCell ref="D6:E6"/>
    <mergeCell ref="D11:E11"/>
    <mergeCell ref="D47:I47"/>
    <mergeCell ref="D48:I48"/>
    <mergeCell ref="D49:I49"/>
    <mergeCell ref="D22:E22"/>
    <mergeCell ref="D25:E25"/>
    <mergeCell ref="D23:I23"/>
    <mergeCell ref="D19:E19"/>
    <mergeCell ref="D20:E20"/>
    <mergeCell ref="D21:E21"/>
    <mergeCell ref="D31:E32"/>
    <mergeCell ref="F6:F8"/>
    <mergeCell ref="F5:I5"/>
    <mergeCell ref="B2:C3"/>
    <mergeCell ref="D2:E3"/>
    <mergeCell ref="B4:C4"/>
    <mergeCell ref="D5:E5"/>
    <mergeCell ref="H2:I3"/>
    <mergeCell ref="F2:G3"/>
    <mergeCell ref="D7:E7"/>
    <mergeCell ref="D8:E8"/>
  </mergeCells>
  <phoneticPr fontId="0" type="noConversion"/>
  <dataValidations count="6">
    <dataValidation type="list" allowBlank="1" showInputMessage="1" showErrorMessage="1" sqref="D17:E17 D20:D22 D12:E13 D7:E8" xr:uid="{00000000-0002-0000-1200-000000000000}">
      <formula1>"Pass,Fail"</formula1>
    </dataValidation>
    <dataValidation type="list" allowBlank="1" showInputMessage="1" showErrorMessage="1" sqref="I6:I8" xr:uid="{00000000-0002-0000-1200-000001000000}">
      <formula1>IF($H$6=1,Pass_1,IF($H$6=2,Pass_2,IF($H$6=3,Pass_3,IF($H$6=4,Pass_4,IF($H$6=5,Pass_5,IF($H$6=6,Pass_6,"Error"))))))</formula1>
    </dataValidation>
    <dataValidation type="list" allowBlank="1" showInputMessage="1" showErrorMessage="1" sqref="D14:E14" xr:uid="{2FE6FE7A-A3BC-4F72-982C-FC873B0F85A9}">
      <formula1>"Direct, Indirect"</formula1>
    </dataValidation>
    <dataValidation type="list" allowBlank="1" showInputMessage="1" showErrorMessage="1" sqref="D15:E15" xr:uid="{AF5F6ABE-05E6-4B1A-982F-16E88C7DDCED}">
      <formula1>"&gt;10km/h,&gt;65km/h"</formula1>
    </dataValidation>
    <dataValidation type="list" allowBlank="1" showInputMessage="1" showErrorMessage="1" sqref="H42 G26:H41" xr:uid="{22DA114D-E653-4265-B448-531E0CA7D951}">
      <formula1>"Yes,No"</formula1>
    </dataValidation>
    <dataValidation type="list" allowBlank="1" showInputMessage="1" showErrorMessage="1" sqref="G6:G8" xr:uid="{6D39F63F-1B2D-41AE-892D-AD93A949AA25}">
      <formula1>IF($F$6=1,Pass_1,IF($F$6=2,Pass_2,"Error"))</formula1>
    </dataValidation>
  </dataValidations>
  <pageMargins left="0.8" right="0.44" top="0.53" bottom="1" header="0.5" footer="0.5"/>
  <pageSetup paperSize="9" scale="70" orientation="portrait" r:id="rId1"/>
  <headerFooter alignWithMargins="0"/>
  <ignoredErrors>
    <ignoredError sqref="B7:B8 G14:I17" evalError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8">
    <tabColor rgb="FF7030A0"/>
    <pageSetUpPr fitToPage="1"/>
  </sheetPr>
  <dimension ref="A1:N72"/>
  <sheetViews>
    <sheetView showGridLines="0" showOutlineSymbols="0" topLeftCell="A5" zoomScaleNormal="100" workbookViewId="0"/>
  </sheetViews>
  <sheetFormatPr defaultColWidth="8.7109375" defaultRowHeight="12.75"/>
  <cols>
    <col min="1" max="2" width="8.7109375" style="1"/>
    <col min="3" max="3" width="47.7109375" style="1" customWidth="1"/>
    <col min="4" max="5" width="18.5703125" style="1" customWidth="1"/>
    <col min="6" max="6" width="8.7109375" style="217" hidden="1" customWidth="1"/>
    <col min="7" max="8" width="8.7109375" style="217" customWidth="1"/>
    <col min="9" max="9" width="9.28515625" style="219" customWidth="1"/>
    <col min="10" max="10" width="8.7109375" style="217"/>
    <col min="11" max="11" width="11.7109375" style="217" customWidth="1"/>
    <col min="12" max="16384" width="8.7109375" style="1"/>
  </cols>
  <sheetData>
    <row r="1" spans="1:14" ht="13.5" thickBot="1"/>
    <row r="2" spans="1:14" s="4" customFormat="1" ht="12.75" customHeight="1">
      <c r="B2" s="1450" t="s">
        <v>458</v>
      </c>
      <c r="C2" s="1608"/>
      <c r="D2" s="1454"/>
      <c r="E2" s="1486"/>
      <c r="F2" s="218"/>
      <c r="G2" s="137"/>
      <c r="H2" s="836"/>
      <c r="I2" s="160"/>
      <c r="J2" s="160"/>
      <c r="K2" s="160"/>
      <c r="L2" s="9"/>
      <c r="M2" s="217"/>
      <c r="N2" s="217"/>
    </row>
    <row r="3" spans="1:14" s="4" customFormat="1" ht="15" customHeight="1">
      <c r="B3" s="1452"/>
      <c r="C3" s="1609"/>
      <c r="D3" s="2108"/>
      <c r="E3" s="2110"/>
      <c r="F3" s="218"/>
      <c r="G3" s="9"/>
      <c r="H3" s="9"/>
      <c r="I3" s="9"/>
      <c r="J3" s="9"/>
      <c r="K3" s="9"/>
      <c r="L3" s="9"/>
      <c r="M3" s="217"/>
      <c r="N3" s="217"/>
    </row>
    <row r="4" spans="1:14" ht="15" customHeight="1" thickBot="1">
      <c r="B4" s="1484" t="str">
        <f>'General Overview'!G15</f>
        <v/>
      </c>
      <c r="C4" s="1610"/>
      <c r="D4" s="6" t="s">
        <v>99</v>
      </c>
      <c r="E4" s="85" t="s">
        <v>125</v>
      </c>
      <c r="G4" s="9"/>
      <c r="H4" s="9"/>
      <c r="I4" s="9"/>
      <c r="J4" s="9"/>
      <c r="K4" s="9"/>
      <c r="L4" s="9"/>
      <c r="M4" s="217"/>
      <c r="N4" s="217"/>
    </row>
    <row r="5" spans="1:14" s="3" customFormat="1" ht="15" customHeight="1">
      <c r="A5" s="1"/>
      <c r="B5" s="130" t="s">
        <v>243</v>
      </c>
      <c r="C5" s="366"/>
      <c r="D5" s="1425"/>
      <c r="E5" s="1427"/>
      <c r="F5" s="217"/>
      <c r="G5" s="9"/>
      <c r="H5" s="9"/>
      <c r="I5" s="9"/>
      <c r="J5" s="9"/>
      <c r="K5" s="9"/>
      <c r="L5" s="9"/>
      <c r="M5" s="217"/>
      <c r="N5" s="217"/>
    </row>
    <row r="6" spans="1:14" s="3" customFormat="1" ht="15" customHeight="1" thickBot="1">
      <c r="A6" s="1"/>
      <c r="B6" s="222"/>
      <c r="C6" s="367" t="s">
        <v>464</v>
      </c>
      <c r="D6" s="2114"/>
      <c r="E6" s="2115"/>
      <c r="F6" s="377">
        <f>D6</f>
        <v>0</v>
      </c>
      <c r="G6" s="9"/>
      <c r="H6" s="9"/>
      <c r="I6" s="9"/>
      <c r="J6" s="9"/>
      <c r="K6" s="9"/>
      <c r="L6" s="9"/>
      <c r="M6" s="217"/>
      <c r="N6" s="217"/>
    </row>
    <row r="7" spans="1:14" s="3" customFormat="1" ht="15" customHeight="1" thickBot="1">
      <c r="A7" s="1"/>
      <c r="B7" s="1"/>
      <c r="C7" s="4"/>
      <c r="D7" s="1"/>
      <c r="E7" s="1"/>
      <c r="F7" s="217"/>
      <c r="G7" s="9"/>
      <c r="H7" s="9"/>
      <c r="I7" s="9"/>
      <c r="J7" s="9"/>
      <c r="K7" s="9"/>
      <c r="L7" s="9"/>
      <c r="M7" s="217"/>
      <c r="N7" s="217"/>
    </row>
    <row r="8" spans="1:14" s="3" customFormat="1" ht="15" customHeight="1">
      <c r="A8" s="1"/>
      <c r="B8" s="16" t="s">
        <v>470</v>
      </c>
      <c r="C8" s="87"/>
      <c r="D8" s="1425"/>
      <c r="E8" s="1427"/>
      <c r="F8" s="217"/>
      <c r="G8" s="9"/>
      <c r="H8" s="9"/>
      <c r="I8" s="9"/>
      <c r="J8" s="9"/>
      <c r="K8" s="9"/>
      <c r="L8" s="9"/>
      <c r="M8" s="217"/>
      <c r="N8" s="217"/>
    </row>
    <row r="9" spans="1:14" s="3" customFormat="1" ht="15" customHeight="1">
      <c r="A9" s="1"/>
      <c r="B9" s="10"/>
      <c r="C9" s="45" t="s">
        <v>21</v>
      </c>
      <c r="D9" s="2112"/>
      <c r="E9" s="2113"/>
      <c r="F9" s="377"/>
      <c r="G9" s="9"/>
      <c r="H9" s="9"/>
      <c r="I9" s="9"/>
      <c r="J9" s="9"/>
      <c r="K9" s="9"/>
      <c r="L9" s="9"/>
      <c r="M9" s="217"/>
      <c r="N9" s="217"/>
    </row>
    <row r="10" spans="1:14" s="3" customFormat="1" ht="15" customHeight="1">
      <c r="A10" s="1"/>
      <c r="B10" s="10"/>
      <c r="C10" s="45" t="s">
        <v>2556</v>
      </c>
      <c r="D10" s="939"/>
      <c r="E10" s="234">
        <f>D10</f>
        <v>0</v>
      </c>
      <c r="F10" s="217"/>
      <c r="G10" s="9"/>
      <c r="H10" s="9"/>
      <c r="I10" s="629"/>
      <c r="J10" s="9"/>
      <c r="K10" s="629"/>
      <c r="L10" s="629"/>
    </row>
    <row r="11" spans="1:14" s="3" customFormat="1" ht="15" customHeight="1">
      <c r="A11" s="1"/>
      <c r="B11" s="10"/>
      <c r="C11" s="45" t="s">
        <v>2561</v>
      </c>
      <c r="D11" s="23"/>
      <c r="E11" s="516"/>
      <c r="F11" s="217"/>
      <c r="G11" s="9"/>
      <c r="H11" s="9"/>
      <c r="I11" s="629"/>
      <c r="J11" s="9"/>
      <c r="K11" s="629"/>
      <c r="L11" s="629"/>
    </row>
    <row r="12" spans="1:14" s="3" customFormat="1" ht="15" customHeight="1">
      <c r="A12" s="1"/>
      <c r="B12" s="10"/>
      <c r="C12" s="1089" t="s">
        <v>2562</v>
      </c>
      <c r="D12" s="939"/>
      <c r="E12" s="234">
        <f>D12</f>
        <v>0</v>
      </c>
      <c r="F12" s="217"/>
      <c r="G12" s="217"/>
      <c r="H12" s="217"/>
      <c r="I12" s="219"/>
      <c r="J12" s="217"/>
      <c r="K12" s="219"/>
    </row>
    <row r="13" spans="1:14" s="3" customFormat="1" ht="15" customHeight="1">
      <c r="A13" s="1"/>
      <c r="B13" s="10"/>
      <c r="C13" s="225" t="s">
        <v>2563</v>
      </c>
      <c r="D13" s="939"/>
      <c r="E13" s="234">
        <f>D13</f>
        <v>0</v>
      </c>
      <c r="F13" s="217"/>
      <c r="G13" s="217"/>
      <c r="H13" s="217"/>
      <c r="I13" s="219"/>
      <c r="J13" s="217"/>
      <c r="K13" s="219"/>
    </row>
    <row r="14" spans="1:14" s="3" customFormat="1" ht="15" customHeight="1">
      <c r="A14" s="1"/>
      <c r="B14" s="10"/>
      <c r="C14" s="225" t="s">
        <v>473</v>
      </c>
      <c r="D14" s="939"/>
      <c r="E14" s="234" t="str">
        <f>IF(D14="","",IF(D14&lt;&gt;"Other","Pass","Fail"))</f>
        <v/>
      </c>
      <c r="F14" s="217"/>
      <c r="G14" s="217"/>
      <c r="H14" s="217"/>
      <c r="I14" s="219"/>
      <c r="J14" s="217"/>
      <c r="K14" s="219"/>
    </row>
    <row r="15" spans="1:14" s="5" customFormat="1" ht="15" customHeight="1">
      <c r="A15" s="4"/>
      <c r="B15" s="1103"/>
      <c r="C15" s="742" t="s">
        <v>2564</v>
      </c>
      <c r="D15" s="2146">
        <f>IF(COUNTIFS(E10:E14,"Pass")=4,0.5,0)</f>
        <v>0</v>
      </c>
      <c r="E15" s="2147"/>
      <c r="F15" s="218"/>
      <c r="G15" s="218"/>
      <c r="H15" s="218"/>
      <c r="I15" s="376"/>
      <c r="J15" s="218"/>
      <c r="K15" s="376"/>
    </row>
    <row r="16" spans="1:14" s="3" customFormat="1" ht="15" customHeight="1">
      <c r="A16" s="1"/>
      <c r="B16" s="8"/>
      <c r="C16" s="224" t="s">
        <v>2535</v>
      </c>
      <c r="D16" s="1336"/>
      <c r="E16" s="1337"/>
      <c r="F16" s="217"/>
      <c r="G16" s="217"/>
      <c r="H16" s="217"/>
      <c r="I16" s="219"/>
      <c r="J16" s="217"/>
      <c r="K16" s="219"/>
    </row>
    <row r="17" spans="1:11" s="3" customFormat="1" ht="15" customHeight="1">
      <c r="A17" s="1"/>
      <c r="B17" s="10"/>
      <c r="C17" s="24" t="s">
        <v>608</v>
      </c>
      <c r="D17" s="939"/>
      <c r="E17" s="649">
        <f>IF(D17="Pass",2,0)</f>
        <v>0</v>
      </c>
      <c r="F17" s="217"/>
      <c r="G17" s="217"/>
      <c r="H17" s="217"/>
      <c r="I17" s="219"/>
      <c r="J17" s="217"/>
      <c r="K17" s="219"/>
    </row>
    <row r="18" spans="1:11" s="3" customFormat="1" ht="15" customHeight="1">
      <c r="A18" s="1"/>
      <c r="B18" s="10"/>
      <c r="C18" s="24" t="s">
        <v>609</v>
      </c>
      <c r="D18" s="939"/>
      <c r="E18" s="649">
        <f>IF(D18="Pass",2,0)</f>
        <v>0</v>
      </c>
      <c r="F18" s="217"/>
      <c r="G18" s="217"/>
      <c r="H18" s="217"/>
      <c r="I18" s="219"/>
      <c r="J18" s="217"/>
      <c r="K18" s="219"/>
    </row>
    <row r="19" spans="1:11" s="3" customFormat="1" ht="15" customHeight="1">
      <c r="A19" s="1"/>
      <c r="B19" s="10"/>
      <c r="C19" s="24" t="s">
        <v>610</v>
      </c>
      <c r="D19" s="939"/>
      <c r="E19" s="649">
        <f>IF(D19="Pass",3,0)</f>
        <v>0</v>
      </c>
      <c r="F19" s="217"/>
      <c r="G19" s="217"/>
      <c r="H19" s="217"/>
      <c r="I19" s="219"/>
      <c r="J19" s="217"/>
      <c r="K19" s="219"/>
    </row>
    <row r="20" spans="1:11" s="3" customFormat="1" ht="15" customHeight="1">
      <c r="A20" s="1"/>
      <c r="B20" s="10"/>
      <c r="C20" s="24" t="s">
        <v>615</v>
      </c>
      <c r="D20" s="939"/>
      <c r="E20" s="649">
        <f>IF(D20="Pass",1,0)</f>
        <v>0</v>
      </c>
      <c r="F20" s="217"/>
      <c r="G20" s="217"/>
      <c r="H20" s="217"/>
      <c r="I20" s="219"/>
      <c r="J20" s="217"/>
      <c r="K20" s="219"/>
    </row>
    <row r="21" spans="1:11" s="3" customFormat="1" ht="15" customHeight="1">
      <c r="A21" s="1"/>
      <c r="B21" s="10"/>
      <c r="C21" s="24" t="s">
        <v>611</v>
      </c>
      <c r="D21" s="939"/>
      <c r="E21" s="649">
        <f>IF(D21="Pass",1,0)</f>
        <v>0</v>
      </c>
      <c r="F21" s="217"/>
      <c r="G21" s="217"/>
      <c r="H21" s="217"/>
      <c r="I21" s="219"/>
      <c r="J21" s="217"/>
      <c r="K21" s="219"/>
    </row>
    <row r="22" spans="1:11" s="3" customFormat="1" ht="15" customHeight="1">
      <c r="A22" s="1"/>
      <c r="B22" s="10"/>
      <c r="C22" s="24" t="s">
        <v>616</v>
      </c>
      <c r="D22" s="939"/>
      <c r="E22" s="649">
        <f>IF(D22="Pass",1,0)</f>
        <v>0</v>
      </c>
      <c r="F22" s="217"/>
      <c r="G22" s="217"/>
      <c r="H22" s="217"/>
      <c r="I22" s="219"/>
      <c r="J22" s="217"/>
      <c r="K22" s="219"/>
    </row>
    <row r="23" spans="1:11" s="3" customFormat="1" ht="15" customHeight="1">
      <c r="A23" s="1"/>
      <c r="B23" s="10"/>
      <c r="C23" s="24" t="s">
        <v>612</v>
      </c>
      <c r="D23" s="939"/>
      <c r="E23" s="649">
        <f>IF(D23="Pass",2,0)</f>
        <v>0</v>
      </c>
      <c r="F23" s="217"/>
      <c r="G23" s="217"/>
      <c r="H23" s="217"/>
      <c r="I23" s="219"/>
      <c r="J23" s="217"/>
      <c r="K23" s="219"/>
    </row>
    <row r="24" spans="1:11" s="3" customFormat="1" ht="15" customHeight="1">
      <c r="A24" s="1"/>
      <c r="B24" s="10"/>
      <c r="C24" s="24" t="s">
        <v>613</v>
      </c>
      <c r="D24" s="939"/>
      <c r="E24" s="649">
        <f>IF(D24="Pass",3,0)</f>
        <v>0</v>
      </c>
      <c r="F24" s="217"/>
      <c r="G24" s="217"/>
      <c r="H24" s="217"/>
      <c r="I24" s="219"/>
      <c r="J24" s="217"/>
      <c r="K24" s="219"/>
    </row>
    <row r="25" spans="1:11" s="3" customFormat="1" ht="15" customHeight="1">
      <c r="A25" s="1"/>
      <c r="B25" s="10"/>
      <c r="C25" s="24" t="s">
        <v>614</v>
      </c>
      <c r="D25" s="939"/>
      <c r="E25" s="649">
        <f>IF(D25="Pass",2,0)</f>
        <v>0</v>
      </c>
      <c r="F25" s="217"/>
      <c r="G25" s="217"/>
      <c r="H25" s="217"/>
      <c r="I25" s="219"/>
      <c r="J25" s="217"/>
      <c r="K25" s="219"/>
    </row>
    <row r="26" spans="1:11" s="3" customFormat="1" ht="15" customHeight="1">
      <c r="A26" s="1"/>
      <c r="B26" s="10"/>
      <c r="C26" s="24" t="s">
        <v>617</v>
      </c>
      <c r="D26" s="939"/>
      <c r="E26" s="649">
        <f>IF(D26="Pass",3,0)</f>
        <v>0</v>
      </c>
      <c r="F26" s="217"/>
      <c r="G26" s="738"/>
      <c r="H26" s="217"/>
      <c r="I26" s="219"/>
      <c r="J26" s="217"/>
      <c r="K26" s="219"/>
    </row>
    <row r="27" spans="1:11" s="3" customFormat="1" ht="15" customHeight="1">
      <c r="A27" s="1"/>
      <c r="B27" s="740"/>
      <c r="C27" s="1104" t="s">
        <v>2557</v>
      </c>
      <c r="D27" s="739"/>
      <c r="E27" s="1028">
        <f>SUM(E17:E26)</f>
        <v>0</v>
      </c>
      <c r="F27" s="217"/>
      <c r="G27" s="738"/>
      <c r="H27" s="217"/>
      <c r="I27" s="219"/>
      <c r="J27" s="217"/>
      <c r="K27" s="219"/>
    </row>
    <row r="28" spans="1:11" s="3" customFormat="1" ht="15" customHeight="1">
      <c r="A28" s="1"/>
      <c r="B28" s="10"/>
      <c r="C28" s="224" t="s">
        <v>2536</v>
      </c>
      <c r="D28" s="362"/>
      <c r="E28" s="516"/>
      <c r="F28" s="217"/>
      <c r="G28" s="217"/>
      <c r="H28" s="217"/>
      <c r="I28" s="219"/>
      <c r="J28" s="217"/>
      <c r="K28" s="219"/>
    </row>
    <row r="29" spans="1:11" s="3" customFormat="1" ht="15" customHeight="1">
      <c r="A29" s="1"/>
      <c r="B29" s="10"/>
      <c r="C29" s="24" t="s">
        <v>2537</v>
      </c>
      <c r="D29" s="939"/>
      <c r="E29" s="649">
        <f>IF(AND(D29="Pass",IF(LEFT(D$55,1)="I",1,0)=1),2,0)</f>
        <v>0</v>
      </c>
      <c r="F29" s="217"/>
      <c r="G29" s="217"/>
      <c r="H29" s="217"/>
      <c r="I29" s="219"/>
      <c r="J29" s="217"/>
      <c r="K29" s="219"/>
    </row>
    <row r="30" spans="1:11" s="3" customFormat="1" ht="15" customHeight="1">
      <c r="A30" s="1"/>
      <c r="B30" s="10"/>
      <c r="C30" s="24" t="s">
        <v>2538</v>
      </c>
      <c r="D30" s="939"/>
      <c r="E30" s="649">
        <f>IF(AND(D30="Pass",IF(LEFT(D$55,1)="I",1,0)=1),2,0)</f>
        <v>0</v>
      </c>
      <c r="F30" s="217"/>
      <c r="G30" s="217"/>
      <c r="H30" s="217"/>
      <c r="I30" s="219"/>
      <c r="J30" s="217"/>
      <c r="K30" s="219"/>
    </row>
    <row r="31" spans="1:11" s="3" customFormat="1" ht="15" customHeight="1">
      <c r="A31" s="1"/>
      <c r="B31" s="10"/>
      <c r="C31" s="24" t="s">
        <v>2539</v>
      </c>
      <c r="D31" s="939"/>
      <c r="E31" s="649">
        <f>IF(AND(D31="Pass",IF(LEFT(D$55,1)="I",1,0)=1),1,0)</f>
        <v>0</v>
      </c>
      <c r="F31" s="217"/>
      <c r="G31" s="217"/>
      <c r="H31" s="217"/>
      <c r="I31" s="219"/>
      <c r="J31" s="217"/>
      <c r="K31" s="219"/>
    </row>
    <row r="32" spans="1:11" s="3" customFormat="1" ht="15" customHeight="1">
      <c r="A32" s="1"/>
      <c r="B32" s="10"/>
      <c r="C32" s="24" t="s">
        <v>2540</v>
      </c>
      <c r="D32" s="939"/>
      <c r="E32" s="649">
        <f>IF(D32="Pass",2,0)</f>
        <v>0</v>
      </c>
      <c r="F32" s="217"/>
      <c r="G32" s="217"/>
      <c r="H32" s="217"/>
      <c r="I32" s="219"/>
      <c r="J32" s="217"/>
      <c r="K32" s="219"/>
    </row>
    <row r="33" spans="1:11" s="3" customFormat="1" ht="15" customHeight="1">
      <c r="A33" s="1"/>
      <c r="B33" s="10"/>
      <c r="C33" s="24" t="s">
        <v>2541</v>
      </c>
      <c r="D33" s="939"/>
      <c r="E33" s="649">
        <f>IF(D33="Pass",1,0)</f>
        <v>0</v>
      </c>
      <c r="F33" s="217"/>
      <c r="G33" s="217"/>
      <c r="H33" s="217"/>
      <c r="I33" s="219"/>
      <c r="J33" s="217"/>
      <c r="K33" s="219"/>
    </row>
    <row r="34" spans="1:11" s="3" customFormat="1" ht="15" customHeight="1">
      <c r="A34" s="1"/>
      <c r="B34" s="10"/>
      <c r="C34" s="24" t="s">
        <v>2542</v>
      </c>
      <c r="D34" s="939"/>
      <c r="E34" s="649">
        <f>IF(D34="Pass",1,0)</f>
        <v>0</v>
      </c>
      <c r="F34" s="217"/>
      <c r="G34" s="217"/>
      <c r="H34" s="217"/>
      <c r="I34" s="219"/>
      <c r="J34" s="217"/>
      <c r="K34" s="219"/>
    </row>
    <row r="35" spans="1:11" s="3" customFormat="1" ht="15" customHeight="1">
      <c r="A35" s="1"/>
      <c r="B35" s="10"/>
      <c r="C35" s="24" t="s">
        <v>2543</v>
      </c>
      <c r="D35" s="939"/>
      <c r="E35" s="649">
        <f>IF(D35="Pass",1,0)</f>
        <v>0</v>
      </c>
      <c r="F35" s="217"/>
      <c r="G35" s="738"/>
      <c r="H35" s="217"/>
      <c r="I35" s="219"/>
      <c r="J35" s="217"/>
      <c r="K35" s="219"/>
    </row>
    <row r="36" spans="1:11" s="3" customFormat="1" ht="15" customHeight="1">
      <c r="A36" s="1"/>
      <c r="B36" s="740"/>
      <c r="C36" s="1104" t="s">
        <v>2558</v>
      </c>
      <c r="D36" s="739"/>
      <c r="E36" s="1028">
        <f>SUM(E29:E35)</f>
        <v>0</v>
      </c>
      <c r="F36" s="217"/>
      <c r="G36" s="738"/>
      <c r="H36" s="217"/>
      <c r="I36" s="219"/>
      <c r="J36" s="217"/>
      <c r="K36" s="219"/>
    </row>
    <row r="37" spans="1:11" s="3" customFormat="1" ht="15" customHeight="1">
      <c r="A37" s="1"/>
      <c r="B37" s="10"/>
      <c r="C37" s="224" t="s">
        <v>2544</v>
      </c>
      <c r="D37" s="362"/>
      <c r="E37" s="516"/>
      <c r="F37" s="217"/>
      <c r="G37" s="217"/>
      <c r="H37" s="217"/>
      <c r="I37" s="219"/>
      <c r="J37" s="217"/>
      <c r="K37" s="219"/>
    </row>
    <row r="38" spans="1:11" s="3" customFormat="1" ht="15" customHeight="1">
      <c r="A38" s="1"/>
      <c r="B38" s="10"/>
      <c r="C38" s="1105" t="s">
        <v>2545</v>
      </c>
      <c r="D38" s="939"/>
      <c r="E38" s="649">
        <f>IF(D38="Pass",2,0)</f>
        <v>0</v>
      </c>
      <c r="F38" s="217"/>
      <c r="G38" s="217"/>
      <c r="H38" s="217"/>
      <c r="I38" s="219"/>
      <c r="J38" s="217"/>
      <c r="K38" s="219"/>
    </row>
    <row r="39" spans="1:11" s="3" customFormat="1" ht="15" customHeight="1">
      <c r="A39" s="1"/>
      <c r="B39" s="10"/>
      <c r="C39" s="1105" t="s">
        <v>2546</v>
      </c>
      <c r="D39" s="939"/>
      <c r="E39" s="649">
        <f>IF(D39="Pass",1,0)</f>
        <v>0</v>
      </c>
      <c r="F39" s="217"/>
      <c r="G39" s="217"/>
      <c r="H39" s="217"/>
      <c r="I39" s="219"/>
      <c r="J39" s="217"/>
      <c r="K39" s="219"/>
    </row>
    <row r="40" spans="1:11" s="3" customFormat="1" ht="15" customHeight="1">
      <c r="A40" s="1"/>
      <c r="B40" s="10"/>
      <c r="C40" s="1105" t="s">
        <v>2547</v>
      </c>
      <c r="D40" s="939"/>
      <c r="E40" s="649">
        <f t="shared" ref="E40:E46" si="0">IF(D40="Pass",1,0)</f>
        <v>0</v>
      </c>
      <c r="F40" s="217"/>
      <c r="G40" s="217"/>
      <c r="H40" s="217"/>
      <c r="I40" s="219"/>
      <c r="J40" s="217"/>
      <c r="K40" s="219"/>
    </row>
    <row r="41" spans="1:11" s="3" customFormat="1" ht="15" customHeight="1">
      <c r="A41" s="1"/>
      <c r="B41" s="10"/>
      <c r="C41" s="1105" t="s">
        <v>2548</v>
      </c>
      <c r="D41" s="939"/>
      <c r="E41" s="649">
        <f t="shared" si="0"/>
        <v>0</v>
      </c>
      <c r="F41" s="217"/>
      <c r="G41" s="217"/>
      <c r="H41" s="217"/>
      <c r="I41" s="219"/>
      <c r="J41" s="217"/>
      <c r="K41" s="219"/>
    </row>
    <row r="42" spans="1:11" s="3" customFormat="1" ht="15" customHeight="1">
      <c r="A42" s="1"/>
      <c r="B42" s="10"/>
      <c r="C42" s="1105" t="s">
        <v>2549</v>
      </c>
      <c r="D42" s="939"/>
      <c r="E42" s="649">
        <f t="shared" si="0"/>
        <v>0</v>
      </c>
      <c r="F42" s="217"/>
      <c r="G42" s="217"/>
      <c r="H42" s="217"/>
      <c r="I42" s="219"/>
      <c r="J42" s="217"/>
      <c r="K42" s="219"/>
    </row>
    <row r="43" spans="1:11" s="3" customFormat="1" ht="15" customHeight="1">
      <c r="A43" s="1"/>
      <c r="B43" s="10"/>
      <c r="C43" s="1105" t="s">
        <v>2550</v>
      </c>
      <c r="D43" s="939"/>
      <c r="E43" s="649">
        <f t="shared" si="0"/>
        <v>0</v>
      </c>
      <c r="F43" s="217"/>
      <c r="G43" s="217"/>
      <c r="H43" s="217"/>
      <c r="I43" s="219"/>
      <c r="J43" s="217"/>
      <c r="K43" s="219"/>
    </row>
    <row r="44" spans="1:11" s="3" customFormat="1" ht="15" customHeight="1">
      <c r="A44" s="1"/>
      <c r="B44" s="10"/>
      <c r="C44" s="1105" t="s">
        <v>2551</v>
      </c>
      <c r="D44" s="939"/>
      <c r="E44" s="649">
        <f t="shared" si="0"/>
        <v>0</v>
      </c>
      <c r="F44" s="217"/>
      <c r="G44" s="217"/>
      <c r="H44" s="217"/>
      <c r="I44" s="219"/>
      <c r="J44" s="217"/>
      <c r="K44" s="219"/>
    </row>
    <row r="45" spans="1:11" s="3" customFormat="1" ht="15" customHeight="1">
      <c r="A45" s="1"/>
      <c r="B45" s="10"/>
      <c r="C45" s="1105" t="s">
        <v>2552</v>
      </c>
      <c r="D45" s="939"/>
      <c r="E45" s="649">
        <f t="shared" si="0"/>
        <v>0</v>
      </c>
      <c r="F45" s="217"/>
      <c r="G45" s="217"/>
      <c r="H45" s="217"/>
      <c r="I45" s="219"/>
      <c r="J45" s="217"/>
      <c r="K45" s="219"/>
    </row>
    <row r="46" spans="1:11" s="3" customFormat="1" ht="15" customHeight="1">
      <c r="A46" s="1"/>
      <c r="B46" s="10"/>
      <c r="C46" s="1105" t="s">
        <v>2553</v>
      </c>
      <c r="D46" s="939"/>
      <c r="E46" s="649">
        <f t="shared" si="0"/>
        <v>0</v>
      </c>
      <c r="F46" s="217"/>
      <c r="G46" s="217"/>
      <c r="H46" s="217"/>
      <c r="I46" s="219"/>
      <c r="J46" s="217"/>
      <c r="K46" s="219"/>
    </row>
    <row r="47" spans="1:11" s="3" customFormat="1" ht="15" customHeight="1">
      <c r="A47" s="1"/>
      <c r="B47" s="740"/>
      <c r="C47" s="1106" t="s">
        <v>2559</v>
      </c>
      <c r="D47" s="739"/>
      <c r="E47" s="1028">
        <f>SUM(E38:E46)</f>
        <v>0</v>
      </c>
      <c r="F47" s="217"/>
      <c r="G47" s="217"/>
      <c r="H47" s="217"/>
      <c r="I47" s="219"/>
      <c r="J47" s="217"/>
      <c r="K47" s="219"/>
    </row>
    <row r="48" spans="1:11" s="3" customFormat="1" ht="15" customHeight="1">
      <c r="A48" s="1"/>
      <c r="B48" s="10"/>
      <c r="C48" s="224" t="s">
        <v>2554</v>
      </c>
      <c r="D48" s="362"/>
      <c r="E48" s="516"/>
      <c r="F48" s="217"/>
      <c r="G48" s="217"/>
      <c r="H48" s="217"/>
      <c r="I48" s="219"/>
      <c r="J48" s="217"/>
      <c r="K48" s="219"/>
    </row>
    <row r="49" spans="1:14" s="3" customFormat="1" ht="15" customHeight="1">
      <c r="A49" s="1"/>
      <c r="B49" s="10"/>
      <c r="C49" s="224"/>
      <c r="D49" s="939"/>
      <c r="E49" s="649">
        <f>IF(D49="Quarterly",5,IF(D49="Continuous",10,0))</f>
        <v>0</v>
      </c>
      <c r="F49" s="217"/>
      <c r="G49" s="217"/>
      <c r="H49" s="217"/>
      <c r="I49" s="219"/>
      <c r="J49" s="217"/>
      <c r="K49" s="219"/>
    </row>
    <row r="50" spans="1:14" s="3" customFormat="1" ht="15" customHeight="1">
      <c r="A50" s="1"/>
      <c r="B50" s="740"/>
      <c r="C50" s="1106" t="s">
        <v>2560</v>
      </c>
      <c r="D50" s="739"/>
      <c r="E50" s="1028">
        <f>E49</f>
        <v>0</v>
      </c>
      <c r="F50" s="217"/>
      <c r="G50" s="217"/>
      <c r="H50" s="217"/>
      <c r="I50" s="219"/>
      <c r="J50" s="217"/>
      <c r="K50" s="219"/>
    </row>
    <row r="51" spans="1:14" s="3" customFormat="1" ht="15" customHeight="1" thickBot="1">
      <c r="A51" s="1"/>
      <c r="B51" s="10"/>
      <c r="C51" s="1105"/>
      <c r="D51" s="362"/>
      <c r="E51" s="516"/>
      <c r="F51" s="217"/>
      <c r="G51" s="217"/>
      <c r="H51" s="217"/>
      <c r="I51" s="219"/>
      <c r="J51" s="217"/>
      <c r="K51" s="219"/>
    </row>
    <row r="52" spans="1:14" s="3" customFormat="1" ht="15" customHeight="1" thickBot="1">
      <c r="A52" s="1"/>
      <c r="B52" s="1395" t="s">
        <v>471</v>
      </c>
      <c r="C52" s="1403"/>
      <c r="D52" s="1416">
        <f>IF(D15=0,0,D15+E27*(0.25/20)+E36*(0.25/10)+E47*(0.25/10)+E50*(0.25/10))</f>
        <v>0</v>
      </c>
      <c r="E52" s="1419"/>
      <c r="F52" s="217"/>
      <c r="G52" s="9"/>
      <c r="H52" s="9"/>
      <c r="I52" s="629"/>
      <c r="J52" s="9"/>
      <c r="K52" s="629"/>
      <c r="L52" s="629"/>
      <c r="M52" s="629"/>
      <c r="N52" s="629"/>
    </row>
    <row r="53" spans="1:14" s="3" customFormat="1" ht="15" customHeight="1" thickBot="1">
      <c r="A53" s="1"/>
      <c r="B53" s="1"/>
      <c r="C53" s="4"/>
      <c r="D53" s="1"/>
      <c r="E53" s="1"/>
      <c r="F53" s="217"/>
      <c r="G53" s="9"/>
      <c r="H53" s="24"/>
      <c r="I53" s="629"/>
      <c r="J53" s="9"/>
      <c r="K53" s="629"/>
      <c r="L53" s="629"/>
      <c r="M53" s="629"/>
      <c r="N53" s="629"/>
    </row>
    <row r="54" spans="1:14" s="3" customFormat="1" ht="15" customHeight="1">
      <c r="A54" s="1"/>
      <c r="B54" s="16" t="s">
        <v>618</v>
      </c>
      <c r="C54" s="87"/>
      <c r="D54" s="1425"/>
      <c r="E54" s="1427"/>
      <c r="F54" s="217"/>
      <c r="G54" s="629"/>
      <c r="H54" s="9"/>
      <c r="I54" s="629"/>
      <c r="J54" s="9"/>
      <c r="K54" s="629"/>
      <c r="L54" s="629"/>
      <c r="M54" s="629"/>
      <c r="N54" s="629"/>
    </row>
    <row r="55" spans="1:14" s="3" customFormat="1" ht="15" customHeight="1">
      <c r="A55" s="1"/>
      <c r="B55" s="8"/>
      <c r="C55" s="224" t="s">
        <v>2565</v>
      </c>
      <c r="D55" s="2112"/>
      <c r="E55" s="2113"/>
      <c r="F55" s="156"/>
      <c r="G55" s="9"/>
      <c r="H55" s="9"/>
      <c r="I55" s="629"/>
      <c r="J55" s="9"/>
      <c r="K55" s="629"/>
      <c r="L55" s="629"/>
      <c r="M55" s="629"/>
      <c r="N55" s="629"/>
    </row>
    <row r="56" spans="1:14" s="3" customFormat="1" ht="15" customHeight="1">
      <c r="A56" s="1"/>
      <c r="B56" s="8"/>
      <c r="C56" s="224" t="s">
        <v>2555</v>
      </c>
      <c r="D56" s="1336"/>
      <c r="E56" s="1337"/>
      <c r="F56" s="217"/>
      <c r="G56" s="9"/>
      <c r="H56" s="9"/>
      <c r="I56" s="629"/>
      <c r="J56" s="9"/>
      <c r="K56" s="629"/>
      <c r="L56" s="629"/>
      <c r="M56" s="629"/>
      <c r="N56" s="629"/>
    </row>
    <row r="57" spans="1:14" s="3" customFormat="1" ht="15" customHeight="1">
      <c r="A57" s="1"/>
      <c r="B57" s="8"/>
      <c r="C57" s="509" t="s">
        <v>474</v>
      </c>
      <c r="D57" s="1336"/>
      <c r="E57" s="1337"/>
      <c r="F57" s="217"/>
      <c r="G57" s="9"/>
      <c r="H57" s="9"/>
      <c r="I57" s="629"/>
      <c r="J57" s="9"/>
      <c r="K57" s="629"/>
      <c r="L57" s="629"/>
      <c r="M57" s="629"/>
      <c r="N57" s="629"/>
    </row>
    <row r="58" spans="1:14" s="3" customFormat="1" ht="15" customHeight="1">
      <c r="A58" s="1"/>
      <c r="B58" s="8"/>
      <c r="C58" s="225" t="s">
        <v>477</v>
      </c>
      <c r="D58" s="987"/>
      <c r="E58" s="234" t="str">
        <f>IF(AND(D58&lt;&gt;"",D58&gt;=45),"Pass","Fail")</f>
        <v>Fail</v>
      </c>
      <c r="F58" s="217"/>
      <c r="G58" s="9"/>
      <c r="H58" s="9"/>
      <c r="I58" s="629"/>
      <c r="J58" s="9"/>
      <c r="K58" s="629"/>
      <c r="L58" s="629"/>
      <c r="M58" s="629"/>
      <c r="N58" s="629"/>
    </row>
    <row r="59" spans="1:14" s="3" customFormat="1" ht="15" customHeight="1">
      <c r="A59" s="1"/>
      <c r="B59" s="8"/>
      <c r="C59" s="225" t="s">
        <v>583</v>
      </c>
      <c r="D59" s="362" t="str">
        <f>IF(D58="","",50-D58)</f>
        <v/>
      </c>
      <c r="E59" s="234"/>
      <c r="F59" s="217"/>
      <c r="G59" s="9"/>
      <c r="H59" s="9"/>
      <c r="I59" s="629"/>
      <c r="J59" s="9"/>
      <c r="K59" s="629"/>
      <c r="L59" s="629"/>
      <c r="M59" s="629"/>
      <c r="N59" s="629"/>
    </row>
    <row r="60" spans="1:14" s="3" customFormat="1" ht="15" customHeight="1">
      <c r="A60" s="1"/>
      <c r="B60" s="8"/>
      <c r="C60" s="509" t="s">
        <v>475</v>
      </c>
      <c r="D60" s="23"/>
      <c r="E60" s="11"/>
      <c r="F60" s="217"/>
      <c r="G60" s="9"/>
      <c r="H60" s="9"/>
      <c r="I60" s="629"/>
      <c r="J60" s="9"/>
      <c r="K60" s="629"/>
      <c r="L60" s="629"/>
      <c r="M60" s="629"/>
      <c r="N60" s="629"/>
    </row>
    <row r="61" spans="1:14" s="3" customFormat="1" ht="15" customHeight="1">
      <c r="A61" s="1"/>
      <c r="B61" s="8"/>
      <c r="C61" s="225" t="s">
        <v>477</v>
      </c>
      <c r="D61" s="987"/>
      <c r="E61" s="234" t="str">
        <f>IF(AND(D61&lt;&gt;"",D61&gt;=75),"Pass","Fail")</f>
        <v>Fail</v>
      </c>
      <c r="F61" s="217"/>
      <c r="G61" s="9"/>
      <c r="H61" s="9"/>
      <c r="I61" s="629"/>
      <c r="J61" s="9"/>
      <c r="K61" s="629"/>
      <c r="L61" s="629"/>
      <c r="M61" s="629"/>
      <c r="N61" s="629"/>
    </row>
    <row r="62" spans="1:14" s="3" customFormat="1" ht="15" customHeight="1">
      <c r="A62" s="1"/>
      <c r="B62" s="8"/>
      <c r="C62" s="225" t="s">
        <v>583</v>
      </c>
      <c r="D62" s="362" t="str">
        <f>IF(D61="","",80-D61)</f>
        <v/>
      </c>
      <c r="E62" s="234"/>
      <c r="F62" s="217"/>
      <c r="G62" s="9"/>
      <c r="H62" s="9"/>
      <c r="I62" s="629"/>
      <c r="J62" s="9"/>
      <c r="K62" s="629"/>
      <c r="L62" s="629"/>
      <c r="M62" s="629"/>
      <c r="N62" s="629"/>
    </row>
    <row r="63" spans="1:14" s="3" customFormat="1" ht="15" customHeight="1">
      <c r="A63" s="1"/>
      <c r="B63" s="8"/>
      <c r="C63" s="509" t="s">
        <v>476</v>
      </c>
      <c r="D63" s="23"/>
      <c r="E63" s="11"/>
      <c r="F63" s="217"/>
      <c r="G63" s="9"/>
      <c r="H63" s="9"/>
      <c r="I63" s="629"/>
      <c r="J63" s="9"/>
      <c r="K63" s="629"/>
      <c r="L63" s="629"/>
      <c r="M63" s="629"/>
      <c r="N63" s="629"/>
    </row>
    <row r="64" spans="1:14" s="3" customFormat="1" ht="15" customHeight="1">
      <c r="A64" s="1"/>
      <c r="B64" s="8"/>
      <c r="C64" s="225" t="s">
        <v>477</v>
      </c>
      <c r="D64" s="987"/>
      <c r="E64" s="234" t="str">
        <f>IF(AND(D64&lt;&gt;"",D64&gt;=115),"Pass","Fail")</f>
        <v>Fail</v>
      </c>
      <c r="F64" s="217"/>
      <c r="G64" s="9"/>
      <c r="H64" s="9"/>
      <c r="I64" s="629"/>
      <c r="J64" s="9"/>
      <c r="K64" s="629"/>
      <c r="L64" s="629"/>
      <c r="M64" s="629"/>
      <c r="N64" s="629"/>
    </row>
    <row r="65" spans="1:14" s="3" customFormat="1" ht="15" customHeight="1" thickBot="1">
      <c r="A65" s="1"/>
      <c r="B65" s="8"/>
      <c r="C65" s="225" t="s">
        <v>583</v>
      </c>
      <c r="D65" s="362" t="str">
        <f>IF(D64="","",120-D64)</f>
        <v/>
      </c>
      <c r="E65" s="234"/>
      <c r="F65" s="217"/>
      <c r="G65" s="9"/>
      <c r="H65" s="9"/>
      <c r="I65" s="629"/>
      <c r="J65" s="9"/>
      <c r="K65" s="629"/>
      <c r="L65" s="629"/>
      <c r="M65" s="629"/>
      <c r="N65" s="629"/>
    </row>
    <row r="66" spans="1:14" s="3" customFormat="1" ht="15" customHeight="1" thickBot="1">
      <c r="A66" s="1"/>
      <c r="B66" s="1395" t="s">
        <v>619</v>
      </c>
      <c r="C66" s="1403"/>
      <c r="D66" s="1416">
        <f>IF(AND(D59&lt;=5,D62&lt;=5,D65&lt;=5),IF(OR(D55="Intelligent Speed Limiter default ON",D55="Intelligent ACC"),1.5,IF(D55="Intelligent Speed Limiter not default ON",1,IF(D55="Speed limitation function",0.5,0))),0)</f>
        <v>0</v>
      </c>
      <c r="E66" s="1419"/>
      <c r="F66" s="217"/>
      <c r="G66" s="9"/>
      <c r="H66" s="629"/>
      <c r="I66" s="629"/>
      <c r="J66" s="629"/>
      <c r="K66" s="629"/>
      <c r="L66" s="629"/>
      <c r="M66" s="629"/>
      <c r="N66" s="629"/>
    </row>
    <row r="67" spans="1:14" s="3" customFormat="1" ht="15" customHeight="1" thickBot="1">
      <c r="A67" s="1"/>
      <c r="B67" s="1"/>
      <c r="C67" s="4"/>
      <c r="D67" s="1"/>
      <c r="E67" s="1"/>
      <c r="F67" s="217"/>
      <c r="G67" s="9"/>
      <c r="H67" s="24"/>
      <c r="I67" s="629"/>
      <c r="J67" s="9"/>
      <c r="K67" s="629"/>
      <c r="L67" s="629"/>
      <c r="M67" s="629"/>
      <c r="N67" s="629"/>
    </row>
    <row r="68" spans="1:14" s="3" customFormat="1" ht="15" customHeight="1" thickBot="1">
      <c r="A68" s="1"/>
      <c r="B68" s="1395" t="s">
        <v>37</v>
      </c>
      <c r="C68" s="1403"/>
      <c r="D68" s="1519"/>
      <c r="E68" s="1628"/>
      <c r="F68" s="217"/>
      <c r="G68" s="9"/>
      <c r="H68" s="9"/>
      <c r="I68" s="629"/>
      <c r="J68" s="9"/>
      <c r="K68" s="629"/>
      <c r="L68" s="629"/>
      <c r="M68" s="629"/>
      <c r="N68" s="629"/>
    </row>
    <row r="69" spans="1:14" s="3" customFormat="1" ht="15" customHeight="1">
      <c r="A69" s="1"/>
      <c r="B69" s="10"/>
      <c r="C69" s="86" t="s">
        <v>472</v>
      </c>
      <c r="D69" s="1512">
        <f>D52</f>
        <v>0</v>
      </c>
      <c r="E69" s="1517"/>
      <c r="F69" s="217"/>
      <c r="G69" s="9"/>
      <c r="H69" s="9"/>
      <c r="I69" s="629"/>
      <c r="J69" s="9"/>
      <c r="K69" s="629"/>
      <c r="L69" s="629"/>
      <c r="M69" s="629"/>
      <c r="N69" s="629"/>
    </row>
    <row r="70" spans="1:14" ht="15" customHeight="1" thickBot="1">
      <c r="B70" s="31"/>
      <c r="C70" s="32" t="s">
        <v>620</v>
      </c>
      <c r="D70" s="1522">
        <f>D66</f>
        <v>0</v>
      </c>
      <c r="E70" s="1532"/>
      <c r="G70" s="9"/>
      <c r="H70" s="9"/>
      <c r="I70" s="629"/>
      <c r="J70" s="9"/>
      <c r="K70" s="9"/>
      <c r="L70" s="9"/>
      <c r="M70" s="9"/>
      <c r="N70" s="9"/>
    </row>
    <row r="71" spans="1:14" ht="15" customHeight="1" thickBot="1">
      <c r="G71" s="9"/>
      <c r="H71" s="9"/>
      <c r="I71" s="629"/>
      <c r="J71" s="9"/>
      <c r="K71" s="9"/>
      <c r="L71" s="9"/>
      <c r="M71" s="9"/>
      <c r="N71" s="9"/>
    </row>
    <row r="72" spans="1:14" ht="21.75" thickBot="1">
      <c r="B72" s="1420" t="s">
        <v>20</v>
      </c>
      <c r="C72" s="1421"/>
      <c r="D72" s="1422">
        <f>ROUND(SUM(D69:E70),Round)</f>
        <v>0</v>
      </c>
      <c r="E72" s="1424"/>
      <c r="F72" s="378"/>
      <c r="G72" s="9"/>
      <c r="H72" s="9"/>
      <c r="I72" s="629"/>
      <c r="J72" s="9"/>
      <c r="K72" s="9"/>
      <c r="L72" s="9"/>
      <c r="M72" s="9"/>
      <c r="N72" s="9"/>
    </row>
  </sheetData>
  <mergeCells count="23">
    <mergeCell ref="D8:E8"/>
    <mergeCell ref="B52:C52"/>
    <mergeCell ref="D52:E52"/>
    <mergeCell ref="B2:C3"/>
    <mergeCell ref="D2:E3"/>
    <mergeCell ref="B4:C4"/>
    <mergeCell ref="D5:E5"/>
    <mergeCell ref="D6:E6"/>
    <mergeCell ref="D9:E9"/>
    <mergeCell ref="D16:E16"/>
    <mergeCell ref="D15:E15"/>
    <mergeCell ref="B72:C72"/>
    <mergeCell ref="D72:E72"/>
    <mergeCell ref="B66:C66"/>
    <mergeCell ref="D66:E66"/>
    <mergeCell ref="D69:E69"/>
    <mergeCell ref="B68:C68"/>
    <mergeCell ref="D68:E68"/>
    <mergeCell ref="D54:E54"/>
    <mergeCell ref="D55:E55"/>
    <mergeCell ref="D70:E70"/>
    <mergeCell ref="D57:E57"/>
    <mergeCell ref="D56:E56"/>
  </mergeCells>
  <phoneticPr fontId="0" type="noConversion"/>
  <dataValidations count="6">
    <dataValidation type="list" allowBlank="1" showInputMessage="1" showErrorMessage="1" sqref="D9" xr:uid="{00000000-0002-0000-1300-000001000000}">
      <formula1>"Camera based,Map based,Camera &amp; Map,N/A"</formula1>
    </dataValidation>
    <dataValidation type="list" allowBlank="1" showInputMessage="1" showErrorMessage="1" sqref="D17:D26 D38:D46 D29:D35 D10" xr:uid="{00000000-0002-0000-1300-000003000000}">
      <formula1>"Pass,Fail,N/A"</formula1>
    </dataValidation>
    <dataValidation type="list" allowBlank="1" showInputMessage="1" showErrorMessage="1" sqref="D14" xr:uid="{00000000-0002-0000-1300-000005000000}">
      <formula1>"Flashing Traffic Sign,Additional signal,Other"</formula1>
    </dataValidation>
    <dataValidation type="list" allowBlank="1" showInputMessage="1" showErrorMessage="1" sqref="D12:D13" xr:uid="{345716C4-DDD4-4639-9059-C39B8C71E756}">
      <formula1>"Pass,Fail"</formula1>
    </dataValidation>
    <dataValidation type="list" allowBlank="1" showInputMessage="1" showErrorMessage="1" sqref="D49" xr:uid="{A99E21A5-7E82-40DE-8399-72690FA99953}">
      <formula1>"Quarterly,Continuous,Fail"</formula1>
    </dataValidation>
    <dataValidation type="list" allowBlank="1" showInputMessage="1" showErrorMessage="1" sqref="D55:E55" xr:uid="{3332E069-6569-4A29-8DA4-E8103DC5E0A0}">
      <formula1>"NA,Speed Limitation Function,Intelligent Speed Limiter not default ON,Intelligent Speed Limiter default ON,Intelligent ACC"</formula1>
    </dataValidation>
  </dataValidations>
  <pageMargins left="0.8" right="0.44" top="0.53" bottom="1" header="0.5" footer="0.5"/>
  <pageSetup paperSize="9" scale="55" orientation="portrait" r:id="rId1"/>
  <headerFooter alignWithMargins="0"/>
  <ignoredErrors>
    <ignoredError sqref="E24:E25" formula="1"/>
  </ignoredError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rgb="FF7030A0"/>
    <pageSetUpPr fitToPage="1"/>
  </sheetPr>
  <dimension ref="A1:AI135"/>
  <sheetViews>
    <sheetView showGridLines="0" showOutlineSymbols="0" topLeftCell="A5" zoomScaleNormal="100" workbookViewId="0"/>
  </sheetViews>
  <sheetFormatPr defaultColWidth="8.7109375" defaultRowHeight="12.75"/>
  <cols>
    <col min="1" max="2" width="8.7109375" style="95"/>
    <col min="3" max="3" width="34.28515625" style="95" customWidth="1"/>
    <col min="4" max="13" width="8.5703125" style="95" customWidth="1"/>
    <col min="14" max="15" width="2" style="95" hidden="1" customWidth="1"/>
    <col min="16" max="19" width="8.7109375" style="95"/>
    <col min="20" max="20" width="10.42578125" style="95" customWidth="1"/>
    <col min="21" max="21" width="8.7109375" style="95"/>
    <col min="22" max="33" width="0" style="95" hidden="1" customWidth="1"/>
    <col min="34" max="16384" width="8.7109375" style="95"/>
  </cols>
  <sheetData>
    <row r="1" spans="1:19" ht="13.5" thickBot="1">
      <c r="A1" s="226">
        <v>3</v>
      </c>
    </row>
    <row r="2" spans="1:19" s="113" customFormat="1" ht="30.75" customHeight="1">
      <c r="B2" s="1364" t="s">
        <v>867</v>
      </c>
      <c r="C2" s="1779"/>
      <c r="D2" s="2159" t="s">
        <v>236</v>
      </c>
      <c r="E2" s="2160"/>
      <c r="F2" s="2160"/>
      <c r="G2" s="2160"/>
      <c r="H2" s="2161"/>
      <c r="I2" s="2159" t="s">
        <v>242</v>
      </c>
      <c r="J2" s="2160"/>
      <c r="K2" s="2160"/>
      <c r="L2" s="2160"/>
      <c r="M2" s="2161"/>
      <c r="P2" s="160"/>
      <c r="Q2" s="160"/>
      <c r="R2" s="160"/>
      <c r="S2" s="160"/>
    </row>
    <row r="3" spans="1:19" s="398" customFormat="1" ht="15" customHeight="1" thickBot="1">
      <c r="B3" s="2162" t="str">
        <f>'General Overview'!G16</f>
        <v/>
      </c>
      <c r="C3" s="2163"/>
      <c r="D3" s="2164"/>
      <c r="E3" s="2165"/>
      <c r="F3" s="2165"/>
      <c r="G3" s="2165"/>
      <c r="H3" s="2166"/>
      <c r="I3" s="2167"/>
      <c r="J3" s="2168"/>
      <c r="K3" s="2168"/>
      <c r="L3" s="2168"/>
      <c r="M3" s="2169"/>
    </row>
    <row r="4" spans="1:19">
      <c r="B4" s="1533" t="s">
        <v>243</v>
      </c>
      <c r="C4" s="1720"/>
      <c r="D4" s="2170"/>
      <c r="E4" s="1790"/>
      <c r="F4" s="1790"/>
      <c r="G4" s="1790"/>
      <c r="H4" s="1791"/>
      <c r="I4" s="1585"/>
      <c r="J4" s="1857"/>
      <c r="K4" s="1857"/>
      <c r="L4" s="1857"/>
      <c r="M4" s="1674"/>
    </row>
    <row r="5" spans="1:19">
      <c r="B5" s="397"/>
      <c r="C5" s="254" t="s">
        <v>464</v>
      </c>
      <c r="D5" s="1508"/>
      <c r="E5" s="1501"/>
      <c r="F5" s="1501"/>
      <c r="G5" s="1501"/>
      <c r="H5" s="1502"/>
      <c r="I5" s="1663"/>
      <c r="J5" s="1680"/>
      <c r="K5" s="1680"/>
      <c r="L5" s="1680"/>
      <c r="M5" s="1666"/>
      <c r="N5" s="235">
        <f>D5</f>
        <v>0</v>
      </c>
    </row>
    <row r="6" spans="1:19">
      <c r="B6" s="397"/>
      <c r="C6" s="160" t="s">
        <v>461</v>
      </c>
      <c r="D6" s="1796"/>
      <c r="E6" s="1797"/>
      <c r="F6" s="1797"/>
      <c r="G6" s="1797"/>
      <c r="H6" s="2158"/>
      <c r="I6" s="1663"/>
      <c r="J6" s="1680"/>
      <c r="K6" s="1680"/>
      <c r="L6" s="1680"/>
      <c r="M6" s="1666"/>
    </row>
    <row r="7" spans="1:19">
      <c r="B7" s="397"/>
      <c r="C7" s="254" t="s">
        <v>244</v>
      </c>
      <c r="D7" s="1508"/>
      <c r="E7" s="1501"/>
      <c r="F7" s="1501"/>
      <c r="G7" s="1501"/>
      <c r="H7" s="1502"/>
      <c r="I7" s="1508"/>
      <c r="J7" s="1501"/>
      <c r="K7" s="1501"/>
      <c r="L7" s="1501"/>
      <c r="M7" s="1502"/>
      <c r="N7" s="95">
        <f>D7</f>
        <v>0</v>
      </c>
      <c r="O7" s="95">
        <f>E7</f>
        <v>0</v>
      </c>
      <c r="P7" s="145"/>
      <c r="Q7" s="145"/>
      <c r="R7" s="145"/>
    </row>
    <row r="8" spans="1:19">
      <c r="B8" s="397"/>
      <c r="C8" s="254" t="s">
        <v>362</v>
      </c>
      <c r="D8" s="2173"/>
      <c r="E8" s="2174"/>
      <c r="F8" s="2174"/>
      <c r="G8" s="2174"/>
      <c r="H8" s="2175"/>
      <c r="I8" s="2173"/>
      <c r="J8" s="2174"/>
      <c r="K8" s="2174"/>
      <c r="L8" s="2174"/>
      <c r="M8" s="2175"/>
      <c r="N8" s="95">
        <f t="shared" ref="N8:N9" si="0">D8</f>
        <v>0</v>
      </c>
      <c r="O8" s="95">
        <f t="shared" ref="O8:O9" si="1">E8</f>
        <v>0</v>
      </c>
    </row>
    <row r="9" spans="1:19" ht="13.5" thickBot="1">
      <c r="B9" s="396"/>
      <c r="C9" s="361" t="s">
        <v>245</v>
      </c>
      <c r="D9" s="2176"/>
      <c r="E9" s="2177"/>
      <c r="F9" s="2177"/>
      <c r="G9" s="2177"/>
      <c r="H9" s="2178"/>
      <c r="I9" s="2176"/>
      <c r="J9" s="2177"/>
      <c r="K9" s="2177"/>
      <c r="L9" s="2177"/>
      <c r="M9" s="2178"/>
      <c r="N9" s="95">
        <f t="shared" si="0"/>
        <v>0</v>
      </c>
      <c r="O9" s="95">
        <f t="shared" si="1"/>
        <v>0</v>
      </c>
    </row>
    <row r="10" spans="1:19" ht="13.5" thickBot="1"/>
    <row r="11" spans="1:19">
      <c r="B11" s="164" t="s">
        <v>550</v>
      </c>
      <c r="C11" s="164"/>
      <c r="D11" s="2170"/>
      <c r="E11" s="1790"/>
      <c r="F11" s="1790"/>
      <c r="G11" s="1790"/>
      <c r="H11" s="1791"/>
      <c r="I11" s="1790"/>
      <c r="J11" s="1790"/>
      <c r="K11" s="1790"/>
      <c r="L11" s="1790"/>
      <c r="M11" s="1791"/>
    </row>
    <row r="12" spans="1:19">
      <c r="B12" s="397"/>
      <c r="C12" s="254" t="s">
        <v>239</v>
      </c>
      <c r="D12" s="2179"/>
      <c r="E12" s="2180"/>
      <c r="F12" s="2180"/>
      <c r="G12" s="2180"/>
      <c r="H12" s="2181"/>
      <c r="I12" s="2179"/>
      <c r="J12" s="2180"/>
      <c r="K12" s="2180"/>
      <c r="L12" s="2180"/>
      <c r="M12" s="2181"/>
    </row>
    <row r="13" spans="1:19">
      <c r="B13" s="397"/>
      <c r="C13" s="254" t="s">
        <v>657</v>
      </c>
      <c r="D13" s="2179"/>
      <c r="E13" s="2180"/>
      <c r="F13" s="2180"/>
      <c r="G13" s="2180"/>
      <c r="H13" s="2181"/>
      <c r="I13" s="2179"/>
      <c r="J13" s="2180"/>
      <c r="K13" s="2180"/>
      <c r="L13" s="2180"/>
      <c r="M13" s="2181"/>
    </row>
    <row r="14" spans="1:19" ht="13.5" thickBot="1">
      <c r="B14" s="260"/>
      <c r="C14" s="129" t="s">
        <v>839</v>
      </c>
      <c r="D14" s="2065"/>
      <c r="E14" s="2066"/>
      <c r="F14" s="2066"/>
      <c r="G14" s="2066"/>
      <c r="H14" s="2067"/>
      <c r="I14" s="2065"/>
      <c r="J14" s="2066"/>
      <c r="K14" s="2066"/>
      <c r="L14" s="2066"/>
      <c r="M14" s="2067"/>
    </row>
    <row r="15" spans="1:19" s="126" customFormat="1" ht="15" customHeight="1" thickBot="1">
      <c r="A15" s="125"/>
      <c r="B15" s="2017" t="s">
        <v>550</v>
      </c>
      <c r="C15" s="2050"/>
      <c r="D15" s="2068" t="str">
        <f>IF(AND(D12="PASS",D13="PASS",D14="NO",I12="PASS",I13="PASS",I14="NO"),"PASS","FAIL")</f>
        <v>FAIL</v>
      </c>
      <c r="E15" s="2069"/>
      <c r="F15" s="2069"/>
      <c r="G15" s="2069"/>
      <c r="H15" s="2069"/>
      <c r="I15" s="2069"/>
      <c r="J15" s="2069"/>
      <c r="K15" s="2069"/>
      <c r="L15" s="2069"/>
      <c r="M15" s="2070"/>
    </row>
    <row r="16" spans="1:19" ht="13.5" thickBot="1"/>
    <row r="17" spans="2:15" ht="30" customHeight="1" thickBot="1">
      <c r="B17" s="2148" t="s">
        <v>237</v>
      </c>
      <c r="C17" s="2149"/>
      <c r="D17" s="524">
        <v>-0.5</v>
      </c>
      <c r="E17" s="525">
        <v>-0.75</v>
      </c>
      <c r="F17" s="525">
        <v>1</v>
      </c>
      <c r="G17" s="525">
        <v>0.75</v>
      </c>
      <c r="H17" s="526">
        <v>0.5</v>
      </c>
      <c r="I17" s="406">
        <v>-0.5</v>
      </c>
      <c r="J17" s="407">
        <v>-0.75</v>
      </c>
      <c r="K17" s="407">
        <v>1</v>
      </c>
      <c r="L17" s="407">
        <v>0.75</v>
      </c>
      <c r="M17" s="408">
        <v>0.5</v>
      </c>
      <c r="O17" s="113"/>
    </row>
    <row r="18" spans="2:15" ht="15" customHeight="1">
      <c r="B18" s="2157" t="s">
        <v>622</v>
      </c>
      <c r="C18" s="409">
        <v>10</v>
      </c>
      <c r="D18" s="542"/>
      <c r="E18" s="543"/>
      <c r="F18" s="543"/>
      <c r="G18" s="543"/>
      <c r="H18" s="544"/>
      <c r="I18" s="2170"/>
      <c r="J18" s="1790"/>
      <c r="K18" s="1790"/>
      <c r="L18" s="1790"/>
      <c r="M18" s="1791"/>
    </row>
    <row r="19" spans="2:15" ht="15" customHeight="1">
      <c r="B19" s="1786"/>
      <c r="C19" s="410">
        <v>15</v>
      </c>
      <c r="D19" s="545"/>
      <c r="E19" s="546"/>
      <c r="F19" s="546"/>
      <c r="G19" s="546"/>
      <c r="H19" s="547"/>
      <c r="I19" s="1796"/>
      <c r="J19" s="1797"/>
      <c r="K19" s="1797"/>
      <c r="L19" s="1797"/>
      <c r="M19" s="2158"/>
    </row>
    <row r="20" spans="2:15" ht="15" customHeight="1">
      <c r="B20" s="1786"/>
      <c r="C20" s="410">
        <v>20</v>
      </c>
      <c r="D20" s="545"/>
      <c r="E20" s="546"/>
      <c r="F20" s="546"/>
      <c r="G20" s="546"/>
      <c r="H20" s="547"/>
      <c r="I20" s="1796"/>
      <c r="J20" s="1797"/>
      <c r="K20" s="1797"/>
      <c r="L20" s="1797"/>
      <c r="M20" s="2158"/>
    </row>
    <row r="21" spans="2:15" ht="15" customHeight="1">
      <c r="B21" s="1786"/>
      <c r="C21" s="410">
        <v>25</v>
      </c>
      <c r="D21" s="545"/>
      <c r="E21" s="546"/>
      <c r="F21" s="546"/>
      <c r="G21" s="546"/>
      <c r="H21" s="547"/>
      <c r="I21" s="1796"/>
      <c r="J21" s="1797"/>
      <c r="K21" s="1797"/>
      <c r="L21" s="1797"/>
      <c r="M21" s="2158"/>
    </row>
    <row r="22" spans="2:15" ht="15" customHeight="1">
      <c r="B22" s="1786"/>
      <c r="C22" s="410">
        <v>30</v>
      </c>
      <c r="D22" s="545"/>
      <c r="E22" s="546"/>
      <c r="F22" s="546"/>
      <c r="G22" s="546"/>
      <c r="H22" s="547"/>
      <c r="I22" s="1796"/>
      <c r="J22" s="1797"/>
      <c r="K22" s="1797"/>
      <c r="L22" s="1797"/>
      <c r="M22" s="2158"/>
    </row>
    <row r="23" spans="2:15" ht="15" customHeight="1">
      <c r="B23" s="1786"/>
      <c r="C23" s="410">
        <v>35</v>
      </c>
      <c r="D23" s="545"/>
      <c r="E23" s="546"/>
      <c r="F23" s="546"/>
      <c r="G23" s="546"/>
      <c r="H23" s="547"/>
      <c r="I23" s="1796"/>
      <c r="J23" s="1797"/>
      <c r="K23" s="1797"/>
      <c r="L23" s="1797"/>
      <c r="M23" s="2158"/>
    </row>
    <row r="24" spans="2:15" ht="15" customHeight="1">
      <c r="B24" s="1786"/>
      <c r="C24" s="410">
        <v>40</v>
      </c>
      <c r="D24" s="545"/>
      <c r="E24" s="546"/>
      <c r="F24" s="546"/>
      <c r="G24" s="546"/>
      <c r="H24" s="547"/>
      <c r="I24" s="1796"/>
      <c r="J24" s="1797"/>
      <c r="K24" s="1797"/>
      <c r="L24" s="1797"/>
      <c r="M24" s="2158"/>
    </row>
    <row r="25" spans="2:15" ht="15" customHeight="1">
      <c r="B25" s="1786"/>
      <c r="C25" s="410">
        <v>45</v>
      </c>
      <c r="D25" s="545"/>
      <c r="E25" s="546"/>
      <c r="F25" s="546"/>
      <c r="G25" s="546"/>
      <c r="H25" s="547"/>
      <c r="I25" s="1796"/>
      <c r="J25" s="1797"/>
      <c r="K25" s="1797"/>
      <c r="L25" s="1797"/>
      <c r="M25" s="2158"/>
    </row>
    <row r="26" spans="2:15" ht="15" customHeight="1">
      <c r="B26" s="1786"/>
      <c r="C26" s="410">
        <v>50</v>
      </c>
      <c r="D26" s="545"/>
      <c r="E26" s="546"/>
      <c r="F26" s="546"/>
      <c r="G26" s="546"/>
      <c r="H26" s="547"/>
      <c r="I26" s="1796"/>
      <c r="J26" s="1797"/>
      <c r="K26" s="1797"/>
      <c r="L26" s="1797"/>
      <c r="M26" s="2158"/>
    </row>
    <row r="27" spans="2:15" ht="15" customHeight="1">
      <c r="B27" s="1786"/>
      <c r="C27" s="410">
        <v>55</v>
      </c>
      <c r="D27" s="1796"/>
      <c r="E27" s="1797"/>
      <c r="F27" s="1797"/>
      <c r="G27" s="1797"/>
      <c r="H27" s="1797"/>
      <c r="I27" s="545"/>
      <c r="J27" s="546"/>
      <c r="K27" s="546"/>
      <c r="L27" s="546"/>
      <c r="M27" s="547"/>
    </row>
    <row r="28" spans="2:15" ht="15" customHeight="1">
      <c r="B28" s="1786"/>
      <c r="C28" s="410">
        <v>60</v>
      </c>
      <c r="D28" s="1796"/>
      <c r="E28" s="1797"/>
      <c r="F28" s="1797"/>
      <c r="G28" s="1797"/>
      <c r="H28" s="1797"/>
      <c r="I28" s="545"/>
      <c r="J28" s="546"/>
      <c r="K28" s="546"/>
      <c r="L28" s="546"/>
      <c r="M28" s="547"/>
    </row>
    <row r="29" spans="2:15" ht="15" customHeight="1">
      <c r="B29" s="1786"/>
      <c r="C29" s="410">
        <v>65</v>
      </c>
      <c r="D29" s="1796"/>
      <c r="E29" s="1797"/>
      <c r="F29" s="1797"/>
      <c r="G29" s="1797"/>
      <c r="H29" s="1797"/>
      <c r="I29" s="545"/>
      <c r="J29" s="546"/>
      <c r="K29" s="546"/>
      <c r="L29" s="546"/>
      <c r="M29" s="547"/>
    </row>
    <row r="30" spans="2:15" ht="15" customHeight="1">
      <c r="B30" s="1786"/>
      <c r="C30" s="410">
        <v>70</v>
      </c>
      <c r="D30" s="1796"/>
      <c r="E30" s="1797"/>
      <c r="F30" s="1797"/>
      <c r="G30" s="1797"/>
      <c r="H30" s="1797"/>
      <c r="I30" s="545"/>
      <c r="J30" s="546"/>
      <c r="K30" s="546"/>
      <c r="L30" s="546"/>
      <c r="M30" s="547"/>
    </row>
    <row r="31" spans="2:15" ht="15" customHeight="1">
      <c r="B31" s="1786"/>
      <c r="C31" s="410">
        <v>75</v>
      </c>
      <c r="D31" s="1796"/>
      <c r="E31" s="1797"/>
      <c r="F31" s="1797"/>
      <c r="G31" s="1797"/>
      <c r="H31" s="1797"/>
      <c r="I31" s="545"/>
      <c r="J31" s="546"/>
      <c r="K31" s="546"/>
      <c r="L31" s="546"/>
      <c r="M31" s="547"/>
    </row>
    <row r="32" spans="2:15" ht="15" customHeight="1" thickBot="1">
      <c r="B32" s="1787"/>
      <c r="C32" s="411">
        <v>80</v>
      </c>
      <c r="D32" s="2153"/>
      <c r="E32" s="2154"/>
      <c r="F32" s="2154"/>
      <c r="G32" s="2154"/>
      <c r="H32" s="2154"/>
      <c r="I32" s="548"/>
      <c r="J32" s="549"/>
      <c r="K32" s="549"/>
      <c r="L32" s="549"/>
      <c r="M32" s="550"/>
    </row>
    <row r="33" spans="2:15" ht="15" customHeight="1" thickBot="1">
      <c r="B33" s="1358" t="s">
        <v>658</v>
      </c>
      <c r="C33" s="1359"/>
      <c r="D33" s="2155">
        <v>0</v>
      </c>
      <c r="E33" s="2155"/>
      <c r="F33" s="2155"/>
      <c r="G33" s="2155"/>
      <c r="H33" s="2156"/>
      <c r="I33" s="2155">
        <v>0</v>
      </c>
      <c r="J33" s="2155"/>
      <c r="K33" s="2155"/>
      <c r="L33" s="2155"/>
      <c r="M33" s="2156"/>
    </row>
    <row r="34" spans="2:15" ht="15" customHeight="1" thickBot="1">
      <c r="B34" s="109"/>
      <c r="E34" s="109"/>
      <c r="J34" s="109"/>
    </row>
    <row r="35" spans="2:15" ht="30" customHeight="1" thickBot="1">
      <c r="B35" s="2148" t="s">
        <v>246</v>
      </c>
      <c r="C35" s="2149"/>
      <c r="D35" s="412">
        <v>-0.5</v>
      </c>
      <c r="E35" s="407">
        <v>-0.75</v>
      </c>
      <c r="F35" s="413">
        <v>1</v>
      </c>
      <c r="G35" s="407">
        <v>0.75</v>
      </c>
      <c r="H35" s="408">
        <v>0.5</v>
      </c>
      <c r="O35" s="113"/>
    </row>
    <row r="36" spans="2:15" ht="15" customHeight="1">
      <c r="B36" s="2157" t="s">
        <v>622</v>
      </c>
      <c r="C36" s="1179">
        <v>30</v>
      </c>
      <c r="D36" s="542"/>
      <c r="E36" s="543"/>
      <c r="F36" s="543"/>
      <c r="G36" s="543"/>
      <c r="H36" s="544"/>
    </row>
    <row r="37" spans="2:15" ht="15" customHeight="1">
      <c r="B37" s="1786"/>
      <c r="C37" s="1180">
        <v>35</v>
      </c>
      <c r="D37" s="545"/>
      <c r="E37" s="1181"/>
      <c r="F37" s="1181"/>
      <c r="G37" s="1181"/>
      <c r="H37" s="1182"/>
    </row>
    <row r="38" spans="2:15" ht="15" customHeight="1">
      <c r="B38" s="1786"/>
      <c r="C38" s="1180">
        <v>40</v>
      </c>
      <c r="D38" s="545"/>
      <c r="E38" s="1181"/>
      <c r="F38" s="1181"/>
      <c r="G38" s="1181"/>
      <c r="H38" s="1182"/>
    </row>
    <row r="39" spans="2:15" ht="15" customHeight="1">
      <c r="B39" s="1786"/>
      <c r="C39" s="1180">
        <v>45</v>
      </c>
      <c r="D39" s="545"/>
      <c r="E39" s="1181"/>
      <c r="F39" s="1181"/>
      <c r="G39" s="1181"/>
      <c r="H39" s="1182"/>
    </row>
    <row r="40" spans="2:15" ht="15" customHeight="1">
      <c r="B40" s="1786"/>
      <c r="C40" s="1180">
        <v>50</v>
      </c>
      <c r="D40" s="545"/>
      <c r="E40" s="1181"/>
      <c r="F40" s="1181"/>
      <c r="G40" s="1181"/>
      <c r="H40" s="1182"/>
    </row>
    <row r="41" spans="2:15" ht="15" customHeight="1">
      <c r="B41" s="1786"/>
      <c r="C41" s="1180">
        <v>55</v>
      </c>
      <c r="D41" s="545"/>
      <c r="E41" s="1181"/>
      <c r="F41" s="1181"/>
      <c r="G41" s="1181"/>
      <c r="H41" s="1182"/>
      <c r="O41" s="113"/>
    </row>
    <row r="42" spans="2:15" ht="15" customHeight="1">
      <c r="B42" s="1786"/>
      <c r="C42" s="1180">
        <v>60</v>
      </c>
      <c r="D42" s="545"/>
      <c r="E42" s="1181"/>
      <c r="F42" s="1181"/>
      <c r="G42" s="1181"/>
      <c r="H42" s="1182"/>
    </row>
    <row r="43" spans="2:15" ht="15" customHeight="1">
      <c r="B43" s="1786"/>
      <c r="C43" s="1180">
        <v>65</v>
      </c>
      <c r="D43" s="545"/>
      <c r="E43" s="1181"/>
      <c r="F43" s="1181"/>
      <c r="G43" s="1181"/>
      <c r="H43" s="1182"/>
    </row>
    <row r="44" spans="2:15" ht="15" customHeight="1">
      <c r="B44" s="1786"/>
      <c r="C44" s="1180">
        <v>70</v>
      </c>
      <c r="D44" s="545"/>
      <c r="E44" s="1181"/>
      <c r="F44" s="1181"/>
      <c r="G44" s="1181"/>
      <c r="H44" s="1182"/>
    </row>
    <row r="45" spans="2:15" ht="15" customHeight="1">
      <c r="B45" s="1786"/>
      <c r="C45" s="1180">
        <v>75</v>
      </c>
      <c r="D45" s="545"/>
      <c r="E45" s="1181"/>
      <c r="F45" s="1181"/>
      <c r="G45" s="1181"/>
      <c r="H45" s="1182"/>
    </row>
    <row r="46" spans="2:15" ht="15" customHeight="1">
      <c r="B46" s="1786"/>
      <c r="C46" s="1180">
        <v>80</v>
      </c>
      <c r="D46" s="545"/>
      <c r="E46" s="1181"/>
      <c r="F46" s="1181"/>
      <c r="G46" s="1181"/>
      <c r="H46" s="1182"/>
    </row>
    <row r="47" spans="2:15" ht="15" customHeight="1" thickBot="1">
      <c r="B47" s="1787"/>
      <c r="C47" s="1184" t="s">
        <v>2926</v>
      </c>
      <c r="D47" s="548"/>
      <c r="E47" s="786"/>
      <c r="F47" s="786"/>
      <c r="G47" s="786"/>
      <c r="H47" s="787"/>
      <c r="I47" s="1183"/>
    </row>
    <row r="48" spans="2:15" ht="15" customHeight="1" thickBot="1">
      <c r="B48" s="1358" t="s">
        <v>659</v>
      </c>
      <c r="C48" s="1359"/>
      <c r="D48" s="2150">
        <v>0</v>
      </c>
      <c r="E48" s="2151"/>
      <c r="F48" s="2151"/>
      <c r="G48" s="2151"/>
      <c r="H48" s="2152"/>
      <c r="I48" s="1186"/>
      <c r="J48" s="104"/>
      <c r="K48" s="104"/>
      <c r="L48" s="104"/>
      <c r="M48" s="104"/>
    </row>
    <row r="49" spans="1:17" ht="15" customHeight="1" thickBot="1">
      <c r="B49" s="109"/>
      <c r="E49" s="109"/>
      <c r="J49" s="109"/>
    </row>
    <row r="50" spans="1:17" ht="30" customHeight="1" thickBot="1">
      <c r="B50" s="2182" t="s">
        <v>247</v>
      </c>
      <c r="C50" s="2183"/>
      <c r="D50" s="2183"/>
      <c r="E50" s="2183"/>
      <c r="F50" s="2183"/>
      <c r="G50" s="2183"/>
      <c r="H50" s="2184"/>
    </row>
    <row r="51" spans="1:17" ht="15" customHeight="1" thickBot="1">
      <c r="B51" s="2187" t="s">
        <v>660</v>
      </c>
      <c r="C51" s="2188"/>
      <c r="D51" s="1558" t="s">
        <v>661</v>
      </c>
      <c r="E51" s="1559"/>
      <c r="F51" s="1559" t="s">
        <v>40</v>
      </c>
      <c r="G51" s="1559"/>
      <c r="H51" s="1560"/>
      <c r="Q51" s="104"/>
    </row>
    <row r="52" spans="1:17" ht="15" customHeight="1">
      <c r="B52" s="414"/>
      <c r="C52" s="415" t="s">
        <v>248</v>
      </c>
      <c r="D52" s="2118"/>
      <c r="E52" s="1925"/>
      <c r="F52" s="1929"/>
      <c r="G52" s="1929"/>
      <c r="H52" s="1572"/>
    </row>
    <row r="53" spans="1:17" ht="15" customHeight="1">
      <c r="B53" s="414"/>
      <c r="C53" s="416" t="s">
        <v>249</v>
      </c>
      <c r="D53" s="2171"/>
      <c r="E53" s="2172"/>
      <c r="F53" s="1929">
        <f>IF(D53="Green",1,IF(D53="Yellow",0.75,IF(D53="Orange",0.5,IF(D53="Brown",0.25,0))))</f>
        <v>0</v>
      </c>
      <c r="G53" s="1929"/>
      <c r="H53" s="1572"/>
    </row>
    <row r="54" spans="1:17" ht="15" customHeight="1">
      <c r="B54" s="414"/>
      <c r="C54" s="416" t="s">
        <v>250</v>
      </c>
      <c r="D54" s="2171"/>
      <c r="E54" s="2172"/>
      <c r="F54" s="1929">
        <f>IF(D54="Green",1,IF(D54="Yellow",0.75,IF(D54="Orange",0.5,IF(D54="Brown",0.25,0))))</f>
        <v>0</v>
      </c>
      <c r="G54" s="1929"/>
      <c r="H54" s="1572"/>
    </row>
    <row r="55" spans="1:17" ht="15" customHeight="1">
      <c r="B55" s="414"/>
      <c r="C55" s="415" t="s">
        <v>251</v>
      </c>
      <c r="D55" s="2118"/>
      <c r="E55" s="1925"/>
      <c r="F55" s="1925"/>
      <c r="G55" s="1925"/>
      <c r="H55" s="1926"/>
    </row>
    <row r="56" spans="1:17" ht="15" customHeight="1">
      <c r="B56" s="414"/>
      <c r="C56" s="416" t="s">
        <v>249</v>
      </c>
      <c r="D56" s="2171"/>
      <c r="E56" s="2172"/>
      <c r="F56" s="1929">
        <f>IF(D56="Green",1,IF(D56="Yellow",0.75,IF(D56="Orange",0.5,IF(D56="Brown",0.25,0))))</f>
        <v>0</v>
      </c>
      <c r="G56" s="1929"/>
      <c r="H56" s="1572"/>
    </row>
    <row r="57" spans="1:17" ht="15" customHeight="1" thickBot="1">
      <c r="B57" s="417"/>
      <c r="C57" s="418" t="s">
        <v>250</v>
      </c>
      <c r="D57" s="2171"/>
      <c r="E57" s="2172"/>
      <c r="F57" s="1929">
        <f>IF(D57="Green",1,IF(D57="Yellow",0.75,IF(D57="Orange",0.5,IF(D57="Brown",0.25,0))))</f>
        <v>0</v>
      </c>
      <c r="G57" s="1929"/>
      <c r="H57" s="1572"/>
    </row>
    <row r="58" spans="1:17" s="126" customFormat="1" ht="15" customHeight="1" thickBot="1">
      <c r="A58" s="125"/>
      <c r="B58" s="2017" t="s">
        <v>252</v>
      </c>
      <c r="C58" s="2018"/>
      <c r="D58" s="2189">
        <f>SUM(F53:H54,F56:H57)/4</f>
        <v>0</v>
      </c>
      <c r="E58" s="2190"/>
      <c r="F58" s="2190"/>
      <c r="G58" s="2190"/>
      <c r="H58" s="2191"/>
      <c r="I58" s="95"/>
      <c r="J58" s="95"/>
      <c r="K58" s="95"/>
      <c r="L58" s="95"/>
      <c r="M58" s="95"/>
      <c r="N58" s="95"/>
      <c r="O58" s="95"/>
      <c r="P58" s="95"/>
    </row>
    <row r="59" spans="1:17" ht="15" customHeight="1" thickBot="1">
      <c r="B59" s="109"/>
      <c r="E59" s="109"/>
      <c r="J59" s="109"/>
    </row>
    <row r="60" spans="1:17" ht="15" customHeight="1" thickBot="1">
      <c r="B60" s="1466" t="s">
        <v>662</v>
      </c>
      <c r="C60" s="1543"/>
      <c r="D60" s="1543"/>
      <c r="E60" s="1543"/>
      <c r="F60" s="1543"/>
      <c r="G60" s="1543"/>
      <c r="H60" s="1543"/>
      <c r="I60" s="1543"/>
      <c r="J60" s="1543"/>
      <c r="K60" s="1543"/>
      <c r="L60" s="1543"/>
      <c r="M60" s="1467"/>
    </row>
    <row r="61" spans="1:17" ht="15" customHeight="1" thickBot="1">
      <c r="B61" s="2187"/>
      <c r="C61" s="2188"/>
      <c r="D61" s="2192" t="s">
        <v>226</v>
      </c>
      <c r="E61" s="2193"/>
      <c r="F61" s="519" t="s">
        <v>227</v>
      </c>
      <c r="G61" s="519" t="s">
        <v>663</v>
      </c>
      <c r="H61" s="419" t="s">
        <v>40</v>
      </c>
      <c r="I61" s="519" t="s">
        <v>226</v>
      </c>
      <c r="J61" s="519" t="s">
        <v>840</v>
      </c>
      <c r="K61" s="519" t="s">
        <v>227</v>
      </c>
      <c r="L61" s="519" t="s">
        <v>663</v>
      </c>
      <c r="M61" s="419" t="s">
        <v>40</v>
      </c>
    </row>
    <row r="62" spans="1:17" ht="15" customHeight="1">
      <c r="B62" s="414"/>
      <c r="C62" s="234"/>
      <c r="D62" s="2194"/>
      <c r="E62" s="2195"/>
      <c r="F62" s="1027"/>
      <c r="G62" s="988"/>
      <c r="H62" s="420" t="str">
        <f>IF(G62="","",actual_AEB_score(D62,G62,F62))</f>
        <v/>
      </c>
      <c r="I62" s="994"/>
      <c r="J62" s="995"/>
      <c r="K62" s="1027"/>
      <c r="L62" s="996"/>
      <c r="M62" s="420" t="str">
        <f>IF(L62="","",actual_AEB_score(I62,L62,K62))</f>
        <v/>
      </c>
    </row>
    <row r="63" spans="1:17" ht="15" customHeight="1">
      <c r="B63" s="414"/>
      <c r="C63" s="234"/>
      <c r="D63" s="2185"/>
      <c r="E63" s="2186"/>
      <c r="F63" s="990"/>
      <c r="G63" s="989"/>
      <c r="H63" s="516" t="str">
        <f>IF(G63="","",actual_AEB_score(D63,G63,F63))</f>
        <v/>
      </c>
      <c r="I63" s="997"/>
      <c r="J63" s="998"/>
      <c r="K63" s="990"/>
      <c r="L63" s="981"/>
      <c r="M63" s="516" t="str">
        <f>IF(L63="","",actual_AEB_score(I63,L63,K63))</f>
        <v/>
      </c>
    </row>
    <row r="64" spans="1:17" ht="15" customHeight="1">
      <c r="B64" s="414"/>
      <c r="C64" s="234"/>
      <c r="D64" s="2185"/>
      <c r="E64" s="2186"/>
      <c r="F64" s="990"/>
      <c r="G64" s="989"/>
      <c r="H64" s="516" t="str">
        <f>IF(G64="","",actual_AEB_score(D64,G64,F64))</f>
        <v/>
      </c>
      <c r="I64" s="997"/>
      <c r="J64" s="998"/>
      <c r="K64" s="990"/>
      <c r="L64" s="981"/>
      <c r="M64" s="516" t="str">
        <f>IF(L64="","",actual_AEB_score(I64,L64,K64))</f>
        <v/>
      </c>
    </row>
    <row r="65" spans="2:25" ht="15" customHeight="1">
      <c r="B65" s="414"/>
      <c r="C65" s="234"/>
      <c r="D65" s="2185"/>
      <c r="E65" s="2186"/>
      <c r="F65" s="990"/>
      <c r="G65" s="989"/>
      <c r="H65" s="516" t="str">
        <f>IF(G65="","",actual_AEB_score(D65,G65,F65))</f>
        <v/>
      </c>
      <c r="I65" s="997"/>
      <c r="J65" s="998"/>
      <c r="K65" s="990"/>
      <c r="L65" s="981"/>
      <c r="M65" s="516" t="str">
        <f>IF(L65="","",actual_AEB_score(I65,L65,K65))</f>
        <v/>
      </c>
    </row>
    <row r="66" spans="2:25" ht="15" customHeight="1">
      <c r="B66" s="414"/>
      <c r="C66" s="234"/>
      <c r="D66" s="2185"/>
      <c r="E66" s="2186"/>
      <c r="F66" s="990"/>
      <c r="G66" s="989"/>
      <c r="H66" s="516" t="str">
        <f>IF(G66="","",actual_AEB_score(D66,G66,F66))</f>
        <v/>
      </c>
      <c r="I66" s="997"/>
      <c r="J66" s="998"/>
      <c r="K66" s="990"/>
      <c r="L66" s="981"/>
      <c r="M66" s="516" t="str">
        <f>IF(L66="","",actual_AEB_score(I66,L66,K66))</f>
        <v/>
      </c>
    </row>
    <row r="67" spans="2:25" ht="15" customHeight="1">
      <c r="B67" s="414"/>
      <c r="C67" s="234"/>
      <c r="D67" s="2185"/>
      <c r="E67" s="2186"/>
      <c r="F67" s="990"/>
      <c r="G67" s="989"/>
      <c r="H67" s="516" t="str">
        <f>IF(G67="","",actual_AEB_score(D67,G67,F67))</f>
        <v/>
      </c>
      <c r="I67" s="997"/>
      <c r="J67" s="998"/>
      <c r="K67" s="990"/>
      <c r="L67" s="981"/>
      <c r="M67" s="516" t="str">
        <f>IF(L67="","",actual_AEB_score(I67,L67,K67))</f>
        <v/>
      </c>
    </row>
    <row r="68" spans="2:25" ht="15" customHeight="1">
      <c r="B68" s="414"/>
      <c r="C68" s="234"/>
      <c r="D68" s="2185"/>
      <c r="E68" s="2186"/>
      <c r="F68" s="990"/>
      <c r="G68" s="989"/>
      <c r="H68" s="516" t="str">
        <f>IF(G68="","",actual_AEB_score(D68,G68,F68))</f>
        <v/>
      </c>
      <c r="I68" s="997"/>
      <c r="J68" s="998"/>
      <c r="K68" s="990"/>
      <c r="L68" s="981"/>
      <c r="M68" s="516" t="str">
        <f>IF(L68="","",actual_AEB_score(I68,L68,K68))</f>
        <v/>
      </c>
    </row>
    <row r="69" spans="2:25" ht="15" customHeight="1">
      <c r="B69" s="414"/>
      <c r="C69" s="234"/>
      <c r="D69" s="2185"/>
      <c r="E69" s="2186"/>
      <c r="F69" s="990"/>
      <c r="G69" s="989"/>
      <c r="H69" s="516" t="str">
        <f>IF(G69="","",actual_AEB_score(D69,G69,F69))</f>
        <v/>
      </c>
      <c r="I69" s="997"/>
      <c r="J69" s="998"/>
      <c r="K69" s="990"/>
      <c r="L69" s="981"/>
      <c r="M69" s="516" t="str">
        <f>IF(L69="","",actual_AEB_score(I69,L69,K69))</f>
        <v/>
      </c>
    </row>
    <row r="70" spans="2:25" ht="15" customHeight="1" thickBot="1">
      <c r="B70" s="414"/>
      <c r="C70" s="234"/>
      <c r="D70" s="2185"/>
      <c r="E70" s="2186"/>
      <c r="F70" s="990"/>
      <c r="G70" s="989"/>
      <c r="H70" s="516" t="str">
        <f>IF(G70="","",actual_AEB_score(D70,G70,F70))</f>
        <v/>
      </c>
      <c r="I70" s="997"/>
      <c r="J70" s="998"/>
      <c r="K70" s="990"/>
      <c r="L70" s="981"/>
      <c r="M70" s="516" t="str">
        <f>IF(L70="","",actual_AEB_score(I70,L70,K70))</f>
        <v/>
      </c>
    </row>
    <row r="71" spans="2:25" ht="15" customHeight="1" thickBot="1">
      <c r="B71" s="414"/>
      <c r="C71" s="234"/>
      <c r="D71" s="2185"/>
      <c r="E71" s="2186"/>
      <c r="F71" s="990"/>
      <c r="G71" s="989"/>
      <c r="H71" s="516" t="str">
        <f>IF(G71="","",actual_AEB_score(D71,G71,F71))</f>
        <v/>
      </c>
      <c r="I71" s="997"/>
      <c r="J71" s="998"/>
      <c r="K71" s="990"/>
      <c r="L71" s="981"/>
      <c r="M71" s="516" t="str">
        <f>IF(L71="","",actual_AEB_score(I71,L71,K71))</f>
        <v/>
      </c>
      <c r="Y71" s="421"/>
    </row>
    <row r="72" spans="2:25" ht="15" customHeight="1">
      <c r="B72" s="414"/>
      <c r="C72" s="234"/>
      <c r="D72" s="2185"/>
      <c r="E72" s="2186"/>
      <c r="F72" s="990"/>
      <c r="G72" s="991"/>
      <c r="H72" s="516" t="str">
        <f>IF(G72="","",actual_AEB_score(D72,G72,F72))</f>
        <v/>
      </c>
      <c r="I72" s="997"/>
      <c r="J72" s="998"/>
      <c r="K72" s="990"/>
      <c r="L72" s="991"/>
      <c r="M72" s="516" t="str">
        <f>IF(L72="","",actual_AEB_score(I72,L72,K72))</f>
        <v/>
      </c>
    </row>
    <row r="73" spans="2:25" ht="15" customHeight="1">
      <c r="B73" s="414"/>
      <c r="C73" s="234"/>
      <c r="D73" s="2185"/>
      <c r="E73" s="2186"/>
      <c r="F73" s="990"/>
      <c r="G73" s="991"/>
      <c r="H73" s="516" t="str">
        <f>IF(G73="","",actual_AEB_score(D73,G73,F73))</f>
        <v/>
      </c>
      <c r="I73" s="997"/>
      <c r="J73" s="998"/>
      <c r="K73" s="990"/>
      <c r="L73" s="991"/>
      <c r="M73" s="516" t="str">
        <f>IF(L73="","",actual_AEB_score(I73,L73,K73))</f>
        <v/>
      </c>
    </row>
    <row r="74" spans="2:25" ht="15" customHeight="1">
      <c r="B74" s="414"/>
      <c r="C74" s="234"/>
      <c r="D74" s="2185"/>
      <c r="E74" s="2186"/>
      <c r="F74" s="990"/>
      <c r="G74" s="991"/>
      <c r="H74" s="516" t="str">
        <f>IF(G74="","",actual_AEB_score(D74,G74,F74))</f>
        <v/>
      </c>
      <c r="I74" s="997"/>
      <c r="J74" s="998"/>
      <c r="K74" s="990"/>
      <c r="L74" s="991"/>
      <c r="M74" s="516" t="str">
        <f>IF(L74="","",actual_AEB_score(I74,L74,K74))</f>
        <v/>
      </c>
    </row>
    <row r="75" spans="2:25" ht="15" customHeight="1">
      <c r="B75" s="414"/>
      <c r="C75" s="234"/>
      <c r="D75" s="2185"/>
      <c r="E75" s="2186"/>
      <c r="F75" s="990"/>
      <c r="G75" s="991"/>
      <c r="H75" s="516" t="str">
        <f>IF(G75="","",actual_AEB_score(D75,G75,F75))</f>
        <v/>
      </c>
      <c r="I75" s="997"/>
      <c r="J75" s="998"/>
      <c r="K75" s="990"/>
      <c r="L75" s="991"/>
      <c r="M75" s="516" t="str">
        <f>IF(L75="","",actual_AEB_score(I75,L75,K75))</f>
        <v/>
      </c>
    </row>
    <row r="76" spans="2:25" ht="15" customHeight="1">
      <c r="B76" s="414"/>
      <c r="C76" s="234"/>
      <c r="D76" s="2185"/>
      <c r="E76" s="2186"/>
      <c r="F76" s="990"/>
      <c r="G76" s="991"/>
      <c r="H76" s="516" t="str">
        <f>IF(G76="","",actual_AEB_score(D76,G76,F76))</f>
        <v/>
      </c>
      <c r="I76" s="997"/>
      <c r="J76" s="998"/>
      <c r="K76" s="990"/>
      <c r="L76" s="991"/>
      <c r="M76" s="516" t="str">
        <f>IF(L76="","",actual_AEB_score(I76,L76,K76))</f>
        <v/>
      </c>
    </row>
    <row r="77" spans="2:25" ht="15" customHeight="1">
      <c r="B77" s="414"/>
      <c r="C77" s="234"/>
      <c r="D77" s="2185"/>
      <c r="E77" s="2186"/>
      <c r="F77" s="990"/>
      <c r="G77" s="991"/>
      <c r="H77" s="516" t="str">
        <f>IF(G77="","",actual_AEB_score(D77,G77,F77))</f>
        <v/>
      </c>
      <c r="I77" s="997"/>
      <c r="J77" s="998"/>
      <c r="K77" s="990"/>
      <c r="L77" s="991"/>
      <c r="M77" s="516" t="str">
        <f>IF(L77="","",actual_AEB_score(I77,L77,K77))</f>
        <v/>
      </c>
    </row>
    <row r="78" spans="2:25" ht="15" customHeight="1">
      <c r="B78" s="414"/>
      <c r="C78" s="234"/>
      <c r="D78" s="2185"/>
      <c r="E78" s="2186"/>
      <c r="F78" s="990"/>
      <c r="G78" s="991"/>
      <c r="H78" s="516" t="str">
        <f>IF(G78="","",actual_AEB_score(D78,G78,F78))</f>
        <v/>
      </c>
      <c r="I78" s="997"/>
      <c r="J78" s="998"/>
      <c r="K78" s="990"/>
      <c r="L78" s="991"/>
      <c r="M78" s="516" t="str">
        <f>IF(L78="","",actual_AEB_score(I78,L78,K78))</f>
        <v/>
      </c>
    </row>
    <row r="79" spans="2:25" ht="15" customHeight="1">
      <c r="B79" s="414"/>
      <c r="C79" s="234"/>
      <c r="D79" s="2185"/>
      <c r="E79" s="2186"/>
      <c r="F79" s="990"/>
      <c r="G79" s="991"/>
      <c r="H79" s="516" t="str">
        <f>IF(G79="","",actual_AEB_score(D79,G79,F79))</f>
        <v/>
      </c>
      <c r="I79" s="997"/>
      <c r="J79" s="998"/>
      <c r="K79" s="990"/>
      <c r="L79" s="991"/>
      <c r="M79" s="516" t="str">
        <f>IF(L79="","",actual_AEB_score(I79,L79,K79))</f>
        <v/>
      </c>
    </row>
    <row r="80" spans="2:25" ht="15" customHeight="1">
      <c r="B80" s="414"/>
      <c r="C80" s="234"/>
      <c r="D80" s="2185"/>
      <c r="E80" s="2186"/>
      <c r="F80" s="990"/>
      <c r="G80" s="991"/>
      <c r="H80" s="516" t="str">
        <f>IF(G80="","",actual_AEB_score(D80,G80,F80))</f>
        <v/>
      </c>
      <c r="I80" s="997"/>
      <c r="J80" s="998"/>
      <c r="K80" s="990"/>
      <c r="L80" s="991"/>
      <c r="M80" s="516" t="str">
        <f>IF(L80="","",actual_AEB_score(I80,L80,K80))</f>
        <v/>
      </c>
    </row>
    <row r="81" spans="1:33" ht="15" customHeight="1" thickBot="1">
      <c r="B81" s="417"/>
      <c r="C81" s="357"/>
      <c r="D81" s="2246"/>
      <c r="E81" s="2247"/>
      <c r="F81" s="992"/>
      <c r="G81" s="993"/>
      <c r="H81" s="518" t="str">
        <f>IF(G81="","",actual_AEB_score(D81,G81,F81))</f>
        <v/>
      </c>
      <c r="I81" s="999"/>
      <c r="J81" s="1000"/>
      <c r="K81" s="992"/>
      <c r="L81" s="993"/>
      <c r="M81" s="518" t="str">
        <f>IF(L81="","",actual_AEB_score(I81,L81,K81))</f>
        <v/>
      </c>
    </row>
    <row r="82" spans="1:33" ht="15" customHeight="1" thickBot="1">
      <c r="B82" s="1685" t="s">
        <v>82</v>
      </c>
      <c r="C82" s="2216"/>
      <c r="D82" s="1519"/>
      <c r="E82" s="1521"/>
      <c r="F82" s="399">
        <f>(COUNTIF(F62:F81,"Green")*1)+(COUNTIF(F62:F81,"Yellow")*0.75)+(COUNTIF(F62:F81,"Orange")*0.5)+(COUNTIF(F62:F81,"Brown")*0.25)</f>
        <v>0</v>
      </c>
      <c r="G82" s="399"/>
      <c r="H82" s="517">
        <f>SUM(H62:H81)</f>
        <v>0</v>
      </c>
      <c r="I82" s="1519"/>
      <c r="J82" s="1521"/>
      <c r="K82" s="399">
        <f>(COUNTIF(K62:K81,"Green")*1)+(COUNTIF(K62:K81,"Yellow")*0.75)+(COUNTIF(K62:K81,"Orange")*0.5)+(COUNTIF(K62:K81,"Brown")*0.25)</f>
        <v>0</v>
      </c>
      <c r="L82" s="399"/>
      <c r="M82" s="517">
        <f>SUM(M62:M81)</f>
        <v>0</v>
      </c>
    </row>
    <row r="83" spans="1:33" ht="15" customHeight="1" thickBot="1">
      <c r="B83" s="98"/>
      <c r="M83" s="197"/>
    </row>
    <row r="84" spans="1:33" ht="15" customHeight="1" thickBot="1">
      <c r="B84" s="1387" t="s">
        <v>228</v>
      </c>
      <c r="C84" s="1388"/>
      <c r="D84" s="1540">
        <f>IF(F82=0,0,ROUND(H82/F82,Round))</f>
        <v>0</v>
      </c>
      <c r="E84" s="1541"/>
      <c r="F84" s="1541"/>
      <c r="G84" s="1541"/>
      <c r="H84" s="1542"/>
      <c r="I84" s="1540">
        <f>IF(K82=0,0,ROUND(M82/K82,Round))</f>
        <v>0</v>
      </c>
      <c r="J84" s="1541"/>
      <c r="K84" s="1541"/>
      <c r="L84" s="1541"/>
      <c r="M84" s="1542"/>
    </row>
    <row r="85" spans="1:33" ht="15" customHeight="1"/>
    <row r="86" spans="1:33" s="126" customFormat="1" ht="15" customHeight="1" thickBot="1">
      <c r="A86" s="125"/>
      <c r="B86" s="125"/>
      <c r="C86" s="127"/>
      <c r="D86" s="125"/>
      <c r="E86" s="125"/>
      <c r="F86" s="125"/>
      <c r="G86" s="375"/>
    </row>
    <row r="87" spans="1:33" ht="30" customHeight="1" thickBot="1">
      <c r="B87" s="2182" t="s">
        <v>850</v>
      </c>
      <c r="C87" s="2183"/>
      <c r="D87" s="2183"/>
      <c r="E87" s="2183"/>
      <c r="F87" s="2183"/>
      <c r="G87" s="2183"/>
      <c r="H87" s="2184"/>
      <c r="Q87" s="104"/>
      <c r="R87" s="104"/>
      <c r="S87" s="104"/>
      <c r="T87" s="104"/>
    </row>
    <row r="88" spans="1:33" ht="15" customHeight="1" thickBot="1">
      <c r="B88" s="2187" t="s">
        <v>852</v>
      </c>
      <c r="C88" s="2188"/>
      <c r="D88" s="1558" t="s">
        <v>854</v>
      </c>
      <c r="E88" s="1792"/>
      <c r="F88" s="1559" t="s">
        <v>853</v>
      </c>
      <c r="G88" s="1559"/>
      <c r="H88" s="1560"/>
      <c r="Q88" s="104"/>
      <c r="R88" s="104"/>
      <c r="S88" s="104"/>
      <c r="T88" s="104"/>
    </row>
    <row r="89" spans="1:33" ht="15" customHeight="1">
      <c r="B89" s="414"/>
      <c r="C89" s="415"/>
      <c r="D89" s="1425"/>
      <c r="E89" s="2119"/>
      <c r="F89" s="382" t="s">
        <v>858</v>
      </c>
      <c r="G89" s="382" t="s">
        <v>859</v>
      </c>
      <c r="H89" s="383" t="s">
        <v>2630</v>
      </c>
      <c r="Q89" s="104"/>
      <c r="R89" s="104"/>
      <c r="S89" s="104"/>
      <c r="T89" s="104"/>
    </row>
    <row r="90" spans="1:33" ht="15" customHeight="1">
      <c r="B90" s="414"/>
      <c r="C90" s="416"/>
      <c r="D90" s="2242" t="s">
        <v>851</v>
      </c>
      <c r="E90" s="2243"/>
      <c r="F90" s="783"/>
      <c r="G90" s="784"/>
      <c r="H90" s="785"/>
      <c r="Q90" s="104"/>
      <c r="R90" s="104"/>
      <c r="S90" s="104"/>
      <c r="T90" s="104"/>
    </row>
    <row r="91" spans="1:33" ht="15" customHeight="1">
      <c r="B91" s="414"/>
      <c r="C91" s="416"/>
      <c r="D91" s="2242" t="s">
        <v>855</v>
      </c>
      <c r="E91" s="2243"/>
      <c r="F91" s="783"/>
      <c r="G91" s="784"/>
      <c r="H91" s="785"/>
      <c r="Q91" s="104"/>
      <c r="R91" s="104"/>
      <c r="S91" s="104"/>
      <c r="T91" s="104"/>
    </row>
    <row r="92" spans="1:33" ht="15" customHeight="1" thickBot="1">
      <c r="B92" s="414"/>
      <c r="C92" s="416"/>
      <c r="D92" s="2244" t="s">
        <v>856</v>
      </c>
      <c r="E92" s="2245"/>
      <c r="F92" s="551"/>
      <c r="G92" s="786"/>
      <c r="H92" s="787"/>
      <c r="Q92" s="104"/>
      <c r="R92" s="104"/>
      <c r="S92" s="104"/>
      <c r="T92" s="104"/>
    </row>
    <row r="93" spans="1:33" s="126" customFormat="1" ht="15" customHeight="1" thickBot="1">
      <c r="A93" s="125"/>
      <c r="B93" s="2017" t="s">
        <v>857</v>
      </c>
      <c r="C93" s="2018"/>
      <c r="D93" s="2217">
        <f>COUNTIF(F90:H92,"Green")/9</f>
        <v>0</v>
      </c>
      <c r="E93" s="2218"/>
      <c r="F93" s="2218"/>
      <c r="G93" s="2218"/>
      <c r="H93" s="2219"/>
      <c r="I93" s="95"/>
      <c r="J93" s="95"/>
      <c r="K93" s="95"/>
      <c r="L93" s="95"/>
      <c r="M93" s="95"/>
      <c r="Q93" s="807"/>
      <c r="R93" s="807"/>
      <c r="S93" s="807"/>
      <c r="T93" s="807"/>
    </row>
    <row r="94" spans="1:33" s="126" customFormat="1" ht="15" customHeight="1" thickBot="1">
      <c r="A94" s="125"/>
      <c r="B94" s="125"/>
      <c r="C94" s="127"/>
      <c r="D94" s="125"/>
      <c r="E94" s="125"/>
      <c r="F94" s="125"/>
      <c r="G94" s="375"/>
      <c r="Q94" s="807"/>
      <c r="R94" s="807"/>
      <c r="S94" s="807"/>
      <c r="T94" s="807"/>
    </row>
    <row r="95" spans="1:33" ht="30" customHeight="1" thickBot="1">
      <c r="B95" s="2148" t="s">
        <v>2656</v>
      </c>
      <c r="C95" s="2149"/>
      <c r="D95" s="2149"/>
      <c r="E95" s="2149"/>
      <c r="F95" s="2149"/>
      <c r="G95" s="2149"/>
      <c r="H95" s="2149"/>
      <c r="I95" s="2149"/>
      <c r="J95" s="2149"/>
      <c r="K95" s="2149"/>
      <c r="L95" s="2149"/>
      <c r="M95" s="2222"/>
      <c r="Q95" s="104"/>
      <c r="R95" s="104"/>
      <c r="S95" s="104"/>
      <c r="T95" s="104"/>
      <c r="W95" s="842"/>
      <c r="X95" s="795"/>
      <c r="Y95" s="795"/>
      <c r="Z95" s="795"/>
      <c r="AA95" s="795"/>
      <c r="AB95" s="795"/>
    </row>
    <row r="96" spans="1:33" ht="15" customHeight="1" thickBot="1">
      <c r="B96" s="2187" t="s">
        <v>2660</v>
      </c>
      <c r="C96" s="2188"/>
      <c r="D96" s="1558" t="s">
        <v>853</v>
      </c>
      <c r="E96" s="1559"/>
      <c r="F96" s="1559"/>
      <c r="G96" s="1559"/>
      <c r="H96" s="1560"/>
      <c r="I96" s="1558" t="s">
        <v>853</v>
      </c>
      <c r="J96" s="1559"/>
      <c r="K96" s="1559"/>
      <c r="L96" s="1559"/>
      <c r="M96" s="1560"/>
      <c r="Q96" s="104"/>
      <c r="R96" s="104"/>
      <c r="S96" s="104"/>
      <c r="T96" s="104"/>
      <c r="W96" s="796"/>
      <c r="X96" s="629" t="s">
        <v>856</v>
      </c>
      <c r="Y96" s="629" t="s">
        <v>858</v>
      </c>
      <c r="Z96" s="382" t="s">
        <v>2658</v>
      </c>
      <c r="AA96" s="382" t="s">
        <v>2659</v>
      </c>
      <c r="AB96" s="382" t="s">
        <v>2630</v>
      </c>
      <c r="AC96" s="629" t="s">
        <v>856</v>
      </c>
      <c r="AD96" s="629" t="s">
        <v>858</v>
      </c>
      <c r="AE96" s="382" t="s">
        <v>2658</v>
      </c>
      <c r="AF96" s="382" t="s">
        <v>2659</v>
      </c>
      <c r="AG96" s="382" t="s">
        <v>2630</v>
      </c>
    </row>
    <row r="97" spans="1:33" ht="15" customHeight="1">
      <c r="B97" s="414"/>
      <c r="C97" s="800"/>
      <c r="D97" s="774" t="s">
        <v>856</v>
      </c>
      <c r="E97" s="776" t="s">
        <v>858</v>
      </c>
      <c r="F97" s="382" t="s">
        <v>2658</v>
      </c>
      <c r="G97" s="382" t="s">
        <v>2659</v>
      </c>
      <c r="H97" s="383" t="s">
        <v>2630</v>
      </c>
      <c r="I97" s="774" t="s">
        <v>856</v>
      </c>
      <c r="J97" s="776" t="s">
        <v>858</v>
      </c>
      <c r="K97" s="382" t="s">
        <v>2658</v>
      </c>
      <c r="L97" s="382" t="s">
        <v>2659</v>
      </c>
      <c r="M97" s="383" t="s">
        <v>2630</v>
      </c>
      <c r="Q97" s="104"/>
      <c r="R97" s="104"/>
      <c r="S97" s="104"/>
      <c r="T97" s="104"/>
      <c r="W97" s="794" t="s">
        <v>2657</v>
      </c>
      <c r="X97" s="629">
        <v>0.5</v>
      </c>
      <c r="Y97" s="629">
        <v>0.5</v>
      </c>
      <c r="Z97" s="629">
        <v>0.5</v>
      </c>
      <c r="AA97" s="629">
        <v>0.5</v>
      </c>
      <c r="AB97" s="629">
        <v>0.5</v>
      </c>
      <c r="AC97" s="629"/>
      <c r="AD97" s="629"/>
      <c r="AE97" s="629"/>
      <c r="AF97" s="629"/>
      <c r="AG97" s="629"/>
    </row>
    <row r="98" spans="1:33" ht="15" customHeight="1">
      <c r="B98" s="2223" t="s">
        <v>622</v>
      </c>
      <c r="C98" s="410" t="s">
        <v>2657</v>
      </c>
      <c r="D98" s="545"/>
      <c r="E98" s="783"/>
      <c r="F98" s="783"/>
      <c r="G98" s="784"/>
      <c r="H98" s="785"/>
      <c r="I98" s="432"/>
      <c r="J98" s="432"/>
      <c r="K98" s="432"/>
      <c r="L98" s="432"/>
      <c r="M98" s="793"/>
      <c r="Q98" s="104"/>
      <c r="R98" s="104"/>
      <c r="S98" s="104"/>
      <c r="T98" s="104"/>
      <c r="W98" s="794">
        <v>20</v>
      </c>
      <c r="X98" s="629">
        <v>1</v>
      </c>
      <c r="Y98" s="629">
        <v>0.25</v>
      </c>
      <c r="Z98" s="629">
        <v>0.25</v>
      </c>
      <c r="AA98" s="629">
        <v>0.25</v>
      </c>
      <c r="AB98" s="629">
        <v>0.25</v>
      </c>
      <c r="AC98" s="629"/>
      <c r="AD98" s="629"/>
      <c r="AE98" s="629"/>
      <c r="AF98" s="629"/>
      <c r="AG98" s="629"/>
    </row>
    <row r="99" spans="1:33" ht="15" customHeight="1">
      <c r="B99" s="2223"/>
      <c r="C99" s="410">
        <v>20</v>
      </c>
      <c r="D99" s="545"/>
      <c r="E99" s="783"/>
      <c r="F99" s="783"/>
      <c r="G99" s="784"/>
      <c r="H99" s="785"/>
      <c r="I99" s="432"/>
      <c r="J99" s="432"/>
      <c r="K99" s="432"/>
      <c r="L99" s="432"/>
      <c r="M99" s="793"/>
      <c r="Q99" s="104"/>
      <c r="R99" s="104"/>
      <c r="S99" s="104"/>
      <c r="T99" s="104"/>
      <c r="W99" s="794">
        <v>30</v>
      </c>
      <c r="X99" s="629">
        <v>1</v>
      </c>
      <c r="Y99" s="629">
        <v>1</v>
      </c>
      <c r="Z99" s="629">
        <v>0.25</v>
      </c>
      <c r="AA99" s="629">
        <v>0.25</v>
      </c>
      <c r="AB99" s="629">
        <v>0.25</v>
      </c>
      <c r="AC99" s="629"/>
      <c r="AD99" s="629"/>
      <c r="AE99" s="629"/>
      <c r="AF99" s="629"/>
      <c r="AG99" s="629"/>
    </row>
    <row r="100" spans="1:33" ht="15" customHeight="1">
      <c r="B100" s="2223"/>
      <c r="C100" s="410">
        <v>30</v>
      </c>
      <c r="D100" s="545"/>
      <c r="E100" s="783"/>
      <c r="F100" s="783"/>
      <c r="G100" s="784"/>
      <c r="H100" s="785"/>
      <c r="I100" s="432"/>
      <c r="J100" s="432"/>
      <c r="K100" s="432"/>
      <c r="L100" s="432"/>
      <c r="M100" s="793"/>
      <c r="Q100" s="104"/>
      <c r="R100" s="104"/>
      <c r="S100" s="104"/>
      <c r="T100" s="104"/>
      <c r="W100" s="794">
        <v>40</v>
      </c>
      <c r="X100" s="629">
        <v>1</v>
      </c>
      <c r="Y100" s="629">
        <v>1</v>
      </c>
      <c r="Z100" s="629">
        <v>1</v>
      </c>
      <c r="AA100" s="629">
        <v>0.25</v>
      </c>
      <c r="AB100" s="629">
        <v>0.25</v>
      </c>
      <c r="AC100" s="629">
        <v>1</v>
      </c>
      <c r="AD100" s="629">
        <v>1</v>
      </c>
      <c r="AE100" s="629">
        <v>1</v>
      </c>
      <c r="AF100" s="629">
        <v>0.25</v>
      </c>
      <c r="AG100" s="629">
        <v>0.25</v>
      </c>
    </row>
    <row r="101" spans="1:33" ht="15" customHeight="1">
      <c r="B101" s="2223"/>
      <c r="C101" s="410">
        <v>40</v>
      </c>
      <c r="D101" s="545"/>
      <c r="E101" s="783"/>
      <c r="F101" s="783"/>
      <c r="G101" s="784"/>
      <c r="H101" s="785"/>
      <c r="I101" s="783"/>
      <c r="J101" s="783"/>
      <c r="K101" s="783"/>
      <c r="L101" s="784"/>
      <c r="M101" s="785"/>
      <c r="Q101" s="104"/>
      <c r="R101" s="104"/>
      <c r="S101" s="104"/>
      <c r="T101" s="104"/>
      <c r="W101" s="794">
        <v>50</v>
      </c>
      <c r="X101" s="629">
        <v>1</v>
      </c>
      <c r="Y101" s="629">
        <v>1</v>
      </c>
      <c r="Z101" s="629">
        <v>1</v>
      </c>
      <c r="AA101" s="629">
        <v>1</v>
      </c>
      <c r="AB101" s="629">
        <v>0.25</v>
      </c>
      <c r="AC101" s="629">
        <v>1</v>
      </c>
      <c r="AD101" s="629">
        <v>1</v>
      </c>
      <c r="AE101" s="629">
        <v>1</v>
      </c>
      <c r="AF101" s="629">
        <v>1</v>
      </c>
      <c r="AG101" s="629">
        <v>0.25</v>
      </c>
    </row>
    <row r="102" spans="1:33" ht="15" customHeight="1">
      <c r="B102" s="2223"/>
      <c r="C102" s="410">
        <v>50</v>
      </c>
      <c r="D102" s="545"/>
      <c r="E102" s="783"/>
      <c r="F102" s="783"/>
      <c r="G102" s="784"/>
      <c r="H102" s="785"/>
      <c r="I102" s="783"/>
      <c r="J102" s="783"/>
      <c r="K102" s="783"/>
      <c r="L102" s="784"/>
      <c r="M102" s="785"/>
      <c r="Q102" s="104"/>
      <c r="R102" s="104"/>
      <c r="S102" s="104"/>
      <c r="T102" s="104"/>
      <c r="W102" s="794">
        <v>60</v>
      </c>
      <c r="X102" s="629">
        <v>1</v>
      </c>
      <c r="Y102" s="629">
        <v>1</v>
      </c>
      <c r="Z102" s="629">
        <v>1</v>
      </c>
      <c r="AA102" s="629">
        <v>1</v>
      </c>
      <c r="AB102" s="629">
        <v>1</v>
      </c>
      <c r="AC102" s="629">
        <v>1</v>
      </c>
      <c r="AD102" s="629">
        <v>1</v>
      </c>
      <c r="AE102" s="629">
        <v>1</v>
      </c>
      <c r="AF102" s="629">
        <v>1</v>
      </c>
      <c r="AG102" s="629">
        <v>1</v>
      </c>
    </row>
    <row r="103" spans="1:33" ht="15" customHeight="1" thickBot="1">
      <c r="B103" s="2224"/>
      <c r="C103" s="410">
        <v>60</v>
      </c>
      <c r="D103" s="548"/>
      <c r="E103" s="551"/>
      <c r="F103" s="551"/>
      <c r="G103" s="786"/>
      <c r="H103" s="787"/>
      <c r="I103" s="551"/>
      <c r="J103" s="551"/>
      <c r="K103" s="551"/>
      <c r="L103" s="786"/>
      <c r="M103" s="787"/>
      <c r="Q103" s="104"/>
      <c r="R103" s="104"/>
      <c r="S103" s="104"/>
      <c r="T103" s="104"/>
      <c r="W103" s="794" t="s">
        <v>2657</v>
      </c>
      <c r="X103" s="629">
        <f>IF(OR(D98="",D98="Red"),0,X97)</f>
        <v>0</v>
      </c>
      <c r="Y103" s="629">
        <f t="shared" ref="Y103:AB103" si="2">IF(OR(E98="",E98="Red"),0,Y97)</f>
        <v>0</v>
      </c>
      <c r="Z103" s="629">
        <f t="shared" si="2"/>
        <v>0</v>
      </c>
      <c r="AA103" s="629">
        <f t="shared" si="2"/>
        <v>0</v>
      </c>
      <c r="AB103" s="629">
        <f t="shared" si="2"/>
        <v>0</v>
      </c>
      <c r="AC103" s="629"/>
      <c r="AD103" s="629"/>
      <c r="AE103" s="629"/>
      <c r="AF103" s="629"/>
      <c r="AG103" s="629"/>
    </row>
    <row r="104" spans="1:33" s="126" customFormat="1" ht="15" customHeight="1" thickBot="1">
      <c r="A104" s="125"/>
      <c r="B104" s="2017" t="s">
        <v>2662</v>
      </c>
      <c r="C104" s="2018"/>
      <c r="D104" s="2217">
        <f>X109/20</f>
        <v>0</v>
      </c>
      <c r="E104" s="2218"/>
      <c r="F104" s="2218"/>
      <c r="G104" s="2218"/>
      <c r="H104" s="2219"/>
      <c r="I104" s="2217">
        <f>AC109/12.75</f>
        <v>0</v>
      </c>
      <c r="J104" s="2218"/>
      <c r="K104" s="2218"/>
      <c r="L104" s="2218"/>
      <c r="M104" s="2219"/>
      <c r="Q104" s="807"/>
      <c r="R104" s="807"/>
      <c r="S104" s="807"/>
      <c r="T104" s="807"/>
      <c r="W104" s="794">
        <v>20</v>
      </c>
      <c r="X104" s="629">
        <f t="shared" ref="X104:X105" si="3">IF(OR(D99="",D99="Red"),0,X98)</f>
        <v>0</v>
      </c>
      <c r="Y104" s="629">
        <f t="shared" ref="Y104:Y105" si="4">IF(OR(E99="",E99="Red"),0,Y98)</f>
        <v>0</v>
      </c>
      <c r="Z104" s="629">
        <f t="shared" ref="Z104:Z105" si="5">IF(OR(F99="",F99="Red"),0,Z98)</f>
        <v>0</v>
      </c>
      <c r="AA104" s="629">
        <f t="shared" ref="AA104:AA105" si="6">IF(OR(G99="",G99="Red"),0,AA98)</f>
        <v>0</v>
      </c>
      <c r="AB104" s="629">
        <f t="shared" ref="AB104:AB105" si="7">IF(OR(H99="",H99="Red"),0,AB98)</f>
        <v>0</v>
      </c>
      <c r="AC104" s="629"/>
      <c r="AD104" s="629"/>
      <c r="AE104" s="629"/>
      <c r="AF104" s="629"/>
      <c r="AG104" s="629"/>
    </row>
    <row r="105" spans="1:33" s="126" customFormat="1" ht="15" customHeight="1" thickBot="1">
      <c r="A105" s="125"/>
      <c r="B105" s="125"/>
      <c r="C105" s="127"/>
      <c r="D105" s="125"/>
      <c r="E105" s="125"/>
      <c r="F105" s="125"/>
      <c r="G105" s="375"/>
      <c r="Q105" s="807"/>
      <c r="R105" s="807"/>
      <c r="S105" s="807"/>
      <c r="T105" s="807"/>
      <c r="W105" s="794">
        <v>30</v>
      </c>
      <c r="X105" s="629">
        <f t="shared" si="3"/>
        <v>0</v>
      </c>
      <c r="Y105" s="629">
        <f t="shared" si="4"/>
        <v>0</v>
      </c>
      <c r="Z105" s="629">
        <f t="shared" si="5"/>
        <v>0</v>
      </c>
      <c r="AA105" s="629">
        <f t="shared" si="6"/>
        <v>0</v>
      </c>
      <c r="AB105" s="629">
        <f t="shared" si="7"/>
        <v>0</v>
      </c>
      <c r="AC105" s="629"/>
      <c r="AD105" s="629"/>
      <c r="AE105" s="629"/>
      <c r="AF105" s="629"/>
      <c r="AG105" s="629"/>
    </row>
    <row r="106" spans="1:33" ht="30" customHeight="1" thickBot="1">
      <c r="B106" s="2231" t="s">
        <v>2661</v>
      </c>
      <c r="C106" s="2232"/>
      <c r="D106" s="2232"/>
      <c r="E106" s="2232"/>
      <c r="F106" s="2232"/>
      <c r="G106" s="2232"/>
      <c r="H106" s="2233"/>
      <c r="Q106" s="104"/>
      <c r="R106" s="104"/>
      <c r="S106" s="104"/>
      <c r="T106" s="104"/>
      <c r="W106" s="794">
        <v>40</v>
      </c>
      <c r="X106" s="629">
        <f>IF(OR(D101="",D101="Red"),0,IF(D101="Orange",X100/2,X100))</f>
        <v>0</v>
      </c>
      <c r="Y106" s="629">
        <f t="shared" ref="Y106:AG108" si="8">IF(OR(E101="",E101="Red"),0,IF(E101="Orange",Y100/2,Y100))</f>
        <v>0</v>
      </c>
      <c r="Z106" s="629">
        <f t="shared" si="8"/>
        <v>0</v>
      </c>
      <c r="AA106" s="629">
        <f t="shared" si="8"/>
        <v>0</v>
      </c>
      <c r="AB106" s="629">
        <f t="shared" si="8"/>
        <v>0</v>
      </c>
      <c r="AC106" s="629">
        <f t="shared" si="8"/>
        <v>0</v>
      </c>
      <c r="AD106" s="629">
        <f t="shared" si="8"/>
        <v>0</v>
      </c>
      <c r="AE106" s="629">
        <f t="shared" si="8"/>
        <v>0</v>
      </c>
      <c r="AF106" s="629">
        <f t="shared" si="8"/>
        <v>0</v>
      </c>
      <c r="AG106" s="629">
        <f t="shared" si="8"/>
        <v>0</v>
      </c>
    </row>
    <row r="107" spans="1:33" ht="15" customHeight="1" thickBot="1">
      <c r="B107" s="414"/>
      <c r="C107" s="415"/>
      <c r="D107" s="2235" t="s">
        <v>854</v>
      </c>
      <c r="E107" s="2236"/>
      <c r="F107" s="2234" t="s">
        <v>853</v>
      </c>
      <c r="G107" s="1559"/>
      <c r="H107" s="2240" t="s">
        <v>40</v>
      </c>
      <c r="W107" s="794">
        <v>50</v>
      </c>
      <c r="X107" s="629">
        <f t="shared" ref="X107:X108" si="9">IF(OR(D102="",D102="Red"),0,IF(D102="Orange",X101/2,X101))</f>
        <v>0</v>
      </c>
      <c r="Y107" s="629">
        <f t="shared" si="8"/>
        <v>0</v>
      </c>
      <c r="Z107" s="629">
        <f t="shared" si="8"/>
        <v>0</v>
      </c>
      <c r="AA107" s="629">
        <f t="shared" si="8"/>
        <v>0</v>
      </c>
      <c r="AB107" s="629">
        <f t="shared" si="8"/>
        <v>0</v>
      </c>
      <c r="AC107" s="629">
        <f t="shared" si="8"/>
        <v>0</v>
      </c>
      <c r="AD107" s="629">
        <f t="shared" si="8"/>
        <v>0</v>
      </c>
      <c r="AE107" s="629">
        <f t="shared" si="8"/>
        <v>0</v>
      </c>
      <c r="AF107" s="629">
        <f t="shared" si="8"/>
        <v>0</v>
      </c>
      <c r="AG107" s="629">
        <f t="shared" si="8"/>
        <v>0</v>
      </c>
    </row>
    <row r="108" spans="1:33" ht="15" customHeight="1" thickBot="1">
      <c r="B108" s="414"/>
      <c r="C108" s="415"/>
      <c r="D108" s="2116"/>
      <c r="E108" s="2237"/>
      <c r="F108" s="382" t="s">
        <v>2659</v>
      </c>
      <c r="G108" s="382" t="s">
        <v>2666</v>
      </c>
      <c r="H108" s="2241"/>
      <c r="W108" s="794">
        <v>60</v>
      </c>
      <c r="X108" s="629">
        <f t="shared" si="9"/>
        <v>0</v>
      </c>
      <c r="Y108" s="629">
        <f t="shared" si="8"/>
        <v>0</v>
      </c>
      <c r="Z108" s="629">
        <f t="shared" si="8"/>
        <v>0</v>
      </c>
      <c r="AA108" s="629">
        <f t="shared" si="8"/>
        <v>0</v>
      </c>
      <c r="AB108" s="629">
        <f t="shared" si="8"/>
        <v>0</v>
      </c>
      <c r="AC108" s="629">
        <f t="shared" si="8"/>
        <v>0</v>
      </c>
      <c r="AD108" s="629">
        <f t="shared" si="8"/>
        <v>0</v>
      </c>
      <c r="AE108" s="629">
        <f t="shared" si="8"/>
        <v>0</v>
      </c>
      <c r="AF108" s="629">
        <f t="shared" si="8"/>
        <v>0</v>
      </c>
      <c r="AG108" s="629">
        <f t="shared" si="8"/>
        <v>0</v>
      </c>
    </row>
    <row r="109" spans="1:33" ht="15" customHeight="1">
      <c r="B109" s="414"/>
      <c r="C109" s="2238" t="s">
        <v>2667</v>
      </c>
      <c r="D109" s="2228" t="s">
        <v>2664</v>
      </c>
      <c r="E109" s="790" t="s">
        <v>2659</v>
      </c>
      <c r="F109" s="988"/>
      <c r="G109" s="1078"/>
      <c r="H109" s="791">
        <f>IF(F109&gt;=20,0.25,IF(AND(F109&lt;20,F109&gt;=10),0.125,0))</f>
        <v>0</v>
      </c>
      <c r="W109" s="148"/>
      <c r="X109" s="126">
        <f>SUM(X103:AB108)</f>
        <v>0</v>
      </c>
      <c r="Y109" s="126"/>
      <c r="Z109" s="126"/>
      <c r="AA109" s="126"/>
      <c r="AB109" s="126"/>
      <c r="AC109" s="95">
        <f>SUM(AC106:AG108)</f>
        <v>0</v>
      </c>
    </row>
    <row r="110" spans="1:33" ht="15" customHeight="1">
      <c r="B110" s="414"/>
      <c r="C110" s="2238"/>
      <c r="D110" s="2229"/>
      <c r="E110" s="788" t="s">
        <v>2666</v>
      </c>
      <c r="F110" s="1079"/>
      <c r="G110" s="989"/>
      <c r="H110" s="789">
        <f>IF(G110&gt;=20,0.25,IF(AND(G110&lt;20,G110&gt;=10),0.125,0))</f>
        <v>0</v>
      </c>
      <c r="W110" s="148"/>
      <c r="X110" s="126"/>
      <c r="Y110" s="126"/>
      <c r="Z110" s="126"/>
      <c r="AA110" s="126"/>
      <c r="AB110" s="126"/>
    </row>
    <row r="111" spans="1:33" ht="15" customHeight="1">
      <c r="B111" s="414"/>
      <c r="C111" s="2238"/>
      <c r="D111" s="2229" t="s">
        <v>2665</v>
      </c>
      <c r="E111" s="788" t="s">
        <v>2659</v>
      </c>
      <c r="F111" s="989"/>
      <c r="G111" s="1079"/>
      <c r="H111" s="789">
        <f>IF(F111&gt;=20,0.25,IF(AND(F111&lt;20,F111&gt;=10),0.125,0))</f>
        <v>0</v>
      </c>
    </row>
    <row r="112" spans="1:33" ht="15" customHeight="1" thickBot="1">
      <c r="B112" s="414"/>
      <c r="C112" s="2239"/>
      <c r="D112" s="2230"/>
      <c r="E112" s="792" t="s">
        <v>2666</v>
      </c>
      <c r="F112" s="1080"/>
      <c r="G112" s="1001"/>
      <c r="H112" s="775">
        <f>IF(G112&gt;=20,0.25,IF(AND(G112&lt;20,G112&gt;=10),0.125,0))</f>
        <v>0</v>
      </c>
    </row>
    <row r="113" spans="1:35" s="126" customFormat="1" ht="15" customHeight="1" thickBot="1">
      <c r="A113" s="125"/>
      <c r="B113" s="2017" t="s">
        <v>2663</v>
      </c>
      <c r="C113" s="2018"/>
      <c r="D113" s="2225">
        <f>SUM(H109:H112)</f>
        <v>0</v>
      </c>
      <c r="E113" s="2226"/>
      <c r="F113" s="2226"/>
      <c r="G113" s="2226"/>
      <c r="H113" s="2227"/>
      <c r="I113" s="95"/>
      <c r="J113" s="95"/>
      <c r="K113" s="95"/>
      <c r="L113" s="95"/>
      <c r="M113" s="95"/>
    </row>
    <row r="114" spans="1:35" s="126" customFormat="1" ht="15" customHeight="1" thickBot="1">
      <c r="A114" s="125"/>
      <c r="B114" s="125"/>
      <c r="C114" s="127"/>
      <c r="D114" s="125"/>
      <c r="E114" s="125"/>
      <c r="F114" s="125"/>
      <c r="G114" s="375"/>
    </row>
    <row r="115" spans="1:35" s="126" customFormat="1" ht="15" customHeight="1">
      <c r="A115" s="125"/>
      <c r="B115" s="130" t="s">
        <v>238</v>
      </c>
      <c r="C115" s="131"/>
      <c r="D115" s="2038"/>
      <c r="E115" s="2039"/>
      <c r="F115" s="2039"/>
      <c r="G115" s="2039"/>
      <c r="H115" s="2039"/>
      <c r="I115" s="2039"/>
      <c r="J115" s="2039"/>
      <c r="K115" s="2039"/>
      <c r="L115" s="2039"/>
      <c r="M115" s="2040"/>
    </row>
    <row r="116" spans="1:35" s="126" customFormat="1" ht="15" customHeight="1">
      <c r="A116" s="125"/>
      <c r="B116" s="128"/>
      <c r="C116" s="132" t="s">
        <v>240</v>
      </c>
      <c r="D116" s="2071"/>
      <c r="E116" s="2072"/>
      <c r="F116" s="2072"/>
      <c r="G116" s="2072"/>
      <c r="H116" s="2072"/>
      <c r="I116" s="2072"/>
      <c r="J116" s="2072"/>
      <c r="K116" s="2072"/>
      <c r="L116" s="2072"/>
      <c r="M116" s="2073"/>
    </row>
    <row r="117" spans="1:35" s="126" customFormat="1" ht="15" customHeight="1">
      <c r="A117" s="125"/>
      <c r="B117" s="128"/>
      <c r="C117" s="129" t="s">
        <v>253</v>
      </c>
      <c r="D117" s="2044"/>
      <c r="E117" s="2045"/>
      <c r="F117" s="2220">
        <f>IF(D117="Yes",1,0)</f>
        <v>0</v>
      </c>
      <c r="G117" s="2220"/>
      <c r="H117" s="2220"/>
      <c r="I117" s="2220"/>
      <c r="J117" s="2220"/>
      <c r="K117" s="2220"/>
      <c r="L117" s="2220"/>
      <c r="M117" s="2221"/>
    </row>
    <row r="118" spans="1:35" s="126" customFormat="1" ht="15" customHeight="1" thickBot="1">
      <c r="A118" s="125"/>
      <c r="B118" s="128"/>
      <c r="C118" s="129" t="s">
        <v>2668</v>
      </c>
      <c r="D118" s="2044"/>
      <c r="E118" s="2045"/>
      <c r="F118" s="2220">
        <f>IF(D118="Yes",1,0)</f>
        <v>0</v>
      </c>
      <c r="G118" s="2220"/>
      <c r="H118" s="2220"/>
      <c r="I118" s="2220"/>
      <c r="J118" s="2220"/>
      <c r="K118" s="2220"/>
      <c r="L118" s="2220"/>
      <c r="M118" s="2221"/>
    </row>
    <row r="119" spans="1:35" s="126" customFormat="1" ht="15" customHeight="1" thickBot="1">
      <c r="A119" s="125"/>
      <c r="B119" s="2017" t="s">
        <v>241</v>
      </c>
      <c r="C119" s="2050"/>
      <c r="D119" s="2189">
        <f>SUM(F117:M118)/2</f>
        <v>0</v>
      </c>
      <c r="E119" s="2190"/>
      <c r="F119" s="2190"/>
      <c r="G119" s="2190"/>
      <c r="H119" s="2190"/>
      <c r="I119" s="2190"/>
      <c r="J119" s="2190"/>
      <c r="K119" s="2190"/>
      <c r="L119" s="2190"/>
      <c r="M119" s="2191"/>
    </row>
    <row r="120" spans="1:35" s="126" customFormat="1" ht="15" customHeight="1" thickBot="1">
      <c r="A120" s="125"/>
      <c r="B120" s="125"/>
      <c r="C120" s="127"/>
      <c r="D120" s="125"/>
      <c r="E120" s="125"/>
      <c r="F120" s="125"/>
      <c r="G120" s="375"/>
    </row>
    <row r="121" spans="1:35" ht="15">
      <c r="B121" s="1555" t="s">
        <v>37</v>
      </c>
      <c r="C121" s="1556"/>
      <c r="D121" s="2212"/>
      <c r="E121" s="2213"/>
      <c r="F121" s="2213"/>
      <c r="G121" s="2213"/>
      <c r="H121" s="2214"/>
      <c r="I121" s="2213"/>
      <c r="J121" s="2213"/>
      <c r="K121" s="2213"/>
      <c r="L121" s="2213"/>
      <c r="M121" s="2215"/>
      <c r="N121" s="145"/>
      <c r="Q121" s="382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</row>
    <row r="122" spans="1:35" ht="15" customHeight="1">
      <c r="B122" s="106"/>
      <c r="C122" s="422" t="s">
        <v>700</v>
      </c>
      <c r="D122" s="2204">
        <f>IF(COUNTIF(D18:H20,"Red")&gt;=1,0,IF('AOP Whiplash'!D73&gt;=2.25,MIN(D33*D84,1),0))</f>
        <v>0</v>
      </c>
      <c r="E122" s="2205"/>
      <c r="F122" s="2205"/>
      <c r="G122" s="2205"/>
      <c r="H122" s="2206"/>
      <c r="I122" s="2207">
        <f>MIN(I33*I84,1)</f>
        <v>0</v>
      </c>
      <c r="J122" s="2207"/>
      <c r="K122" s="2207"/>
      <c r="L122" s="2207"/>
      <c r="M122" s="2208"/>
      <c r="N122" s="145"/>
      <c r="Q122" s="845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</row>
    <row r="123" spans="1:35" ht="15" customHeight="1">
      <c r="B123" s="106"/>
      <c r="C123" s="422" t="s">
        <v>682</v>
      </c>
      <c r="D123" s="2209">
        <f>MIN(D48*D84,1)</f>
        <v>0</v>
      </c>
      <c r="E123" s="2210"/>
      <c r="F123" s="2210"/>
      <c r="G123" s="2210"/>
      <c r="H123" s="2211"/>
      <c r="I123" s="2207"/>
      <c r="J123" s="2207"/>
      <c r="K123" s="2207"/>
      <c r="L123" s="2207"/>
      <c r="M123" s="2208"/>
      <c r="N123" s="145"/>
      <c r="Q123" s="382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</row>
    <row r="124" spans="1:35" ht="15" customHeight="1">
      <c r="B124" s="380"/>
      <c r="C124" s="422" t="s">
        <v>247</v>
      </c>
      <c r="D124" s="2209">
        <f>D58</f>
        <v>0</v>
      </c>
      <c r="E124" s="2210"/>
      <c r="F124" s="2210"/>
      <c r="G124" s="2210"/>
      <c r="H124" s="2211"/>
      <c r="I124" s="2207"/>
      <c r="J124" s="2207"/>
      <c r="K124" s="2207"/>
      <c r="L124" s="2207"/>
      <c r="M124" s="2208"/>
      <c r="N124" s="145"/>
      <c r="Q124" s="382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</row>
    <row r="125" spans="1:35" ht="15" customHeight="1">
      <c r="B125" s="380"/>
      <c r="C125" s="422" t="s">
        <v>850</v>
      </c>
      <c r="D125" s="2204">
        <f>D93</f>
        <v>0</v>
      </c>
      <c r="E125" s="2205"/>
      <c r="F125" s="2205"/>
      <c r="G125" s="2205"/>
      <c r="H125" s="2206"/>
      <c r="I125" s="2207"/>
      <c r="J125" s="2207"/>
      <c r="K125" s="2207"/>
      <c r="L125" s="2207"/>
      <c r="M125" s="2208"/>
      <c r="N125" s="145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</row>
    <row r="126" spans="1:35" s="125" customFormat="1" ht="15" customHeight="1">
      <c r="B126" s="133"/>
      <c r="C126" s="137" t="s">
        <v>2656</v>
      </c>
      <c r="D126" s="2209">
        <f>D104</f>
        <v>0</v>
      </c>
      <c r="E126" s="2210"/>
      <c r="F126" s="2210"/>
      <c r="G126" s="2210"/>
      <c r="H126" s="2211"/>
      <c r="I126" s="2207">
        <f>I104</f>
        <v>0</v>
      </c>
      <c r="J126" s="2207"/>
      <c r="K126" s="2207"/>
      <c r="L126" s="2207"/>
      <c r="M126" s="2208"/>
      <c r="Q126" s="837"/>
      <c r="R126" s="837"/>
      <c r="S126" s="837"/>
      <c r="T126" s="837"/>
      <c r="U126" s="837"/>
      <c r="V126" s="837"/>
      <c r="W126" s="837"/>
      <c r="X126" s="837"/>
      <c r="Y126" s="837"/>
      <c r="Z126" s="837"/>
      <c r="AA126" s="837"/>
      <c r="AB126" s="837"/>
      <c r="AC126" s="837"/>
      <c r="AD126" s="837"/>
      <c r="AE126" s="837"/>
      <c r="AF126" s="837"/>
      <c r="AG126" s="837"/>
      <c r="AH126" s="837"/>
      <c r="AI126" s="837"/>
    </row>
    <row r="127" spans="1:35" s="125" customFormat="1" ht="15" customHeight="1">
      <c r="B127" s="133"/>
      <c r="C127" s="137" t="s">
        <v>2661</v>
      </c>
      <c r="D127" s="2209">
        <f>D113</f>
        <v>0</v>
      </c>
      <c r="E127" s="2210"/>
      <c r="F127" s="2210"/>
      <c r="G127" s="2210"/>
      <c r="H127" s="2210"/>
      <c r="I127" s="2210"/>
      <c r="J127" s="2210"/>
      <c r="K127" s="2210"/>
      <c r="L127" s="2210"/>
      <c r="M127" s="2208"/>
      <c r="Q127" s="837"/>
      <c r="R127" s="837"/>
      <c r="S127" s="837"/>
      <c r="T127" s="837"/>
      <c r="U127" s="837"/>
      <c r="V127" s="837"/>
      <c r="W127" s="837"/>
      <c r="X127" s="837"/>
      <c r="Y127" s="837"/>
      <c r="Z127" s="837"/>
      <c r="AA127" s="837"/>
      <c r="AB127" s="837"/>
      <c r="AC127" s="837"/>
      <c r="AD127" s="837"/>
      <c r="AE127" s="837"/>
      <c r="AF127" s="837"/>
      <c r="AG127" s="837"/>
      <c r="AH127" s="837"/>
      <c r="AI127" s="837"/>
    </row>
    <row r="128" spans="1:35" ht="15" customHeight="1" thickBot="1">
      <c r="B128" s="396"/>
      <c r="C128" s="423" t="s">
        <v>238</v>
      </c>
      <c r="D128" s="2199">
        <f>D119</f>
        <v>0</v>
      </c>
      <c r="E128" s="2199"/>
      <c r="F128" s="2199"/>
      <c r="G128" s="2199"/>
      <c r="H128" s="2199"/>
      <c r="I128" s="2199"/>
      <c r="J128" s="2199"/>
      <c r="K128" s="2199"/>
      <c r="L128" s="2199"/>
      <c r="M128" s="2200"/>
      <c r="N128" s="145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</row>
    <row r="129" spans="1:35" ht="15" customHeight="1" thickBot="1">
      <c r="N129" s="145"/>
      <c r="P129" s="125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</row>
    <row r="130" spans="1:35" s="125" customFormat="1" ht="15" customHeight="1" thickBot="1">
      <c r="B130" s="2017" t="s">
        <v>62</v>
      </c>
      <c r="C130" s="2050"/>
      <c r="D130" s="2009"/>
      <c r="E130" s="1972"/>
      <c r="F130" s="1972"/>
      <c r="G130" s="1972"/>
      <c r="H130" s="1972"/>
      <c r="I130" s="1972"/>
      <c r="J130" s="1972"/>
      <c r="K130" s="1972"/>
      <c r="L130" s="1972"/>
      <c r="M130" s="1974"/>
      <c r="P130" s="126"/>
      <c r="Q130" s="807"/>
      <c r="R130" s="807"/>
      <c r="S130" s="837"/>
      <c r="T130" s="837"/>
      <c r="U130" s="837"/>
      <c r="V130" s="837"/>
      <c r="W130" s="837"/>
      <c r="X130" s="837"/>
      <c r="Y130" s="837"/>
      <c r="Z130" s="837"/>
      <c r="AA130" s="837"/>
      <c r="AB130" s="837"/>
      <c r="AC130" s="837"/>
      <c r="AD130" s="837"/>
      <c r="AE130" s="837"/>
      <c r="AF130" s="837"/>
      <c r="AG130" s="837"/>
      <c r="AH130" s="837"/>
      <c r="AI130" s="837"/>
    </row>
    <row r="131" spans="1:35" s="126" customFormat="1" ht="15" customHeight="1">
      <c r="A131" s="125"/>
      <c r="B131" s="133"/>
      <c r="C131" s="134" t="s">
        <v>236</v>
      </c>
      <c r="D131" s="2201">
        <f>ROUND(D122+D123+D124+D125+(D126*2)+D127,Round)</f>
        <v>0</v>
      </c>
      <c r="E131" s="2202"/>
      <c r="F131" s="2202"/>
      <c r="G131" s="2202"/>
      <c r="H131" s="2202"/>
      <c r="I131" s="2202"/>
      <c r="J131" s="2202"/>
      <c r="K131" s="2202"/>
      <c r="L131" s="2202"/>
      <c r="M131" s="2203"/>
      <c r="P131" s="125"/>
      <c r="Q131" s="844"/>
      <c r="R131" s="837"/>
      <c r="S131" s="807"/>
      <c r="T131" s="807"/>
      <c r="U131" s="807"/>
      <c r="V131" s="807"/>
      <c r="W131" s="807"/>
      <c r="X131" s="807"/>
      <c r="Y131" s="807"/>
      <c r="Z131" s="807"/>
      <c r="AA131" s="807"/>
      <c r="AB131" s="807"/>
      <c r="AC131" s="807"/>
      <c r="AD131" s="807"/>
      <c r="AE131" s="807"/>
      <c r="AF131" s="807"/>
      <c r="AG131" s="807"/>
      <c r="AH131" s="807"/>
      <c r="AI131" s="807"/>
    </row>
    <row r="132" spans="1:35" s="125" customFormat="1" ht="15" customHeight="1">
      <c r="B132" s="133"/>
      <c r="C132" s="137" t="s">
        <v>242</v>
      </c>
      <c r="D132" s="2201">
        <f>ROUND((I122*0.5)+I126,Round)</f>
        <v>0</v>
      </c>
      <c r="E132" s="2202"/>
      <c r="F132" s="2202"/>
      <c r="G132" s="2202"/>
      <c r="H132" s="2202"/>
      <c r="I132" s="2202"/>
      <c r="J132" s="2202"/>
      <c r="K132" s="2202"/>
      <c r="L132" s="2202"/>
      <c r="M132" s="2203"/>
      <c r="Q132" s="844"/>
      <c r="R132" s="837"/>
      <c r="S132" s="837"/>
      <c r="T132" s="837"/>
      <c r="U132" s="837"/>
      <c r="V132" s="837"/>
      <c r="W132" s="837"/>
      <c r="X132" s="837"/>
      <c r="Y132" s="837"/>
      <c r="Z132" s="837"/>
      <c r="AA132" s="837"/>
      <c r="AB132" s="837"/>
      <c r="AC132" s="837"/>
      <c r="AD132" s="837"/>
      <c r="AE132" s="837"/>
      <c r="AF132" s="837"/>
      <c r="AG132" s="837"/>
      <c r="AH132" s="837"/>
      <c r="AI132" s="837"/>
    </row>
    <row r="133" spans="1:35" s="125" customFormat="1" ht="15" customHeight="1" thickBot="1">
      <c r="B133" s="135"/>
      <c r="C133" s="136" t="s">
        <v>238</v>
      </c>
      <c r="D133" s="2196">
        <f>D128*0.5</f>
        <v>0</v>
      </c>
      <c r="E133" s="2197"/>
      <c r="F133" s="2197"/>
      <c r="G133" s="2197"/>
      <c r="H133" s="2197"/>
      <c r="I133" s="2197"/>
      <c r="J133" s="2197"/>
      <c r="K133" s="2197"/>
      <c r="L133" s="2197"/>
      <c r="M133" s="2198"/>
      <c r="Q133" s="837"/>
      <c r="R133" s="837"/>
      <c r="S133" s="837"/>
      <c r="T133" s="837"/>
      <c r="U133" s="837"/>
      <c r="V133" s="837"/>
      <c r="W133" s="837"/>
      <c r="X133" s="837"/>
      <c r="Y133" s="837"/>
      <c r="Z133" s="837"/>
      <c r="AA133" s="837"/>
      <c r="AB133" s="837"/>
      <c r="AC133" s="837"/>
      <c r="AD133" s="837"/>
      <c r="AE133" s="837"/>
      <c r="AF133" s="837"/>
      <c r="AG133" s="837"/>
      <c r="AH133" s="837"/>
      <c r="AI133" s="837"/>
    </row>
    <row r="134" spans="1:35" ht="15" customHeight="1" thickBot="1">
      <c r="Q134" s="15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</row>
    <row r="135" spans="1:35" ht="21.75" thickBot="1">
      <c r="B135" s="1549" t="s">
        <v>866</v>
      </c>
      <c r="C135" s="1550"/>
      <c r="D135" s="1561">
        <f>IF(D15="PASS",SUM(D131:M133),0)</f>
        <v>0</v>
      </c>
      <c r="E135" s="1562"/>
      <c r="F135" s="1562"/>
      <c r="G135" s="1562"/>
      <c r="H135" s="1562"/>
      <c r="I135" s="1562"/>
      <c r="J135" s="1562"/>
      <c r="K135" s="1562"/>
      <c r="L135" s="1562"/>
      <c r="M135" s="1563"/>
      <c r="N135" s="122"/>
      <c r="Q135" s="382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</row>
  </sheetData>
  <dataConsolidate/>
  <mergeCells count="156">
    <mergeCell ref="D80:E80"/>
    <mergeCell ref="D81:E81"/>
    <mergeCell ref="D79:E79"/>
    <mergeCell ref="D77:E77"/>
    <mergeCell ref="D78:E78"/>
    <mergeCell ref="D74:E74"/>
    <mergeCell ref="B88:C88"/>
    <mergeCell ref="D88:E88"/>
    <mergeCell ref="F88:H88"/>
    <mergeCell ref="D75:E75"/>
    <mergeCell ref="D89:E89"/>
    <mergeCell ref="B98:B103"/>
    <mergeCell ref="D96:H96"/>
    <mergeCell ref="B113:C113"/>
    <mergeCell ref="D113:H113"/>
    <mergeCell ref="B87:H87"/>
    <mergeCell ref="D109:D110"/>
    <mergeCell ref="D111:D112"/>
    <mergeCell ref="B106:H106"/>
    <mergeCell ref="F107:G107"/>
    <mergeCell ref="D107:E108"/>
    <mergeCell ref="C109:C112"/>
    <mergeCell ref="H107:H108"/>
    <mergeCell ref="D93:H93"/>
    <mergeCell ref="D90:E90"/>
    <mergeCell ref="D91:E91"/>
    <mergeCell ref="D92:E92"/>
    <mergeCell ref="B121:C121"/>
    <mergeCell ref="D121:H121"/>
    <mergeCell ref="I121:M121"/>
    <mergeCell ref="B82:C82"/>
    <mergeCell ref="D82:E82"/>
    <mergeCell ref="I82:J82"/>
    <mergeCell ref="I96:M96"/>
    <mergeCell ref="B104:C104"/>
    <mergeCell ref="D104:H104"/>
    <mergeCell ref="I104:M104"/>
    <mergeCell ref="B119:C119"/>
    <mergeCell ref="D119:M119"/>
    <mergeCell ref="B84:C84"/>
    <mergeCell ref="D84:H84"/>
    <mergeCell ref="I84:M84"/>
    <mergeCell ref="D115:M115"/>
    <mergeCell ref="D116:M116"/>
    <mergeCell ref="D117:E117"/>
    <mergeCell ref="F117:M117"/>
    <mergeCell ref="D118:E118"/>
    <mergeCell ref="F118:M118"/>
    <mergeCell ref="B95:M95"/>
    <mergeCell ref="B96:C96"/>
    <mergeCell ref="B93:C93"/>
    <mergeCell ref="D133:M133"/>
    <mergeCell ref="B135:C135"/>
    <mergeCell ref="D135:M135"/>
    <mergeCell ref="D128:M128"/>
    <mergeCell ref="B130:C130"/>
    <mergeCell ref="D130:M130"/>
    <mergeCell ref="D131:M131"/>
    <mergeCell ref="D132:M132"/>
    <mergeCell ref="D122:H122"/>
    <mergeCell ref="I122:M122"/>
    <mergeCell ref="D123:H123"/>
    <mergeCell ref="I123:M123"/>
    <mergeCell ref="D124:H124"/>
    <mergeCell ref="I124:M124"/>
    <mergeCell ref="D127:M127"/>
    <mergeCell ref="D126:H126"/>
    <mergeCell ref="I126:M126"/>
    <mergeCell ref="D125:H125"/>
    <mergeCell ref="I125:M125"/>
    <mergeCell ref="D73:E73"/>
    <mergeCell ref="D76:E76"/>
    <mergeCell ref="D72:E72"/>
    <mergeCell ref="D66:E66"/>
    <mergeCell ref="D67:E67"/>
    <mergeCell ref="D65:E65"/>
    <mergeCell ref="D68:E68"/>
    <mergeCell ref="D69:E69"/>
    <mergeCell ref="D70:E70"/>
    <mergeCell ref="D71:E71"/>
    <mergeCell ref="D63:E63"/>
    <mergeCell ref="D64:E64"/>
    <mergeCell ref="B61:C61"/>
    <mergeCell ref="B58:C58"/>
    <mergeCell ref="D58:H58"/>
    <mergeCell ref="B60:M60"/>
    <mergeCell ref="D61:E61"/>
    <mergeCell ref="D62:E62"/>
    <mergeCell ref="I12:M12"/>
    <mergeCell ref="D14:H14"/>
    <mergeCell ref="I14:M14"/>
    <mergeCell ref="B17:C17"/>
    <mergeCell ref="B51:C51"/>
    <mergeCell ref="D51:E51"/>
    <mergeCell ref="F51:H51"/>
    <mergeCell ref="D52:E52"/>
    <mergeCell ref="D57:E57"/>
    <mergeCell ref="F52:H52"/>
    <mergeCell ref="D54:E54"/>
    <mergeCell ref="F54:H54"/>
    <mergeCell ref="F57:H57"/>
    <mergeCell ref="D55:H55"/>
    <mergeCell ref="D56:E56"/>
    <mergeCell ref="F56:H56"/>
    <mergeCell ref="D53:E53"/>
    <mergeCell ref="F53:H53"/>
    <mergeCell ref="I8:M8"/>
    <mergeCell ref="D9:H9"/>
    <mergeCell ref="I9:M9"/>
    <mergeCell ref="D11:H11"/>
    <mergeCell ref="I11:M11"/>
    <mergeCell ref="D8:H8"/>
    <mergeCell ref="D12:H12"/>
    <mergeCell ref="I18:M18"/>
    <mergeCell ref="I19:M19"/>
    <mergeCell ref="I20:M20"/>
    <mergeCell ref="I21:M21"/>
    <mergeCell ref="I33:M33"/>
    <mergeCell ref="I22:M22"/>
    <mergeCell ref="I23:M23"/>
    <mergeCell ref="I24:M24"/>
    <mergeCell ref="I25:M25"/>
    <mergeCell ref="I26:M26"/>
    <mergeCell ref="B50:H50"/>
    <mergeCell ref="B15:C15"/>
    <mergeCell ref="D15:M15"/>
    <mergeCell ref="D13:H13"/>
    <mergeCell ref="I13:M13"/>
    <mergeCell ref="I5:M5"/>
    <mergeCell ref="D6:H6"/>
    <mergeCell ref="I6:M6"/>
    <mergeCell ref="D7:H7"/>
    <mergeCell ref="I7:M7"/>
    <mergeCell ref="D5:H5"/>
    <mergeCell ref="I2:M2"/>
    <mergeCell ref="B3:C3"/>
    <mergeCell ref="D3:H3"/>
    <mergeCell ref="I3:M3"/>
    <mergeCell ref="D4:H4"/>
    <mergeCell ref="I4:M4"/>
    <mergeCell ref="B4:C4"/>
    <mergeCell ref="B2:C2"/>
    <mergeCell ref="D2:H2"/>
    <mergeCell ref="B35:C35"/>
    <mergeCell ref="B48:C48"/>
    <mergeCell ref="D48:H48"/>
    <mergeCell ref="D29:H29"/>
    <mergeCell ref="D30:H30"/>
    <mergeCell ref="D31:H31"/>
    <mergeCell ref="D32:H32"/>
    <mergeCell ref="B33:C33"/>
    <mergeCell ref="D33:H33"/>
    <mergeCell ref="B18:B32"/>
    <mergeCell ref="D27:H27"/>
    <mergeCell ref="D28:H28"/>
    <mergeCell ref="B36:B47"/>
  </mergeCells>
  <conditionalFormatting sqref="H62">
    <cfRule type="cellIs" dxfId="1040" priority="1682" operator="equal">
      <formula>"Green"</formula>
    </cfRule>
    <cfRule type="cellIs" dxfId="1039" priority="1683" operator="equal">
      <formula>"Yellow"</formula>
    </cfRule>
    <cfRule type="cellIs" dxfId="1038" priority="1684" operator="equal">
      <formula>"Orange"</formula>
    </cfRule>
    <cfRule type="cellIs" dxfId="1037" priority="1685" operator="equal">
      <formula>"Brown"</formula>
    </cfRule>
    <cfRule type="cellIs" dxfId="1036" priority="1686" operator="equal">
      <formula>"Red"</formula>
    </cfRule>
  </conditionalFormatting>
  <conditionalFormatting sqref="H63">
    <cfRule type="cellIs" dxfId="1035" priority="1677" operator="equal">
      <formula>"Green"</formula>
    </cfRule>
    <cfRule type="cellIs" dxfId="1034" priority="1678" operator="equal">
      <formula>"Yellow"</formula>
    </cfRule>
    <cfRule type="cellIs" dxfId="1033" priority="1679" operator="equal">
      <formula>"Orange"</formula>
    </cfRule>
    <cfRule type="cellIs" dxfId="1032" priority="1680" operator="equal">
      <formula>"Brown"</formula>
    </cfRule>
    <cfRule type="cellIs" dxfId="1031" priority="1681" operator="equal">
      <formula>"Red"</formula>
    </cfRule>
  </conditionalFormatting>
  <conditionalFormatting sqref="H64">
    <cfRule type="cellIs" dxfId="1030" priority="1672" operator="equal">
      <formula>"Green"</formula>
    </cfRule>
    <cfRule type="cellIs" dxfId="1029" priority="1673" operator="equal">
      <formula>"Yellow"</formula>
    </cfRule>
    <cfRule type="cellIs" dxfId="1028" priority="1674" operator="equal">
      <formula>"Orange"</formula>
    </cfRule>
    <cfRule type="cellIs" dxfId="1027" priority="1675" operator="equal">
      <formula>"Brown"</formula>
    </cfRule>
    <cfRule type="cellIs" dxfId="1026" priority="1676" operator="equal">
      <formula>"Red"</formula>
    </cfRule>
  </conditionalFormatting>
  <conditionalFormatting sqref="H66">
    <cfRule type="cellIs" dxfId="1025" priority="1667" operator="equal">
      <formula>"Green"</formula>
    </cfRule>
    <cfRule type="cellIs" dxfId="1024" priority="1668" operator="equal">
      <formula>"Yellow"</formula>
    </cfRule>
    <cfRule type="cellIs" dxfId="1023" priority="1669" operator="equal">
      <formula>"Orange"</formula>
    </cfRule>
    <cfRule type="cellIs" dxfId="1022" priority="1670" operator="equal">
      <formula>"Brown"</formula>
    </cfRule>
    <cfRule type="cellIs" dxfId="1021" priority="1671" operator="equal">
      <formula>"Red"</formula>
    </cfRule>
  </conditionalFormatting>
  <conditionalFormatting sqref="H68">
    <cfRule type="cellIs" dxfId="1020" priority="1662" operator="equal">
      <formula>"Green"</formula>
    </cfRule>
    <cfRule type="cellIs" dxfId="1019" priority="1663" operator="equal">
      <formula>"Yellow"</formula>
    </cfRule>
    <cfRule type="cellIs" dxfId="1018" priority="1664" operator="equal">
      <formula>"Orange"</formula>
    </cfRule>
    <cfRule type="cellIs" dxfId="1017" priority="1665" operator="equal">
      <formula>"Brown"</formula>
    </cfRule>
    <cfRule type="cellIs" dxfId="1016" priority="1666" operator="equal">
      <formula>"Red"</formula>
    </cfRule>
  </conditionalFormatting>
  <conditionalFormatting sqref="H65">
    <cfRule type="cellIs" dxfId="1015" priority="1656" operator="equal">
      <formula>"Green"</formula>
    </cfRule>
    <cfRule type="cellIs" dxfId="1014" priority="1657" operator="equal">
      <formula>"Yellow"</formula>
    </cfRule>
    <cfRule type="cellIs" dxfId="1013" priority="1658" operator="equal">
      <formula>"Orange"</formula>
    </cfRule>
    <cfRule type="cellIs" dxfId="1012" priority="1659" operator="equal">
      <formula>"Brown"</formula>
    </cfRule>
    <cfRule type="cellIs" dxfId="1011" priority="1660" operator="equal">
      <formula>"Red"</formula>
    </cfRule>
  </conditionalFormatting>
  <conditionalFormatting sqref="H67">
    <cfRule type="cellIs" dxfId="1010" priority="1651" operator="equal">
      <formula>"Green"</formula>
    </cfRule>
    <cfRule type="cellIs" dxfId="1009" priority="1652" operator="equal">
      <formula>"Yellow"</formula>
    </cfRule>
    <cfRule type="cellIs" dxfId="1008" priority="1653" operator="equal">
      <formula>"Orange"</formula>
    </cfRule>
    <cfRule type="cellIs" dxfId="1007" priority="1654" operator="equal">
      <formula>"Brown"</formula>
    </cfRule>
    <cfRule type="cellIs" dxfId="1006" priority="1655" operator="equal">
      <formula>"Red"</formula>
    </cfRule>
  </conditionalFormatting>
  <conditionalFormatting sqref="H69">
    <cfRule type="cellIs" dxfId="1005" priority="1646" operator="equal">
      <formula>"Green"</formula>
    </cfRule>
    <cfRule type="cellIs" dxfId="1004" priority="1647" operator="equal">
      <formula>"Yellow"</formula>
    </cfRule>
    <cfRule type="cellIs" dxfId="1003" priority="1648" operator="equal">
      <formula>"Orange"</formula>
    </cfRule>
    <cfRule type="cellIs" dxfId="1002" priority="1649" operator="equal">
      <formula>"Brown"</formula>
    </cfRule>
    <cfRule type="cellIs" dxfId="1001" priority="1650" operator="equal">
      <formula>"Red"</formula>
    </cfRule>
  </conditionalFormatting>
  <conditionalFormatting sqref="H71">
    <cfRule type="cellIs" dxfId="1000" priority="1641" operator="equal">
      <formula>"Green"</formula>
    </cfRule>
    <cfRule type="cellIs" dxfId="999" priority="1642" operator="equal">
      <formula>"Yellow"</formula>
    </cfRule>
    <cfRule type="cellIs" dxfId="998" priority="1643" operator="equal">
      <formula>"Orange"</formula>
    </cfRule>
    <cfRule type="cellIs" dxfId="997" priority="1644" operator="equal">
      <formula>"Brown"</formula>
    </cfRule>
    <cfRule type="cellIs" dxfId="996" priority="1645" operator="equal">
      <formula>"Red"</formula>
    </cfRule>
  </conditionalFormatting>
  <conditionalFormatting sqref="H70">
    <cfRule type="cellIs" dxfId="995" priority="1636" operator="equal">
      <formula>"Green"</formula>
    </cfRule>
    <cfRule type="cellIs" dxfId="994" priority="1637" operator="equal">
      <formula>"Yellow"</formula>
    </cfRule>
    <cfRule type="cellIs" dxfId="993" priority="1638" operator="equal">
      <formula>"Orange"</formula>
    </cfRule>
    <cfRule type="cellIs" dxfId="992" priority="1639" operator="equal">
      <formula>"Brown"</formula>
    </cfRule>
    <cfRule type="cellIs" dxfId="991" priority="1640" operator="equal">
      <formula>"Red"</formula>
    </cfRule>
  </conditionalFormatting>
  <conditionalFormatting sqref="F53">
    <cfRule type="cellIs" dxfId="990" priority="1601" operator="equal">
      <formula>"Green"</formula>
    </cfRule>
    <cfRule type="cellIs" dxfId="989" priority="1602" operator="equal">
      <formula>"Yellow"</formula>
    </cfRule>
    <cfRule type="cellIs" dxfId="988" priority="1603" operator="equal">
      <formula>"Orange"</formula>
    </cfRule>
    <cfRule type="cellIs" dxfId="987" priority="1604" operator="equal">
      <formula>"Brown"</formula>
    </cfRule>
    <cfRule type="cellIs" dxfId="986" priority="1605" operator="equal">
      <formula>"Red"</formula>
    </cfRule>
  </conditionalFormatting>
  <conditionalFormatting sqref="F52">
    <cfRule type="cellIs" dxfId="985" priority="1596" operator="equal">
      <formula>"Green"</formula>
    </cfRule>
    <cfRule type="cellIs" dxfId="984" priority="1597" operator="equal">
      <formula>"Yellow"</formula>
    </cfRule>
    <cfRule type="cellIs" dxfId="983" priority="1598" operator="equal">
      <formula>"Orange"</formula>
    </cfRule>
    <cfRule type="cellIs" dxfId="982" priority="1599" operator="equal">
      <formula>"Brown"</formula>
    </cfRule>
    <cfRule type="cellIs" dxfId="981" priority="1600" operator="equal">
      <formula>"Red"</formula>
    </cfRule>
  </conditionalFormatting>
  <conditionalFormatting sqref="D52 D107 H107">
    <cfRule type="cellIs" dxfId="980" priority="1591" operator="equal">
      <formula>"Green"</formula>
    </cfRule>
    <cfRule type="cellIs" dxfId="979" priority="1592" operator="equal">
      <formula>"Yellow"</formula>
    </cfRule>
    <cfRule type="cellIs" dxfId="978" priority="1593" operator="equal">
      <formula>"Orange"</formula>
    </cfRule>
    <cfRule type="cellIs" dxfId="977" priority="1594" operator="equal">
      <formula>"Brown"</formula>
    </cfRule>
    <cfRule type="cellIs" dxfId="976" priority="1595" operator="equal">
      <formula>"Red"</formula>
    </cfRule>
  </conditionalFormatting>
  <conditionalFormatting sqref="F56">
    <cfRule type="cellIs" dxfId="975" priority="1586" operator="equal">
      <formula>"Green"</formula>
    </cfRule>
    <cfRule type="cellIs" dxfId="974" priority="1587" operator="equal">
      <formula>"Yellow"</formula>
    </cfRule>
    <cfRule type="cellIs" dxfId="973" priority="1588" operator="equal">
      <formula>"Orange"</formula>
    </cfRule>
    <cfRule type="cellIs" dxfId="972" priority="1589" operator="equal">
      <formula>"Brown"</formula>
    </cfRule>
    <cfRule type="cellIs" dxfId="971" priority="1590" operator="equal">
      <formula>"Red"</formula>
    </cfRule>
  </conditionalFormatting>
  <conditionalFormatting sqref="F57">
    <cfRule type="cellIs" dxfId="970" priority="1581" operator="equal">
      <formula>"Green"</formula>
    </cfRule>
    <cfRule type="cellIs" dxfId="969" priority="1582" operator="equal">
      <formula>"Yellow"</formula>
    </cfRule>
    <cfRule type="cellIs" dxfId="968" priority="1583" operator="equal">
      <formula>"Orange"</formula>
    </cfRule>
    <cfRule type="cellIs" dxfId="967" priority="1584" operator="equal">
      <formula>"Brown"</formula>
    </cfRule>
    <cfRule type="cellIs" dxfId="966" priority="1585" operator="equal">
      <formula>"Red"</formula>
    </cfRule>
  </conditionalFormatting>
  <conditionalFormatting sqref="D55">
    <cfRule type="cellIs" dxfId="965" priority="1576" operator="equal">
      <formula>"Green"</formula>
    </cfRule>
    <cfRule type="cellIs" dxfId="964" priority="1577" operator="equal">
      <formula>"Yellow"</formula>
    </cfRule>
    <cfRule type="cellIs" dxfId="963" priority="1578" operator="equal">
      <formula>"Orange"</formula>
    </cfRule>
    <cfRule type="cellIs" dxfId="962" priority="1579" operator="equal">
      <formula>"Brown"</formula>
    </cfRule>
    <cfRule type="cellIs" dxfId="961" priority="1580" operator="equal">
      <formula>"Red"</formula>
    </cfRule>
  </conditionalFormatting>
  <conditionalFormatting sqref="D53:E54">
    <cfRule type="cellIs" dxfId="960" priority="1433" operator="equal">
      <formula>"AEB"</formula>
    </cfRule>
    <cfRule type="cellIs" dxfId="959" priority="1434" operator="equal">
      <formula>"Green"</formula>
    </cfRule>
    <cfRule type="cellIs" dxfId="958" priority="1435" operator="equal">
      <formula>"Yellow"</formula>
    </cfRule>
    <cfRule type="cellIs" dxfId="957" priority="1436" operator="equal">
      <formula>"Orange"</formula>
    </cfRule>
    <cfRule type="cellIs" dxfId="956" priority="1437" operator="equal">
      <formula>"Brown"</formula>
    </cfRule>
    <cfRule type="cellIs" dxfId="955" priority="1438" operator="equal">
      <formula>"Red"</formula>
    </cfRule>
  </conditionalFormatting>
  <conditionalFormatting sqref="D56:E57">
    <cfRule type="cellIs" dxfId="954" priority="1421" operator="equal">
      <formula>"AEB"</formula>
    </cfRule>
    <cfRule type="cellIs" dxfId="953" priority="1422" operator="equal">
      <formula>"Green"</formula>
    </cfRule>
    <cfRule type="cellIs" dxfId="952" priority="1423" operator="equal">
      <formula>"Yellow"</formula>
    </cfRule>
    <cfRule type="cellIs" dxfId="951" priority="1424" operator="equal">
      <formula>"Orange"</formula>
    </cfRule>
    <cfRule type="cellIs" dxfId="950" priority="1425" operator="equal">
      <formula>"Brown"</formula>
    </cfRule>
    <cfRule type="cellIs" dxfId="949" priority="1426" operator="equal">
      <formula>"Red"</formula>
    </cfRule>
  </conditionalFormatting>
  <conditionalFormatting sqref="F54">
    <cfRule type="cellIs" dxfId="948" priority="1410" operator="equal">
      <formula>"Green"</formula>
    </cfRule>
    <cfRule type="cellIs" dxfId="947" priority="1411" operator="equal">
      <formula>"Yellow"</formula>
    </cfRule>
    <cfRule type="cellIs" dxfId="946" priority="1412" operator="equal">
      <formula>"Orange"</formula>
    </cfRule>
    <cfRule type="cellIs" dxfId="945" priority="1413" operator="equal">
      <formula>"Brown"</formula>
    </cfRule>
    <cfRule type="cellIs" dxfId="944" priority="1414" operator="equal">
      <formula>"Red"</formula>
    </cfRule>
  </conditionalFormatting>
  <conditionalFormatting sqref="H72">
    <cfRule type="cellIs" dxfId="943" priority="1405" operator="equal">
      <formula>"Green"</formula>
    </cfRule>
    <cfRule type="cellIs" dxfId="942" priority="1406" operator="equal">
      <formula>"Yellow"</formula>
    </cfRule>
    <cfRule type="cellIs" dxfId="941" priority="1407" operator="equal">
      <formula>"Orange"</formula>
    </cfRule>
    <cfRule type="cellIs" dxfId="940" priority="1408" operator="equal">
      <formula>"Brown"</formula>
    </cfRule>
    <cfRule type="cellIs" dxfId="939" priority="1409" operator="equal">
      <formula>"Red"</formula>
    </cfRule>
  </conditionalFormatting>
  <conditionalFormatting sqref="H73">
    <cfRule type="cellIs" dxfId="938" priority="1400" operator="equal">
      <formula>"Green"</formula>
    </cfRule>
    <cfRule type="cellIs" dxfId="937" priority="1401" operator="equal">
      <formula>"Yellow"</formula>
    </cfRule>
    <cfRule type="cellIs" dxfId="936" priority="1402" operator="equal">
      <formula>"Orange"</formula>
    </cfRule>
    <cfRule type="cellIs" dxfId="935" priority="1403" operator="equal">
      <formula>"Brown"</formula>
    </cfRule>
    <cfRule type="cellIs" dxfId="934" priority="1404" operator="equal">
      <formula>"Red"</formula>
    </cfRule>
  </conditionalFormatting>
  <conditionalFormatting sqref="H74">
    <cfRule type="cellIs" dxfId="933" priority="1395" operator="equal">
      <formula>"Green"</formula>
    </cfRule>
    <cfRule type="cellIs" dxfId="932" priority="1396" operator="equal">
      <formula>"Yellow"</formula>
    </cfRule>
    <cfRule type="cellIs" dxfId="931" priority="1397" operator="equal">
      <formula>"Orange"</formula>
    </cfRule>
    <cfRule type="cellIs" dxfId="930" priority="1398" operator="equal">
      <formula>"Brown"</formula>
    </cfRule>
    <cfRule type="cellIs" dxfId="929" priority="1399" operator="equal">
      <formula>"Red"</formula>
    </cfRule>
  </conditionalFormatting>
  <conditionalFormatting sqref="H76">
    <cfRule type="cellIs" dxfId="928" priority="1390" operator="equal">
      <formula>"Green"</formula>
    </cfRule>
    <cfRule type="cellIs" dxfId="927" priority="1391" operator="equal">
      <formula>"Yellow"</formula>
    </cfRule>
    <cfRule type="cellIs" dxfId="926" priority="1392" operator="equal">
      <formula>"Orange"</formula>
    </cfRule>
    <cfRule type="cellIs" dxfId="925" priority="1393" operator="equal">
      <formula>"Brown"</formula>
    </cfRule>
    <cfRule type="cellIs" dxfId="924" priority="1394" operator="equal">
      <formula>"Red"</formula>
    </cfRule>
  </conditionalFormatting>
  <conditionalFormatting sqref="H78">
    <cfRule type="cellIs" dxfId="923" priority="1385" operator="equal">
      <formula>"Green"</formula>
    </cfRule>
    <cfRule type="cellIs" dxfId="922" priority="1386" operator="equal">
      <formula>"Yellow"</formula>
    </cfRule>
    <cfRule type="cellIs" dxfId="921" priority="1387" operator="equal">
      <formula>"Orange"</formula>
    </cfRule>
    <cfRule type="cellIs" dxfId="920" priority="1388" operator="equal">
      <formula>"Brown"</formula>
    </cfRule>
    <cfRule type="cellIs" dxfId="919" priority="1389" operator="equal">
      <formula>"Red"</formula>
    </cfRule>
  </conditionalFormatting>
  <conditionalFormatting sqref="H75">
    <cfRule type="cellIs" dxfId="918" priority="1380" operator="equal">
      <formula>"Green"</formula>
    </cfRule>
    <cfRule type="cellIs" dxfId="917" priority="1381" operator="equal">
      <formula>"Yellow"</formula>
    </cfRule>
    <cfRule type="cellIs" dxfId="916" priority="1382" operator="equal">
      <formula>"Orange"</formula>
    </cfRule>
    <cfRule type="cellIs" dxfId="915" priority="1383" operator="equal">
      <formula>"Brown"</formula>
    </cfRule>
    <cfRule type="cellIs" dxfId="914" priority="1384" operator="equal">
      <formula>"Red"</formula>
    </cfRule>
  </conditionalFormatting>
  <conditionalFormatting sqref="H77">
    <cfRule type="cellIs" dxfId="913" priority="1375" operator="equal">
      <formula>"Green"</formula>
    </cfRule>
    <cfRule type="cellIs" dxfId="912" priority="1376" operator="equal">
      <formula>"Yellow"</formula>
    </cfRule>
    <cfRule type="cellIs" dxfId="911" priority="1377" operator="equal">
      <formula>"Orange"</formula>
    </cfRule>
    <cfRule type="cellIs" dxfId="910" priority="1378" operator="equal">
      <formula>"Brown"</formula>
    </cfRule>
    <cfRule type="cellIs" dxfId="909" priority="1379" operator="equal">
      <formula>"Red"</formula>
    </cfRule>
  </conditionalFormatting>
  <conditionalFormatting sqref="H79">
    <cfRule type="cellIs" dxfId="908" priority="1370" operator="equal">
      <formula>"Green"</formula>
    </cfRule>
    <cfRule type="cellIs" dxfId="907" priority="1371" operator="equal">
      <formula>"Yellow"</formula>
    </cfRule>
    <cfRule type="cellIs" dxfId="906" priority="1372" operator="equal">
      <formula>"Orange"</formula>
    </cfRule>
    <cfRule type="cellIs" dxfId="905" priority="1373" operator="equal">
      <formula>"Brown"</formula>
    </cfRule>
    <cfRule type="cellIs" dxfId="904" priority="1374" operator="equal">
      <formula>"Red"</formula>
    </cfRule>
  </conditionalFormatting>
  <conditionalFormatting sqref="H81">
    <cfRule type="cellIs" dxfId="903" priority="1365" operator="equal">
      <formula>"Green"</formula>
    </cfRule>
    <cfRule type="cellIs" dxfId="902" priority="1366" operator="equal">
      <formula>"Yellow"</formula>
    </cfRule>
    <cfRule type="cellIs" dxfId="901" priority="1367" operator="equal">
      <formula>"Orange"</formula>
    </cfRule>
    <cfRule type="cellIs" dxfId="900" priority="1368" operator="equal">
      <formula>"Brown"</formula>
    </cfRule>
    <cfRule type="cellIs" dxfId="899" priority="1369" operator="equal">
      <formula>"Red"</formula>
    </cfRule>
  </conditionalFormatting>
  <conditionalFormatting sqref="H80">
    <cfRule type="cellIs" dxfId="898" priority="1360" operator="equal">
      <formula>"Green"</formula>
    </cfRule>
    <cfRule type="cellIs" dxfId="897" priority="1361" operator="equal">
      <formula>"Yellow"</formula>
    </cfRule>
    <cfRule type="cellIs" dxfId="896" priority="1362" operator="equal">
      <formula>"Orange"</formula>
    </cfRule>
    <cfRule type="cellIs" dxfId="895" priority="1363" operator="equal">
      <formula>"Brown"</formula>
    </cfRule>
    <cfRule type="cellIs" dxfId="894" priority="1364" operator="equal">
      <formula>"Red"</formula>
    </cfRule>
  </conditionalFormatting>
  <conditionalFormatting sqref="M62">
    <cfRule type="cellIs" dxfId="893" priority="1350" operator="equal">
      <formula>"Green"</formula>
    </cfRule>
    <cfRule type="cellIs" dxfId="892" priority="1351" operator="equal">
      <formula>"Yellow"</formula>
    </cfRule>
    <cfRule type="cellIs" dxfId="891" priority="1352" operator="equal">
      <formula>"Orange"</formula>
    </cfRule>
    <cfRule type="cellIs" dxfId="890" priority="1353" operator="equal">
      <formula>"Brown"</formula>
    </cfRule>
    <cfRule type="cellIs" dxfId="889" priority="1354" operator="equal">
      <formula>"Red"</formula>
    </cfRule>
  </conditionalFormatting>
  <conditionalFormatting sqref="M63">
    <cfRule type="cellIs" dxfId="888" priority="1345" operator="equal">
      <formula>"Green"</formula>
    </cfRule>
    <cfRule type="cellIs" dxfId="887" priority="1346" operator="equal">
      <formula>"Yellow"</formula>
    </cfRule>
    <cfRule type="cellIs" dxfId="886" priority="1347" operator="equal">
      <formula>"Orange"</formula>
    </cfRule>
    <cfRule type="cellIs" dxfId="885" priority="1348" operator="equal">
      <formula>"Brown"</formula>
    </cfRule>
    <cfRule type="cellIs" dxfId="884" priority="1349" operator="equal">
      <formula>"Red"</formula>
    </cfRule>
  </conditionalFormatting>
  <conditionalFormatting sqref="M64">
    <cfRule type="cellIs" dxfId="883" priority="1340" operator="equal">
      <formula>"Green"</formula>
    </cfRule>
    <cfRule type="cellIs" dxfId="882" priority="1341" operator="equal">
      <formula>"Yellow"</formula>
    </cfRule>
    <cfRule type="cellIs" dxfId="881" priority="1342" operator="equal">
      <formula>"Orange"</formula>
    </cfRule>
    <cfRule type="cellIs" dxfId="880" priority="1343" operator="equal">
      <formula>"Brown"</formula>
    </cfRule>
    <cfRule type="cellIs" dxfId="879" priority="1344" operator="equal">
      <formula>"Red"</formula>
    </cfRule>
  </conditionalFormatting>
  <conditionalFormatting sqref="M66">
    <cfRule type="cellIs" dxfId="878" priority="1335" operator="equal">
      <formula>"Green"</formula>
    </cfRule>
    <cfRule type="cellIs" dxfId="877" priority="1336" operator="equal">
      <formula>"Yellow"</formula>
    </cfRule>
    <cfRule type="cellIs" dxfId="876" priority="1337" operator="equal">
      <formula>"Orange"</formula>
    </cfRule>
    <cfRule type="cellIs" dxfId="875" priority="1338" operator="equal">
      <formula>"Brown"</formula>
    </cfRule>
    <cfRule type="cellIs" dxfId="874" priority="1339" operator="equal">
      <formula>"Red"</formula>
    </cfRule>
  </conditionalFormatting>
  <conditionalFormatting sqref="M68">
    <cfRule type="cellIs" dxfId="873" priority="1330" operator="equal">
      <formula>"Green"</formula>
    </cfRule>
    <cfRule type="cellIs" dxfId="872" priority="1331" operator="equal">
      <formula>"Yellow"</formula>
    </cfRule>
    <cfRule type="cellIs" dxfId="871" priority="1332" operator="equal">
      <formula>"Orange"</formula>
    </cfRule>
    <cfRule type="cellIs" dxfId="870" priority="1333" operator="equal">
      <formula>"Brown"</formula>
    </cfRule>
    <cfRule type="cellIs" dxfId="869" priority="1334" operator="equal">
      <formula>"Red"</formula>
    </cfRule>
  </conditionalFormatting>
  <conditionalFormatting sqref="M65">
    <cfRule type="cellIs" dxfId="868" priority="1325" operator="equal">
      <formula>"Green"</formula>
    </cfRule>
    <cfRule type="cellIs" dxfId="867" priority="1326" operator="equal">
      <formula>"Yellow"</formula>
    </cfRule>
    <cfRule type="cellIs" dxfId="866" priority="1327" operator="equal">
      <formula>"Orange"</formula>
    </cfRule>
    <cfRule type="cellIs" dxfId="865" priority="1328" operator="equal">
      <formula>"Brown"</formula>
    </cfRule>
    <cfRule type="cellIs" dxfId="864" priority="1329" operator="equal">
      <formula>"Red"</formula>
    </cfRule>
  </conditionalFormatting>
  <conditionalFormatting sqref="M67">
    <cfRule type="cellIs" dxfId="863" priority="1320" operator="equal">
      <formula>"Green"</formula>
    </cfRule>
    <cfRule type="cellIs" dxfId="862" priority="1321" operator="equal">
      <formula>"Yellow"</formula>
    </cfRule>
    <cfRule type="cellIs" dxfId="861" priority="1322" operator="equal">
      <formula>"Orange"</formula>
    </cfRule>
    <cfRule type="cellIs" dxfId="860" priority="1323" operator="equal">
      <formula>"Brown"</formula>
    </cfRule>
    <cfRule type="cellIs" dxfId="859" priority="1324" operator="equal">
      <formula>"Red"</formula>
    </cfRule>
  </conditionalFormatting>
  <conditionalFormatting sqref="M69">
    <cfRule type="cellIs" dxfId="858" priority="1315" operator="equal">
      <formula>"Green"</formula>
    </cfRule>
    <cfRule type="cellIs" dxfId="857" priority="1316" operator="equal">
      <formula>"Yellow"</formula>
    </cfRule>
    <cfRule type="cellIs" dxfId="856" priority="1317" operator="equal">
      <formula>"Orange"</formula>
    </cfRule>
    <cfRule type="cellIs" dxfId="855" priority="1318" operator="equal">
      <formula>"Brown"</formula>
    </cfRule>
    <cfRule type="cellIs" dxfId="854" priority="1319" operator="equal">
      <formula>"Red"</formula>
    </cfRule>
  </conditionalFormatting>
  <conditionalFormatting sqref="M71">
    <cfRule type="cellIs" dxfId="853" priority="1310" operator="equal">
      <formula>"Green"</formula>
    </cfRule>
    <cfRule type="cellIs" dxfId="852" priority="1311" operator="equal">
      <formula>"Yellow"</formula>
    </cfRule>
    <cfRule type="cellIs" dxfId="851" priority="1312" operator="equal">
      <formula>"Orange"</formula>
    </cfRule>
    <cfRule type="cellIs" dxfId="850" priority="1313" operator="equal">
      <formula>"Brown"</formula>
    </cfRule>
    <cfRule type="cellIs" dxfId="849" priority="1314" operator="equal">
      <formula>"Red"</formula>
    </cfRule>
  </conditionalFormatting>
  <conditionalFormatting sqref="M70">
    <cfRule type="cellIs" dxfId="848" priority="1305" operator="equal">
      <formula>"Green"</formula>
    </cfRule>
    <cfRule type="cellIs" dxfId="847" priority="1306" operator="equal">
      <formula>"Yellow"</formula>
    </cfRule>
    <cfRule type="cellIs" dxfId="846" priority="1307" operator="equal">
      <formula>"Orange"</formula>
    </cfRule>
    <cfRule type="cellIs" dxfId="845" priority="1308" operator="equal">
      <formula>"Brown"</formula>
    </cfRule>
    <cfRule type="cellIs" dxfId="844" priority="1309" operator="equal">
      <formula>"Red"</formula>
    </cfRule>
  </conditionalFormatting>
  <conditionalFormatting sqref="M72">
    <cfRule type="cellIs" dxfId="843" priority="1300" operator="equal">
      <formula>"Green"</formula>
    </cfRule>
    <cfRule type="cellIs" dxfId="842" priority="1301" operator="equal">
      <formula>"Yellow"</formula>
    </cfRule>
    <cfRule type="cellIs" dxfId="841" priority="1302" operator="equal">
      <formula>"Orange"</formula>
    </cfRule>
    <cfRule type="cellIs" dxfId="840" priority="1303" operator="equal">
      <formula>"Brown"</formula>
    </cfRule>
    <cfRule type="cellIs" dxfId="839" priority="1304" operator="equal">
      <formula>"Red"</formula>
    </cfRule>
  </conditionalFormatting>
  <conditionalFormatting sqref="M73">
    <cfRule type="cellIs" dxfId="838" priority="1295" operator="equal">
      <formula>"Green"</formula>
    </cfRule>
    <cfRule type="cellIs" dxfId="837" priority="1296" operator="equal">
      <formula>"Yellow"</formula>
    </cfRule>
    <cfRule type="cellIs" dxfId="836" priority="1297" operator="equal">
      <formula>"Orange"</formula>
    </cfRule>
    <cfRule type="cellIs" dxfId="835" priority="1298" operator="equal">
      <formula>"Brown"</formula>
    </cfRule>
    <cfRule type="cellIs" dxfId="834" priority="1299" operator="equal">
      <formula>"Red"</formula>
    </cfRule>
  </conditionalFormatting>
  <conditionalFormatting sqref="M74">
    <cfRule type="cellIs" dxfId="833" priority="1290" operator="equal">
      <formula>"Green"</formula>
    </cfRule>
    <cfRule type="cellIs" dxfId="832" priority="1291" operator="equal">
      <formula>"Yellow"</formula>
    </cfRule>
    <cfRule type="cellIs" dxfId="831" priority="1292" operator="equal">
      <formula>"Orange"</formula>
    </cfRule>
    <cfRule type="cellIs" dxfId="830" priority="1293" operator="equal">
      <formula>"Brown"</formula>
    </cfRule>
    <cfRule type="cellIs" dxfId="829" priority="1294" operator="equal">
      <formula>"Red"</formula>
    </cfRule>
  </conditionalFormatting>
  <conditionalFormatting sqref="M76">
    <cfRule type="cellIs" dxfId="828" priority="1285" operator="equal">
      <formula>"Green"</formula>
    </cfRule>
    <cfRule type="cellIs" dxfId="827" priority="1286" operator="equal">
      <formula>"Yellow"</formula>
    </cfRule>
    <cfRule type="cellIs" dxfId="826" priority="1287" operator="equal">
      <formula>"Orange"</formula>
    </cfRule>
    <cfRule type="cellIs" dxfId="825" priority="1288" operator="equal">
      <formula>"Brown"</formula>
    </cfRule>
    <cfRule type="cellIs" dxfId="824" priority="1289" operator="equal">
      <formula>"Red"</formula>
    </cfRule>
  </conditionalFormatting>
  <conditionalFormatting sqref="M78">
    <cfRule type="cellIs" dxfId="823" priority="1280" operator="equal">
      <formula>"Green"</formula>
    </cfRule>
    <cfRule type="cellIs" dxfId="822" priority="1281" operator="equal">
      <formula>"Yellow"</formula>
    </cfRule>
    <cfRule type="cellIs" dxfId="821" priority="1282" operator="equal">
      <formula>"Orange"</formula>
    </cfRule>
    <cfRule type="cellIs" dxfId="820" priority="1283" operator="equal">
      <formula>"Brown"</formula>
    </cfRule>
    <cfRule type="cellIs" dxfId="819" priority="1284" operator="equal">
      <formula>"Red"</formula>
    </cfRule>
  </conditionalFormatting>
  <conditionalFormatting sqref="M75">
    <cfRule type="cellIs" dxfId="818" priority="1275" operator="equal">
      <formula>"Green"</formula>
    </cfRule>
    <cfRule type="cellIs" dxfId="817" priority="1276" operator="equal">
      <formula>"Yellow"</formula>
    </cfRule>
    <cfRule type="cellIs" dxfId="816" priority="1277" operator="equal">
      <formula>"Orange"</formula>
    </cfRule>
    <cfRule type="cellIs" dxfId="815" priority="1278" operator="equal">
      <formula>"Brown"</formula>
    </cfRule>
    <cfRule type="cellIs" dxfId="814" priority="1279" operator="equal">
      <formula>"Red"</formula>
    </cfRule>
  </conditionalFormatting>
  <conditionalFormatting sqref="M77">
    <cfRule type="cellIs" dxfId="813" priority="1270" operator="equal">
      <formula>"Green"</formula>
    </cfRule>
    <cfRule type="cellIs" dxfId="812" priority="1271" operator="equal">
      <formula>"Yellow"</formula>
    </cfRule>
    <cfRule type="cellIs" dxfId="811" priority="1272" operator="equal">
      <formula>"Orange"</formula>
    </cfRule>
    <cfRule type="cellIs" dxfId="810" priority="1273" operator="equal">
      <formula>"Brown"</formula>
    </cfRule>
    <cfRule type="cellIs" dxfId="809" priority="1274" operator="equal">
      <formula>"Red"</formula>
    </cfRule>
  </conditionalFormatting>
  <conditionalFormatting sqref="M79">
    <cfRule type="cellIs" dxfId="808" priority="1265" operator="equal">
      <formula>"Green"</formula>
    </cfRule>
    <cfRule type="cellIs" dxfId="807" priority="1266" operator="equal">
      <formula>"Yellow"</formula>
    </cfRule>
    <cfRule type="cellIs" dxfId="806" priority="1267" operator="equal">
      <formula>"Orange"</formula>
    </cfRule>
    <cfRule type="cellIs" dxfId="805" priority="1268" operator="equal">
      <formula>"Brown"</formula>
    </cfRule>
    <cfRule type="cellIs" dxfId="804" priority="1269" operator="equal">
      <formula>"Red"</formula>
    </cfRule>
  </conditionalFormatting>
  <conditionalFormatting sqref="M81">
    <cfRule type="cellIs" dxfId="803" priority="1260" operator="equal">
      <formula>"Green"</formula>
    </cfRule>
    <cfRule type="cellIs" dxfId="802" priority="1261" operator="equal">
      <formula>"Yellow"</formula>
    </cfRule>
    <cfRule type="cellIs" dxfId="801" priority="1262" operator="equal">
      <formula>"Orange"</formula>
    </cfRule>
    <cfRule type="cellIs" dxfId="800" priority="1263" operator="equal">
      <formula>"Brown"</formula>
    </cfRule>
    <cfRule type="cellIs" dxfId="799" priority="1264" operator="equal">
      <formula>"Red"</formula>
    </cfRule>
  </conditionalFormatting>
  <conditionalFormatting sqref="M80">
    <cfRule type="cellIs" dxfId="798" priority="1255" operator="equal">
      <formula>"Green"</formula>
    </cfRule>
    <cfRule type="cellIs" dxfId="797" priority="1256" operator="equal">
      <formula>"Yellow"</formula>
    </cfRule>
    <cfRule type="cellIs" dxfId="796" priority="1257" operator="equal">
      <formula>"Orange"</formula>
    </cfRule>
    <cfRule type="cellIs" dxfId="795" priority="1258" operator="equal">
      <formula>"Brown"</formula>
    </cfRule>
    <cfRule type="cellIs" dxfId="794" priority="1259" operator="equal">
      <formula>"Red"</formula>
    </cfRule>
  </conditionalFormatting>
  <conditionalFormatting sqref="F73">
    <cfRule type="cellIs" dxfId="793" priority="1195" operator="equal">
      <formula>"Green"</formula>
    </cfRule>
    <cfRule type="cellIs" dxfId="792" priority="1196" operator="equal">
      <formula>"Yellow"</formula>
    </cfRule>
    <cfRule type="cellIs" dxfId="791" priority="1197" operator="equal">
      <formula>"Orange"</formula>
    </cfRule>
    <cfRule type="cellIs" dxfId="790" priority="1198" operator="equal">
      <formula>"Brown"</formula>
    </cfRule>
    <cfRule type="cellIs" dxfId="789" priority="1199" operator="equal">
      <formula>"Red"</formula>
    </cfRule>
  </conditionalFormatting>
  <conditionalFormatting sqref="F74">
    <cfRule type="cellIs" dxfId="788" priority="1190" operator="equal">
      <formula>"Green"</formula>
    </cfRule>
    <cfRule type="cellIs" dxfId="787" priority="1191" operator="equal">
      <formula>"Yellow"</formula>
    </cfRule>
    <cfRule type="cellIs" dxfId="786" priority="1192" operator="equal">
      <formula>"Orange"</formula>
    </cfRule>
    <cfRule type="cellIs" dxfId="785" priority="1193" operator="equal">
      <formula>"Brown"</formula>
    </cfRule>
    <cfRule type="cellIs" dxfId="784" priority="1194" operator="equal">
      <formula>"Red"</formula>
    </cfRule>
  </conditionalFormatting>
  <conditionalFormatting sqref="F75">
    <cfRule type="cellIs" dxfId="783" priority="1185" operator="equal">
      <formula>"Green"</formula>
    </cfRule>
    <cfRule type="cellIs" dxfId="782" priority="1186" operator="equal">
      <formula>"Yellow"</formula>
    </cfRule>
    <cfRule type="cellIs" dxfId="781" priority="1187" operator="equal">
      <formula>"Orange"</formula>
    </cfRule>
    <cfRule type="cellIs" dxfId="780" priority="1188" operator="equal">
      <formula>"Brown"</formula>
    </cfRule>
    <cfRule type="cellIs" dxfId="779" priority="1189" operator="equal">
      <formula>"Red"</formula>
    </cfRule>
  </conditionalFormatting>
  <conditionalFormatting sqref="F76">
    <cfRule type="cellIs" dxfId="778" priority="1180" operator="equal">
      <formula>"Green"</formula>
    </cfRule>
    <cfRule type="cellIs" dxfId="777" priority="1181" operator="equal">
      <formula>"Yellow"</formula>
    </cfRule>
    <cfRule type="cellIs" dxfId="776" priority="1182" operator="equal">
      <formula>"Orange"</formula>
    </cfRule>
    <cfRule type="cellIs" dxfId="775" priority="1183" operator="equal">
      <formula>"Brown"</formula>
    </cfRule>
    <cfRule type="cellIs" dxfId="774" priority="1184" operator="equal">
      <formula>"Red"</formula>
    </cfRule>
  </conditionalFormatting>
  <conditionalFormatting sqref="F77">
    <cfRule type="cellIs" dxfId="773" priority="1175" operator="equal">
      <formula>"Green"</formula>
    </cfRule>
    <cfRule type="cellIs" dxfId="772" priority="1176" operator="equal">
      <formula>"Yellow"</formula>
    </cfRule>
    <cfRule type="cellIs" dxfId="771" priority="1177" operator="equal">
      <formula>"Orange"</formula>
    </cfRule>
    <cfRule type="cellIs" dxfId="770" priority="1178" operator="equal">
      <formula>"Brown"</formula>
    </cfRule>
    <cfRule type="cellIs" dxfId="769" priority="1179" operator="equal">
      <formula>"Red"</formula>
    </cfRule>
  </conditionalFormatting>
  <conditionalFormatting sqref="F78">
    <cfRule type="cellIs" dxfId="768" priority="1170" operator="equal">
      <formula>"Green"</formula>
    </cfRule>
    <cfRule type="cellIs" dxfId="767" priority="1171" operator="equal">
      <formula>"Yellow"</formula>
    </cfRule>
    <cfRule type="cellIs" dxfId="766" priority="1172" operator="equal">
      <formula>"Orange"</formula>
    </cfRule>
    <cfRule type="cellIs" dxfId="765" priority="1173" operator="equal">
      <formula>"Brown"</formula>
    </cfRule>
    <cfRule type="cellIs" dxfId="764" priority="1174" operator="equal">
      <formula>"Red"</formula>
    </cfRule>
  </conditionalFormatting>
  <conditionalFormatting sqref="F79">
    <cfRule type="cellIs" dxfId="763" priority="1165" operator="equal">
      <formula>"Green"</formula>
    </cfRule>
    <cfRule type="cellIs" dxfId="762" priority="1166" operator="equal">
      <formula>"Yellow"</formula>
    </cfRule>
    <cfRule type="cellIs" dxfId="761" priority="1167" operator="equal">
      <formula>"Orange"</formula>
    </cfRule>
    <cfRule type="cellIs" dxfId="760" priority="1168" operator="equal">
      <formula>"Brown"</formula>
    </cfRule>
    <cfRule type="cellIs" dxfId="759" priority="1169" operator="equal">
      <formula>"Red"</formula>
    </cfRule>
  </conditionalFormatting>
  <conditionalFormatting sqref="F80">
    <cfRule type="cellIs" dxfId="758" priority="1160" operator="equal">
      <formula>"Green"</formula>
    </cfRule>
    <cfRule type="cellIs" dxfId="757" priority="1161" operator="equal">
      <formula>"Yellow"</formula>
    </cfRule>
    <cfRule type="cellIs" dxfId="756" priority="1162" operator="equal">
      <formula>"Orange"</formula>
    </cfRule>
    <cfRule type="cellIs" dxfId="755" priority="1163" operator="equal">
      <formula>"Brown"</formula>
    </cfRule>
    <cfRule type="cellIs" dxfId="754" priority="1164" operator="equal">
      <formula>"Red"</formula>
    </cfRule>
  </conditionalFormatting>
  <conditionalFormatting sqref="F81">
    <cfRule type="cellIs" dxfId="753" priority="1155" operator="equal">
      <formula>"Green"</formula>
    </cfRule>
    <cfRule type="cellIs" dxfId="752" priority="1156" operator="equal">
      <formula>"Yellow"</formula>
    </cfRule>
    <cfRule type="cellIs" dxfId="751" priority="1157" operator="equal">
      <formula>"Orange"</formula>
    </cfRule>
    <cfRule type="cellIs" dxfId="750" priority="1158" operator="equal">
      <formula>"Brown"</formula>
    </cfRule>
    <cfRule type="cellIs" dxfId="749" priority="1159" operator="equal">
      <formula>"Red"</formula>
    </cfRule>
  </conditionalFormatting>
  <conditionalFormatting sqref="F72">
    <cfRule type="cellIs" dxfId="748" priority="1200" operator="equal">
      <formula>"Green"</formula>
    </cfRule>
    <cfRule type="cellIs" dxfId="747" priority="1201" operator="equal">
      <formula>"Yellow"</formula>
    </cfRule>
    <cfRule type="cellIs" dxfId="746" priority="1202" operator="equal">
      <formula>"Orange"</formula>
    </cfRule>
    <cfRule type="cellIs" dxfId="745" priority="1203" operator="equal">
      <formula>"Brown"</formula>
    </cfRule>
    <cfRule type="cellIs" dxfId="744" priority="1204" operator="equal">
      <formula>"Red"</formula>
    </cfRule>
  </conditionalFormatting>
  <conditionalFormatting sqref="K72">
    <cfRule type="cellIs" dxfId="743" priority="1100" operator="equal">
      <formula>"Green"</formula>
    </cfRule>
    <cfRule type="cellIs" dxfId="742" priority="1101" operator="equal">
      <formula>"Yellow"</formula>
    </cfRule>
    <cfRule type="cellIs" dxfId="741" priority="1102" operator="equal">
      <formula>"Orange"</formula>
    </cfRule>
    <cfRule type="cellIs" dxfId="740" priority="1103" operator="equal">
      <formula>"Brown"</formula>
    </cfRule>
    <cfRule type="cellIs" dxfId="739" priority="1104" operator="equal">
      <formula>"Red"</formula>
    </cfRule>
  </conditionalFormatting>
  <conditionalFormatting sqref="K73">
    <cfRule type="cellIs" dxfId="738" priority="1095" operator="equal">
      <formula>"Green"</formula>
    </cfRule>
    <cfRule type="cellIs" dxfId="737" priority="1096" operator="equal">
      <formula>"Yellow"</formula>
    </cfRule>
    <cfRule type="cellIs" dxfId="736" priority="1097" operator="equal">
      <formula>"Orange"</formula>
    </cfRule>
    <cfRule type="cellIs" dxfId="735" priority="1098" operator="equal">
      <formula>"Brown"</formula>
    </cfRule>
    <cfRule type="cellIs" dxfId="734" priority="1099" operator="equal">
      <formula>"Red"</formula>
    </cfRule>
  </conditionalFormatting>
  <conditionalFormatting sqref="K74">
    <cfRule type="cellIs" dxfId="733" priority="1090" operator="equal">
      <formula>"Green"</formula>
    </cfRule>
    <cfRule type="cellIs" dxfId="732" priority="1091" operator="equal">
      <formula>"Yellow"</formula>
    </cfRule>
    <cfRule type="cellIs" dxfId="731" priority="1092" operator="equal">
      <formula>"Orange"</formula>
    </cfRule>
    <cfRule type="cellIs" dxfId="730" priority="1093" operator="equal">
      <formula>"Brown"</formula>
    </cfRule>
    <cfRule type="cellIs" dxfId="729" priority="1094" operator="equal">
      <formula>"Red"</formula>
    </cfRule>
  </conditionalFormatting>
  <conditionalFormatting sqref="K75">
    <cfRule type="cellIs" dxfId="728" priority="1085" operator="equal">
      <formula>"Green"</formula>
    </cfRule>
    <cfRule type="cellIs" dxfId="727" priority="1086" operator="equal">
      <formula>"Yellow"</formula>
    </cfRule>
    <cfRule type="cellIs" dxfId="726" priority="1087" operator="equal">
      <formula>"Orange"</formula>
    </cfRule>
    <cfRule type="cellIs" dxfId="725" priority="1088" operator="equal">
      <formula>"Brown"</formula>
    </cfRule>
    <cfRule type="cellIs" dxfId="724" priority="1089" operator="equal">
      <formula>"Red"</formula>
    </cfRule>
  </conditionalFormatting>
  <conditionalFormatting sqref="K76">
    <cfRule type="cellIs" dxfId="723" priority="1080" operator="equal">
      <formula>"Green"</formula>
    </cfRule>
    <cfRule type="cellIs" dxfId="722" priority="1081" operator="equal">
      <formula>"Yellow"</formula>
    </cfRule>
    <cfRule type="cellIs" dxfId="721" priority="1082" operator="equal">
      <formula>"Orange"</formula>
    </cfRule>
    <cfRule type="cellIs" dxfId="720" priority="1083" operator="equal">
      <formula>"Brown"</formula>
    </cfRule>
    <cfRule type="cellIs" dxfId="719" priority="1084" operator="equal">
      <formula>"Red"</formula>
    </cfRule>
  </conditionalFormatting>
  <conditionalFormatting sqref="K77">
    <cfRule type="cellIs" dxfId="718" priority="1075" operator="equal">
      <formula>"Green"</formula>
    </cfRule>
    <cfRule type="cellIs" dxfId="717" priority="1076" operator="equal">
      <formula>"Yellow"</formula>
    </cfRule>
    <cfRule type="cellIs" dxfId="716" priority="1077" operator="equal">
      <formula>"Orange"</formula>
    </cfRule>
    <cfRule type="cellIs" dxfId="715" priority="1078" operator="equal">
      <formula>"Brown"</formula>
    </cfRule>
    <cfRule type="cellIs" dxfId="714" priority="1079" operator="equal">
      <formula>"Red"</formula>
    </cfRule>
  </conditionalFormatting>
  <conditionalFormatting sqref="K78">
    <cfRule type="cellIs" dxfId="713" priority="1070" operator="equal">
      <formula>"Green"</formula>
    </cfRule>
    <cfRule type="cellIs" dxfId="712" priority="1071" operator="equal">
      <formula>"Yellow"</formula>
    </cfRule>
    <cfRule type="cellIs" dxfId="711" priority="1072" operator="equal">
      <formula>"Orange"</formula>
    </cfRule>
    <cfRule type="cellIs" dxfId="710" priority="1073" operator="equal">
      <formula>"Brown"</formula>
    </cfRule>
    <cfRule type="cellIs" dxfId="709" priority="1074" operator="equal">
      <formula>"Red"</formula>
    </cfRule>
  </conditionalFormatting>
  <conditionalFormatting sqref="K79">
    <cfRule type="cellIs" dxfId="708" priority="1065" operator="equal">
      <formula>"Green"</formula>
    </cfRule>
    <cfRule type="cellIs" dxfId="707" priority="1066" operator="equal">
      <formula>"Yellow"</formula>
    </cfRule>
    <cfRule type="cellIs" dxfId="706" priority="1067" operator="equal">
      <formula>"Orange"</formula>
    </cfRule>
    <cfRule type="cellIs" dxfId="705" priority="1068" operator="equal">
      <formula>"Brown"</formula>
    </cfRule>
    <cfRule type="cellIs" dxfId="704" priority="1069" operator="equal">
      <formula>"Red"</formula>
    </cfRule>
  </conditionalFormatting>
  <conditionalFormatting sqref="K80">
    <cfRule type="cellIs" dxfId="703" priority="1060" operator="equal">
      <formula>"Green"</formula>
    </cfRule>
    <cfRule type="cellIs" dxfId="702" priority="1061" operator="equal">
      <formula>"Yellow"</formula>
    </cfRule>
    <cfRule type="cellIs" dxfId="701" priority="1062" operator="equal">
      <formula>"Orange"</formula>
    </cfRule>
    <cfRule type="cellIs" dxfId="700" priority="1063" operator="equal">
      <formula>"Brown"</formula>
    </cfRule>
    <cfRule type="cellIs" dxfId="699" priority="1064" operator="equal">
      <formula>"Red"</formula>
    </cfRule>
  </conditionalFormatting>
  <conditionalFormatting sqref="K81">
    <cfRule type="cellIs" dxfId="698" priority="1055" operator="equal">
      <formula>"Green"</formula>
    </cfRule>
    <cfRule type="cellIs" dxfId="697" priority="1056" operator="equal">
      <formula>"Yellow"</formula>
    </cfRule>
    <cfRule type="cellIs" dxfId="696" priority="1057" operator="equal">
      <formula>"Orange"</formula>
    </cfRule>
    <cfRule type="cellIs" dxfId="695" priority="1058" operator="equal">
      <formula>"Brown"</formula>
    </cfRule>
    <cfRule type="cellIs" dxfId="694" priority="1059" operator="equal">
      <formula>"Red"</formula>
    </cfRule>
  </conditionalFormatting>
  <conditionalFormatting sqref="D72">
    <cfRule type="cellIs" dxfId="693" priority="1005" operator="equal">
      <formula>"Green"</formula>
    </cfRule>
    <cfRule type="cellIs" dxfId="692" priority="1006" operator="equal">
      <formula>"Yellow"</formula>
    </cfRule>
    <cfRule type="cellIs" dxfId="691" priority="1007" operator="equal">
      <formula>"Orange"</formula>
    </cfRule>
    <cfRule type="cellIs" dxfId="690" priority="1008" operator="equal">
      <formula>"Brown"</formula>
    </cfRule>
    <cfRule type="cellIs" dxfId="689" priority="1009" operator="equal">
      <formula>"Red"</formula>
    </cfRule>
  </conditionalFormatting>
  <conditionalFormatting sqref="D73">
    <cfRule type="cellIs" dxfId="688" priority="1000" operator="equal">
      <formula>"Green"</formula>
    </cfRule>
    <cfRule type="cellIs" dxfId="687" priority="1001" operator="equal">
      <formula>"Yellow"</formula>
    </cfRule>
    <cfRule type="cellIs" dxfId="686" priority="1002" operator="equal">
      <formula>"Orange"</formula>
    </cfRule>
    <cfRule type="cellIs" dxfId="685" priority="1003" operator="equal">
      <formula>"Brown"</formula>
    </cfRule>
    <cfRule type="cellIs" dxfId="684" priority="1004" operator="equal">
      <formula>"Red"</formula>
    </cfRule>
  </conditionalFormatting>
  <conditionalFormatting sqref="D74">
    <cfRule type="cellIs" dxfId="683" priority="995" operator="equal">
      <formula>"Green"</formula>
    </cfRule>
    <cfRule type="cellIs" dxfId="682" priority="996" operator="equal">
      <formula>"Yellow"</formula>
    </cfRule>
    <cfRule type="cellIs" dxfId="681" priority="997" operator="equal">
      <formula>"Orange"</formula>
    </cfRule>
    <cfRule type="cellIs" dxfId="680" priority="998" operator="equal">
      <formula>"Brown"</formula>
    </cfRule>
    <cfRule type="cellIs" dxfId="679" priority="999" operator="equal">
      <formula>"Red"</formula>
    </cfRule>
  </conditionalFormatting>
  <conditionalFormatting sqref="D75">
    <cfRule type="cellIs" dxfId="678" priority="990" operator="equal">
      <formula>"Green"</formula>
    </cfRule>
    <cfRule type="cellIs" dxfId="677" priority="991" operator="equal">
      <formula>"Yellow"</formula>
    </cfRule>
    <cfRule type="cellIs" dxfId="676" priority="992" operator="equal">
      <formula>"Orange"</formula>
    </cfRule>
    <cfRule type="cellIs" dxfId="675" priority="993" operator="equal">
      <formula>"Brown"</formula>
    </cfRule>
    <cfRule type="cellIs" dxfId="674" priority="994" operator="equal">
      <formula>"Red"</formula>
    </cfRule>
  </conditionalFormatting>
  <conditionalFormatting sqref="D76">
    <cfRule type="cellIs" dxfId="673" priority="985" operator="equal">
      <formula>"Green"</formula>
    </cfRule>
    <cfRule type="cellIs" dxfId="672" priority="986" operator="equal">
      <formula>"Yellow"</formula>
    </cfRule>
    <cfRule type="cellIs" dxfId="671" priority="987" operator="equal">
      <formula>"Orange"</formula>
    </cfRule>
    <cfRule type="cellIs" dxfId="670" priority="988" operator="equal">
      <formula>"Brown"</formula>
    </cfRule>
    <cfRule type="cellIs" dxfId="669" priority="989" operator="equal">
      <formula>"Red"</formula>
    </cfRule>
  </conditionalFormatting>
  <conditionalFormatting sqref="D77">
    <cfRule type="cellIs" dxfId="668" priority="980" operator="equal">
      <formula>"Green"</formula>
    </cfRule>
    <cfRule type="cellIs" dxfId="667" priority="981" operator="equal">
      <formula>"Yellow"</formula>
    </cfRule>
    <cfRule type="cellIs" dxfId="666" priority="982" operator="equal">
      <formula>"Orange"</formula>
    </cfRule>
    <cfRule type="cellIs" dxfId="665" priority="983" operator="equal">
      <formula>"Brown"</formula>
    </cfRule>
    <cfRule type="cellIs" dxfId="664" priority="984" operator="equal">
      <formula>"Red"</formula>
    </cfRule>
  </conditionalFormatting>
  <conditionalFormatting sqref="D78">
    <cfRule type="cellIs" dxfId="663" priority="975" operator="equal">
      <formula>"Green"</formula>
    </cfRule>
    <cfRule type="cellIs" dxfId="662" priority="976" operator="equal">
      <formula>"Yellow"</formula>
    </cfRule>
    <cfRule type="cellIs" dxfId="661" priority="977" operator="equal">
      <formula>"Orange"</formula>
    </cfRule>
    <cfRule type="cellIs" dxfId="660" priority="978" operator="equal">
      <formula>"Brown"</formula>
    </cfRule>
    <cfRule type="cellIs" dxfId="659" priority="979" operator="equal">
      <formula>"Red"</formula>
    </cfRule>
  </conditionalFormatting>
  <conditionalFormatting sqref="D79">
    <cfRule type="cellIs" dxfId="658" priority="970" operator="equal">
      <formula>"Green"</formula>
    </cfRule>
    <cfRule type="cellIs" dxfId="657" priority="971" operator="equal">
      <formula>"Yellow"</formula>
    </cfRule>
    <cfRule type="cellIs" dxfId="656" priority="972" operator="equal">
      <formula>"Orange"</formula>
    </cfRule>
    <cfRule type="cellIs" dxfId="655" priority="973" operator="equal">
      <formula>"Brown"</formula>
    </cfRule>
    <cfRule type="cellIs" dxfId="654" priority="974" operator="equal">
      <formula>"Red"</formula>
    </cfRule>
  </conditionalFormatting>
  <conditionalFormatting sqref="D80">
    <cfRule type="cellIs" dxfId="653" priority="965" operator="equal">
      <formula>"Green"</formula>
    </cfRule>
    <cfRule type="cellIs" dxfId="652" priority="966" operator="equal">
      <formula>"Yellow"</formula>
    </cfRule>
    <cfRule type="cellIs" dxfId="651" priority="967" operator="equal">
      <formula>"Orange"</formula>
    </cfRule>
    <cfRule type="cellIs" dxfId="650" priority="968" operator="equal">
      <formula>"Brown"</formula>
    </cfRule>
    <cfRule type="cellIs" dxfId="649" priority="969" operator="equal">
      <formula>"Red"</formula>
    </cfRule>
  </conditionalFormatting>
  <conditionalFormatting sqref="D81">
    <cfRule type="cellIs" dxfId="648" priority="960" operator="equal">
      <formula>"Green"</formula>
    </cfRule>
    <cfRule type="cellIs" dxfId="647" priority="961" operator="equal">
      <formula>"Yellow"</formula>
    </cfRule>
    <cfRule type="cellIs" dxfId="646" priority="962" operator="equal">
      <formula>"Orange"</formula>
    </cfRule>
    <cfRule type="cellIs" dxfId="645" priority="963" operator="equal">
      <formula>"Brown"</formula>
    </cfRule>
    <cfRule type="cellIs" dxfId="644" priority="964" operator="equal">
      <formula>"Red"</formula>
    </cfRule>
  </conditionalFormatting>
  <conditionalFormatting sqref="D82">
    <cfRule type="cellIs" dxfId="643" priority="955" operator="equal">
      <formula>"Green"</formula>
    </cfRule>
    <cfRule type="cellIs" dxfId="642" priority="956" operator="equal">
      <formula>"Yellow"</formula>
    </cfRule>
    <cfRule type="cellIs" dxfId="641" priority="957" operator="equal">
      <formula>"Orange"</formula>
    </cfRule>
    <cfRule type="cellIs" dxfId="640" priority="958" operator="equal">
      <formula>"Brown"</formula>
    </cfRule>
    <cfRule type="cellIs" dxfId="639" priority="959" operator="equal">
      <formula>"Red"</formula>
    </cfRule>
  </conditionalFormatting>
  <conditionalFormatting sqref="I62">
    <cfRule type="cellIs" dxfId="638" priority="950" operator="equal">
      <formula>"Green"</formula>
    </cfRule>
    <cfRule type="cellIs" dxfId="637" priority="951" operator="equal">
      <formula>"Yellow"</formula>
    </cfRule>
    <cfRule type="cellIs" dxfId="636" priority="952" operator="equal">
      <formula>"Orange"</formula>
    </cfRule>
    <cfRule type="cellIs" dxfId="635" priority="953" operator="equal">
      <formula>"Brown"</formula>
    </cfRule>
    <cfRule type="cellIs" dxfId="634" priority="954" operator="equal">
      <formula>"Red"</formula>
    </cfRule>
  </conditionalFormatting>
  <conditionalFormatting sqref="I63">
    <cfRule type="cellIs" dxfId="633" priority="945" operator="equal">
      <formula>"Green"</formula>
    </cfRule>
    <cfRule type="cellIs" dxfId="632" priority="946" operator="equal">
      <formula>"Yellow"</formula>
    </cfRule>
    <cfRule type="cellIs" dxfId="631" priority="947" operator="equal">
      <formula>"Orange"</formula>
    </cfRule>
    <cfRule type="cellIs" dxfId="630" priority="948" operator="equal">
      <formula>"Brown"</formula>
    </cfRule>
    <cfRule type="cellIs" dxfId="629" priority="949" operator="equal">
      <formula>"Red"</formula>
    </cfRule>
  </conditionalFormatting>
  <conditionalFormatting sqref="I64">
    <cfRule type="cellIs" dxfId="628" priority="940" operator="equal">
      <formula>"Green"</formula>
    </cfRule>
    <cfRule type="cellIs" dxfId="627" priority="941" operator="equal">
      <formula>"Yellow"</formula>
    </cfRule>
    <cfRule type="cellIs" dxfId="626" priority="942" operator="equal">
      <formula>"Orange"</formula>
    </cfRule>
    <cfRule type="cellIs" dxfId="625" priority="943" operator="equal">
      <formula>"Brown"</formula>
    </cfRule>
    <cfRule type="cellIs" dxfId="624" priority="944" operator="equal">
      <formula>"Red"</formula>
    </cfRule>
  </conditionalFormatting>
  <conditionalFormatting sqref="I65">
    <cfRule type="cellIs" dxfId="623" priority="935" operator="equal">
      <formula>"Green"</formula>
    </cfRule>
    <cfRule type="cellIs" dxfId="622" priority="936" operator="equal">
      <formula>"Yellow"</formula>
    </cfRule>
    <cfRule type="cellIs" dxfId="621" priority="937" operator="equal">
      <formula>"Orange"</formula>
    </cfRule>
    <cfRule type="cellIs" dxfId="620" priority="938" operator="equal">
      <formula>"Brown"</formula>
    </cfRule>
    <cfRule type="cellIs" dxfId="619" priority="939" operator="equal">
      <formula>"Red"</formula>
    </cfRule>
  </conditionalFormatting>
  <conditionalFormatting sqref="I66">
    <cfRule type="cellIs" dxfId="618" priority="930" operator="equal">
      <formula>"Green"</formula>
    </cfRule>
    <cfRule type="cellIs" dxfId="617" priority="931" operator="equal">
      <formula>"Yellow"</formula>
    </cfRule>
    <cfRule type="cellIs" dxfId="616" priority="932" operator="equal">
      <formula>"Orange"</formula>
    </cfRule>
    <cfRule type="cellIs" dxfId="615" priority="933" operator="equal">
      <formula>"Brown"</formula>
    </cfRule>
    <cfRule type="cellIs" dxfId="614" priority="934" operator="equal">
      <formula>"Red"</formula>
    </cfRule>
  </conditionalFormatting>
  <conditionalFormatting sqref="I67">
    <cfRule type="cellIs" dxfId="613" priority="925" operator="equal">
      <formula>"Green"</formula>
    </cfRule>
    <cfRule type="cellIs" dxfId="612" priority="926" operator="equal">
      <formula>"Yellow"</formula>
    </cfRule>
    <cfRule type="cellIs" dxfId="611" priority="927" operator="equal">
      <formula>"Orange"</formula>
    </cfRule>
    <cfRule type="cellIs" dxfId="610" priority="928" operator="equal">
      <formula>"Brown"</formula>
    </cfRule>
    <cfRule type="cellIs" dxfId="609" priority="929" operator="equal">
      <formula>"Red"</formula>
    </cfRule>
  </conditionalFormatting>
  <conditionalFormatting sqref="I68">
    <cfRule type="cellIs" dxfId="608" priority="920" operator="equal">
      <formula>"Green"</formula>
    </cfRule>
    <cfRule type="cellIs" dxfId="607" priority="921" operator="equal">
      <formula>"Yellow"</formula>
    </cfRule>
    <cfRule type="cellIs" dxfId="606" priority="922" operator="equal">
      <formula>"Orange"</formula>
    </cfRule>
    <cfRule type="cellIs" dxfId="605" priority="923" operator="equal">
      <formula>"Brown"</formula>
    </cfRule>
    <cfRule type="cellIs" dxfId="604" priority="924" operator="equal">
      <formula>"Red"</formula>
    </cfRule>
  </conditionalFormatting>
  <conditionalFormatting sqref="I69">
    <cfRule type="cellIs" dxfId="603" priority="915" operator="equal">
      <formula>"Green"</formula>
    </cfRule>
    <cfRule type="cellIs" dxfId="602" priority="916" operator="equal">
      <formula>"Yellow"</formula>
    </cfRule>
    <cfRule type="cellIs" dxfId="601" priority="917" operator="equal">
      <formula>"Orange"</formula>
    </cfRule>
    <cfRule type="cellIs" dxfId="600" priority="918" operator="equal">
      <formula>"Brown"</formula>
    </cfRule>
    <cfRule type="cellIs" dxfId="599" priority="919" operator="equal">
      <formula>"Red"</formula>
    </cfRule>
  </conditionalFormatting>
  <conditionalFormatting sqref="I70">
    <cfRule type="cellIs" dxfId="598" priority="910" operator="equal">
      <formula>"Green"</formula>
    </cfRule>
    <cfRule type="cellIs" dxfId="597" priority="911" operator="equal">
      <formula>"Yellow"</formula>
    </cfRule>
    <cfRule type="cellIs" dxfId="596" priority="912" operator="equal">
      <formula>"Orange"</formula>
    </cfRule>
    <cfRule type="cellIs" dxfId="595" priority="913" operator="equal">
      <formula>"Brown"</formula>
    </cfRule>
    <cfRule type="cellIs" dxfId="594" priority="914" operator="equal">
      <formula>"Red"</formula>
    </cfRule>
  </conditionalFormatting>
  <conditionalFormatting sqref="I71">
    <cfRule type="cellIs" dxfId="593" priority="905" operator="equal">
      <formula>"Green"</formula>
    </cfRule>
    <cfRule type="cellIs" dxfId="592" priority="906" operator="equal">
      <formula>"Yellow"</formula>
    </cfRule>
    <cfRule type="cellIs" dxfId="591" priority="907" operator="equal">
      <formula>"Orange"</formula>
    </cfRule>
    <cfRule type="cellIs" dxfId="590" priority="908" operator="equal">
      <formula>"Brown"</formula>
    </cfRule>
    <cfRule type="cellIs" dxfId="589" priority="909" operator="equal">
      <formula>"Red"</formula>
    </cfRule>
  </conditionalFormatting>
  <conditionalFormatting sqref="I72">
    <cfRule type="cellIs" dxfId="588" priority="900" operator="equal">
      <formula>"Green"</formula>
    </cfRule>
    <cfRule type="cellIs" dxfId="587" priority="901" operator="equal">
      <formula>"Yellow"</formula>
    </cfRule>
    <cfRule type="cellIs" dxfId="586" priority="902" operator="equal">
      <formula>"Orange"</formula>
    </cfRule>
    <cfRule type="cellIs" dxfId="585" priority="903" operator="equal">
      <formula>"Brown"</formula>
    </cfRule>
    <cfRule type="cellIs" dxfId="584" priority="904" operator="equal">
      <formula>"Red"</formula>
    </cfRule>
  </conditionalFormatting>
  <conditionalFormatting sqref="I73">
    <cfRule type="cellIs" dxfId="583" priority="895" operator="equal">
      <formula>"Green"</formula>
    </cfRule>
    <cfRule type="cellIs" dxfId="582" priority="896" operator="equal">
      <formula>"Yellow"</formula>
    </cfRule>
    <cfRule type="cellIs" dxfId="581" priority="897" operator="equal">
      <formula>"Orange"</formula>
    </cfRule>
    <cfRule type="cellIs" dxfId="580" priority="898" operator="equal">
      <formula>"Brown"</formula>
    </cfRule>
    <cfRule type="cellIs" dxfId="579" priority="899" operator="equal">
      <formula>"Red"</formula>
    </cfRule>
  </conditionalFormatting>
  <conditionalFormatting sqref="I74">
    <cfRule type="cellIs" dxfId="578" priority="890" operator="equal">
      <formula>"Green"</formula>
    </cfRule>
    <cfRule type="cellIs" dxfId="577" priority="891" operator="equal">
      <formula>"Yellow"</formula>
    </cfRule>
    <cfRule type="cellIs" dxfId="576" priority="892" operator="equal">
      <formula>"Orange"</formula>
    </cfRule>
    <cfRule type="cellIs" dxfId="575" priority="893" operator="equal">
      <formula>"Brown"</formula>
    </cfRule>
    <cfRule type="cellIs" dxfId="574" priority="894" operator="equal">
      <formula>"Red"</formula>
    </cfRule>
  </conditionalFormatting>
  <conditionalFormatting sqref="I75">
    <cfRule type="cellIs" dxfId="573" priority="885" operator="equal">
      <formula>"Green"</formula>
    </cfRule>
    <cfRule type="cellIs" dxfId="572" priority="886" operator="equal">
      <formula>"Yellow"</formula>
    </cfRule>
    <cfRule type="cellIs" dxfId="571" priority="887" operator="equal">
      <formula>"Orange"</formula>
    </cfRule>
    <cfRule type="cellIs" dxfId="570" priority="888" operator="equal">
      <formula>"Brown"</formula>
    </cfRule>
    <cfRule type="cellIs" dxfId="569" priority="889" operator="equal">
      <formula>"Red"</formula>
    </cfRule>
  </conditionalFormatting>
  <conditionalFormatting sqref="I76">
    <cfRule type="cellIs" dxfId="568" priority="880" operator="equal">
      <formula>"Green"</formula>
    </cfRule>
    <cfRule type="cellIs" dxfId="567" priority="881" operator="equal">
      <formula>"Yellow"</formula>
    </cfRule>
    <cfRule type="cellIs" dxfId="566" priority="882" operator="equal">
      <formula>"Orange"</formula>
    </cfRule>
    <cfRule type="cellIs" dxfId="565" priority="883" operator="equal">
      <formula>"Brown"</formula>
    </cfRule>
    <cfRule type="cellIs" dxfId="564" priority="884" operator="equal">
      <formula>"Red"</formula>
    </cfRule>
  </conditionalFormatting>
  <conditionalFormatting sqref="I77">
    <cfRule type="cellIs" dxfId="563" priority="875" operator="equal">
      <formula>"Green"</formula>
    </cfRule>
    <cfRule type="cellIs" dxfId="562" priority="876" operator="equal">
      <formula>"Yellow"</formula>
    </cfRule>
    <cfRule type="cellIs" dxfId="561" priority="877" operator="equal">
      <formula>"Orange"</formula>
    </cfRule>
    <cfRule type="cellIs" dxfId="560" priority="878" operator="equal">
      <formula>"Brown"</formula>
    </cfRule>
    <cfRule type="cellIs" dxfId="559" priority="879" operator="equal">
      <formula>"Red"</formula>
    </cfRule>
  </conditionalFormatting>
  <conditionalFormatting sqref="I78">
    <cfRule type="cellIs" dxfId="558" priority="870" operator="equal">
      <formula>"Green"</formula>
    </cfRule>
    <cfRule type="cellIs" dxfId="557" priority="871" operator="equal">
      <formula>"Yellow"</formula>
    </cfRule>
    <cfRule type="cellIs" dxfId="556" priority="872" operator="equal">
      <formula>"Orange"</formula>
    </cfRule>
    <cfRule type="cellIs" dxfId="555" priority="873" operator="equal">
      <formula>"Brown"</formula>
    </cfRule>
    <cfRule type="cellIs" dxfId="554" priority="874" operator="equal">
      <formula>"Red"</formula>
    </cfRule>
  </conditionalFormatting>
  <conditionalFormatting sqref="I79">
    <cfRule type="cellIs" dxfId="553" priority="865" operator="equal">
      <formula>"Green"</formula>
    </cfRule>
    <cfRule type="cellIs" dxfId="552" priority="866" operator="equal">
      <formula>"Yellow"</formula>
    </cfRule>
    <cfRule type="cellIs" dxfId="551" priority="867" operator="equal">
      <formula>"Orange"</formula>
    </cfRule>
    <cfRule type="cellIs" dxfId="550" priority="868" operator="equal">
      <formula>"Brown"</formula>
    </cfRule>
    <cfRule type="cellIs" dxfId="549" priority="869" operator="equal">
      <formula>"Red"</formula>
    </cfRule>
  </conditionalFormatting>
  <conditionalFormatting sqref="I80">
    <cfRule type="cellIs" dxfId="548" priority="860" operator="equal">
      <formula>"Green"</formula>
    </cfRule>
    <cfRule type="cellIs" dxfId="547" priority="861" operator="equal">
      <formula>"Yellow"</formula>
    </cfRule>
    <cfRule type="cellIs" dxfId="546" priority="862" operator="equal">
      <formula>"Orange"</formula>
    </cfRule>
    <cfRule type="cellIs" dxfId="545" priority="863" operator="equal">
      <formula>"Brown"</formula>
    </cfRule>
    <cfRule type="cellIs" dxfId="544" priority="864" operator="equal">
      <formula>"Red"</formula>
    </cfRule>
  </conditionalFormatting>
  <conditionalFormatting sqref="I81">
    <cfRule type="cellIs" dxfId="543" priority="855" operator="equal">
      <formula>"Green"</formula>
    </cfRule>
    <cfRule type="cellIs" dxfId="542" priority="856" operator="equal">
      <formula>"Yellow"</formula>
    </cfRule>
    <cfRule type="cellIs" dxfId="541" priority="857" operator="equal">
      <formula>"Orange"</formula>
    </cfRule>
    <cfRule type="cellIs" dxfId="540" priority="858" operator="equal">
      <formula>"Brown"</formula>
    </cfRule>
    <cfRule type="cellIs" dxfId="539" priority="859" operator="equal">
      <formula>"Red"</formula>
    </cfRule>
  </conditionalFormatting>
  <conditionalFormatting sqref="I82">
    <cfRule type="cellIs" dxfId="538" priority="850" operator="equal">
      <formula>"Green"</formula>
    </cfRule>
    <cfRule type="cellIs" dxfId="537" priority="851" operator="equal">
      <formula>"Yellow"</formula>
    </cfRule>
    <cfRule type="cellIs" dxfId="536" priority="852" operator="equal">
      <formula>"Orange"</formula>
    </cfRule>
    <cfRule type="cellIs" dxfId="535" priority="853" operator="equal">
      <formula>"Brown"</formula>
    </cfRule>
    <cfRule type="cellIs" dxfId="534" priority="854" operator="equal">
      <formula>"Red"</formula>
    </cfRule>
  </conditionalFormatting>
  <conditionalFormatting sqref="D97">
    <cfRule type="cellIs" dxfId="533" priority="739" operator="equal">
      <formula>"Green"</formula>
    </cfRule>
    <cfRule type="cellIs" dxfId="532" priority="740" operator="equal">
      <formula>"Yellow"</formula>
    </cfRule>
    <cfRule type="cellIs" dxfId="531" priority="741" operator="equal">
      <formula>"Orange"</formula>
    </cfRule>
    <cfRule type="cellIs" dxfId="530" priority="742" operator="equal">
      <formula>"Brown"</formula>
    </cfRule>
    <cfRule type="cellIs" dxfId="529" priority="743" operator="equal">
      <formula>"Red"</formula>
    </cfRule>
  </conditionalFormatting>
  <conditionalFormatting sqref="F98:H103">
    <cfRule type="cellIs" dxfId="528" priority="597" operator="equal">
      <formula>"Green"</formula>
    </cfRule>
    <cfRule type="cellIs" dxfId="527" priority="598" operator="equal">
      <formula>"Yellow"</formula>
    </cfRule>
    <cfRule type="cellIs" dxfId="526" priority="599" operator="equal">
      <formula>"Orange"</formula>
    </cfRule>
    <cfRule type="cellIs" dxfId="525" priority="600" operator="equal">
      <formula>"Brown"</formula>
    </cfRule>
    <cfRule type="cellIs" dxfId="524" priority="601" operator="equal">
      <formula>"Red"</formula>
    </cfRule>
    <cfRule type="cellIs" dxfId="523" priority="602" operator="equal">
      <formula>"D Red"</formula>
    </cfRule>
  </conditionalFormatting>
  <conditionalFormatting sqref="D62">
    <cfRule type="cellIs" dxfId="522" priority="592" operator="equal">
      <formula>"Green"</formula>
    </cfRule>
    <cfRule type="cellIs" dxfId="521" priority="593" operator="equal">
      <formula>"Yellow"</formula>
    </cfRule>
    <cfRule type="cellIs" dxfId="520" priority="594" operator="equal">
      <formula>"Orange"</formula>
    </cfRule>
    <cfRule type="cellIs" dxfId="519" priority="595" operator="equal">
      <formula>"Brown"</formula>
    </cfRule>
    <cfRule type="cellIs" dxfId="518" priority="596" operator="equal">
      <formula>"Red"</formula>
    </cfRule>
  </conditionalFormatting>
  <conditionalFormatting sqref="F62">
    <cfRule type="cellIs" dxfId="517" priority="587" operator="equal">
      <formula>"Green"</formula>
    </cfRule>
    <cfRule type="cellIs" dxfId="516" priority="588" operator="equal">
      <formula>"Yellow"</formula>
    </cfRule>
    <cfRule type="cellIs" dxfId="515" priority="589" operator="equal">
      <formula>"Orange"</formula>
    </cfRule>
    <cfRule type="cellIs" dxfId="514" priority="590" operator="equal">
      <formula>"Brown"</formula>
    </cfRule>
    <cfRule type="cellIs" dxfId="513" priority="591" operator="equal">
      <formula>"Red"</formula>
    </cfRule>
  </conditionalFormatting>
  <conditionalFormatting sqref="F63">
    <cfRule type="cellIs" dxfId="512" priority="582" operator="equal">
      <formula>"Green"</formula>
    </cfRule>
    <cfRule type="cellIs" dxfId="511" priority="583" operator="equal">
      <formula>"Yellow"</formula>
    </cfRule>
    <cfRule type="cellIs" dxfId="510" priority="584" operator="equal">
      <formula>"Orange"</formula>
    </cfRule>
    <cfRule type="cellIs" dxfId="509" priority="585" operator="equal">
      <formula>"Brown"</formula>
    </cfRule>
    <cfRule type="cellIs" dxfId="508" priority="586" operator="equal">
      <formula>"Red"</formula>
    </cfRule>
  </conditionalFormatting>
  <conditionalFormatting sqref="F64">
    <cfRule type="cellIs" dxfId="507" priority="577" operator="equal">
      <formula>"Green"</formula>
    </cfRule>
    <cfRule type="cellIs" dxfId="506" priority="578" operator="equal">
      <formula>"Yellow"</formula>
    </cfRule>
    <cfRule type="cellIs" dxfId="505" priority="579" operator="equal">
      <formula>"Orange"</formula>
    </cfRule>
    <cfRule type="cellIs" dxfId="504" priority="580" operator="equal">
      <formula>"Brown"</formula>
    </cfRule>
    <cfRule type="cellIs" dxfId="503" priority="581" operator="equal">
      <formula>"Red"</formula>
    </cfRule>
  </conditionalFormatting>
  <conditionalFormatting sqref="F65">
    <cfRule type="cellIs" dxfId="502" priority="572" operator="equal">
      <formula>"Green"</formula>
    </cfRule>
    <cfRule type="cellIs" dxfId="501" priority="573" operator="equal">
      <formula>"Yellow"</formula>
    </cfRule>
    <cfRule type="cellIs" dxfId="500" priority="574" operator="equal">
      <formula>"Orange"</formula>
    </cfRule>
    <cfRule type="cellIs" dxfId="499" priority="575" operator="equal">
      <formula>"Brown"</formula>
    </cfRule>
    <cfRule type="cellIs" dxfId="498" priority="576" operator="equal">
      <formula>"Red"</formula>
    </cfRule>
  </conditionalFormatting>
  <conditionalFormatting sqref="F66">
    <cfRule type="cellIs" dxfId="497" priority="567" operator="equal">
      <formula>"Green"</formula>
    </cfRule>
    <cfRule type="cellIs" dxfId="496" priority="568" operator="equal">
      <formula>"Yellow"</formula>
    </cfRule>
    <cfRule type="cellIs" dxfId="495" priority="569" operator="equal">
      <formula>"Orange"</formula>
    </cfRule>
    <cfRule type="cellIs" dxfId="494" priority="570" operator="equal">
      <formula>"Brown"</formula>
    </cfRule>
    <cfRule type="cellIs" dxfId="493" priority="571" operator="equal">
      <formula>"Red"</formula>
    </cfRule>
  </conditionalFormatting>
  <conditionalFormatting sqref="F67">
    <cfRule type="cellIs" dxfId="492" priority="562" operator="equal">
      <formula>"Green"</formula>
    </cfRule>
    <cfRule type="cellIs" dxfId="491" priority="563" operator="equal">
      <formula>"Yellow"</formula>
    </cfRule>
    <cfRule type="cellIs" dxfId="490" priority="564" operator="equal">
      <formula>"Orange"</formula>
    </cfRule>
    <cfRule type="cellIs" dxfId="489" priority="565" operator="equal">
      <formula>"Brown"</formula>
    </cfRule>
    <cfRule type="cellIs" dxfId="488" priority="566" operator="equal">
      <formula>"Red"</formula>
    </cfRule>
  </conditionalFormatting>
  <conditionalFormatting sqref="F68">
    <cfRule type="cellIs" dxfId="487" priority="557" operator="equal">
      <formula>"Green"</formula>
    </cfRule>
    <cfRule type="cellIs" dxfId="486" priority="558" operator="equal">
      <formula>"Yellow"</formula>
    </cfRule>
    <cfRule type="cellIs" dxfId="485" priority="559" operator="equal">
      <formula>"Orange"</formula>
    </cfRule>
    <cfRule type="cellIs" dxfId="484" priority="560" operator="equal">
      <formula>"Brown"</formula>
    </cfRule>
    <cfRule type="cellIs" dxfId="483" priority="561" operator="equal">
      <formula>"Red"</formula>
    </cfRule>
  </conditionalFormatting>
  <conditionalFormatting sqref="F69">
    <cfRule type="cellIs" dxfId="482" priority="552" operator="equal">
      <formula>"Green"</formula>
    </cfRule>
    <cfRule type="cellIs" dxfId="481" priority="553" operator="equal">
      <formula>"Yellow"</formula>
    </cfRule>
    <cfRule type="cellIs" dxfId="480" priority="554" operator="equal">
      <formula>"Orange"</formula>
    </cfRule>
    <cfRule type="cellIs" dxfId="479" priority="555" operator="equal">
      <formula>"Brown"</formula>
    </cfRule>
    <cfRule type="cellIs" dxfId="478" priority="556" operator="equal">
      <formula>"Red"</formula>
    </cfRule>
  </conditionalFormatting>
  <conditionalFormatting sqref="F70">
    <cfRule type="cellIs" dxfId="477" priority="547" operator="equal">
      <formula>"Green"</formula>
    </cfRule>
    <cfRule type="cellIs" dxfId="476" priority="548" operator="equal">
      <formula>"Yellow"</formula>
    </cfRule>
    <cfRule type="cellIs" dxfId="475" priority="549" operator="equal">
      <formula>"Orange"</formula>
    </cfRule>
    <cfRule type="cellIs" dxfId="474" priority="550" operator="equal">
      <formula>"Brown"</formula>
    </cfRule>
    <cfRule type="cellIs" dxfId="473" priority="551" operator="equal">
      <formula>"Red"</formula>
    </cfRule>
  </conditionalFormatting>
  <conditionalFormatting sqref="F71">
    <cfRule type="cellIs" dxfId="472" priority="542" operator="equal">
      <formula>"Green"</formula>
    </cfRule>
    <cfRule type="cellIs" dxfId="471" priority="543" operator="equal">
      <formula>"Yellow"</formula>
    </cfRule>
    <cfRule type="cellIs" dxfId="470" priority="544" operator="equal">
      <formula>"Orange"</formula>
    </cfRule>
    <cfRule type="cellIs" dxfId="469" priority="545" operator="equal">
      <formula>"Brown"</formula>
    </cfRule>
    <cfRule type="cellIs" dxfId="468" priority="546" operator="equal">
      <formula>"Red"</formula>
    </cfRule>
  </conditionalFormatting>
  <conditionalFormatting sqref="D63">
    <cfRule type="cellIs" dxfId="467" priority="537" operator="equal">
      <formula>"Green"</formula>
    </cfRule>
    <cfRule type="cellIs" dxfId="466" priority="538" operator="equal">
      <formula>"Yellow"</formula>
    </cfRule>
    <cfRule type="cellIs" dxfId="465" priority="539" operator="equal">
      <formula>"Orange"</formula>
    </cfRule>
    <cfRule type="cellIs" dxfId="464" priority="540" operator="equal">
      <formula>"Brown"</formula>
    </cfRule>
    <cfRule type="cellIs" dxfId="463" priority="541" operator="equal">
      <formula>"Red"</formula>
    </cfRule>
  </conditionalFormatting>
  <conditionalFormatting sqref="D64">
    <cfRule type="cellIs" dxfId="462" priority="532" operator="equal">
      <formula>"Green"</formula>
    </cfRule>
    <cfRule type="cellIs" dxfId="461" priority="533" operator="equal">
      <formula>"Yellow"</formula>
    </cfRule>
    <cfRule type="cellIs" dxfId="460" priority="534" operator="equal">
      <formula>"Orange"</formula>
    </cfRule>
    <cfRule type="cellIs" dxfId="459" priority="535" operator="equal">
      <formula>"Brown"</formula>
    </cfRule>
    <cfRule type="cellIs" dxfId="458" priority="536" operator="equal">
      <formula>"Red"</formula>
    </cfRule>
  </conditionalFormatting>
  <conditionalFormatting sqref="D65">
    <cfRule type="cellIs" dxfId="457" priority="527" operator="equal">
      <formula>"Green"</formula>
    </cfRule>
    <cfRule type="cellIs" dxfId="456" priority="528" operator="equal">
      <formula>"Yellow"</formula>
    </cfRule>
    <cfRule type="cellIs" dxfId="455" priority="529" operator="equal">
      <formula>"Orange"</formula>
    </cfRule>
    <cfRule type="cellIs" dxfId="454" priority="530" operator="equal">
      <formula>"Brown"</formula>
    </cfRule>
    <cfRule type="cellIs" dxfId="453" priority="531" operator="equal">
      <formula>"Red"</formula>
    </cfRule>
  </conditionalFormatting>
  <conditionalFormatting sqref="D66">
    <cfRule type="cellIs" dxfId="452" priority="522" operator="equal">
      <formula>"Green"</formula>
    </cfRule>
    <cfRule type="cellIs" dxfId="451" priority="523" operator="equal">
      <formula>"Yellow"</formula>
    </cfRule>
    <cfRule type="cellIs" dxfId="450" priority="524" operator="equal">
      <formula>"Orange"</formula>
    </cfRule>
    <cfRule type="cellIs" dxfId="449" priority="525" operator="equal">
      <formula>"Brown"</formula>
    </cfRule>
    <cfRule type="cellIs" dxfId="448" priority="526" operator="equal">
      <formula>"Red"</formula>
    </cfRule>
  </conditionalFormatting>
  <conditionalFormatting sqref="D67">
    <cfRule type="cellIs" dxfId="447" priority="517" operator="equal">
      <formula>"Green"</formula>
    </cfRule>
    <cfRule type="cellIs" dxfId="446" priority="518" operator="equal">
      <formula>"Yellow"</formula>
    </cfRule>
    <cfRule type="cellIs" dxfId="445" priority="519" operator="equal">
      <formula>"Orange"</formula>
    </cfRule>
    <cfRule type="cellIs" dxfId="444" priority="520" operator="equal">
      <formula>"Brown"</formula>
    </cfRule>
    <cfRule type="cellIs" dxfId="443" priority="521" operator="equal">
      <formula>"Red"</formula>
    </cfRule>
  </conditionalFormatting>
  <conditionalFormatting sqref="D68">
    <cfRule type="cellIs" dxfId="442" priority="512" operator="equal">
      <formula>"Green"</formula>
    </cfRule>
    <cfRule type="cellIs" dxfId="441" priority="513" operator="equal">
      <formula>"Yellow"</formula>
    </cfRule>
    <cfRule type="cellIs" dxfId="440" priority="514" operator="equal">
      <formula>"Orange"</formula>
    </cfRule>
    <cfRule type="cellIs" dxfId="439" priority="515" operator="equal">
      <formula>"Brown"</formula>
    </cfRule>
    <cfRule type="cellIs" dxfId="438" priority="516" operator="equal">
      <formula>"Red"</formula>
    </cfRule>
  </conditionalFormatting>
  <conditionalFormatting sqref="D69">
    <cfRule type="cellIs" dxfId="437" priority="507" operator="equal">
      <formula>"Green"</formula>
    </cfRule>
    <cfRule type="cellIs" dxfId="436" priority="508" operator="equal">
      <formula>"Yellow"</formula>
    </cfRule>
    <cfRule type="cellIs" dxfId="435" priority="509" operator="equal">
      <formula>"Orange"</formula>
    </cfRule>
    <cfRule type="cellIs" dxfId="434" priority="510" operator="equal">
      <formula>"Brown"</formula>
    </cfRule>
    <cfRule type="cellIs" dxfId="433" priority="511" operator="equal">
      <formula>"Red"</formula>
    </cfRule>
  </conditionalFormatting>
  <conditionalFormatting sqref="D70">
    <cfRule type="cellIs" dxfId="432" priority="502" operator="equal">
      <formula>"Green"</formula>
    </cfRule>
    <cfRule type="cellIs" dxfId="431" priority="503" operator="equal">
      <formula>"Yellow"</formula>
    </cfRule>
    <cfRule type="cellIs" dxfId="430" priority="504" operator="equal">
      <formula>"Orange"</formula>
    </cfRule>
    <cfRule type="cellIs" dxfId="429" priority="505" operator="equal">
      <formula>"Brown"</formula>
    </cfRule>
    <cfRule type="cellIs" dxfId="428" priority="506" operator="equal">
      <formula>"Red"</formula>
    </cfRule>
  </conditionalFormatting>
  <conditionalFormatting sqref="D71">
    <cfRule type="cellIs" dxfId="427" priority="497" operator="equal">
      <formula>"Green"</formula>
    </cfRule>
    <cfRule type="cellIs" dxfId="426" priority="498" operator="equal">
      <formula>"Yellow"</formula>
    </cfRule>
    <cfRule type="cellIs" dxfId="425" priority="499" operator="equal">
      <formula>"Orange"</formula>
    </cfRule>
    <cfRule type="cellIs" dxfId="424" priority="500" operator="equal">
      <formula>"Brown"</formula>
    </cfRule>
    <cfRule type="cellIs" dxfId="423" priority="501" operator="equal">
      <formula>"Red"</formula>
    </cfRule>
  </conditionalFormatting>
  <conditionalFormatting sqref="K62">
    <cfRule type="cellIs" dxfId="422" priority="492" operator="equal">
      <formula>"Green"</formula>
    </cfRule>
    <cfRule type="cellIs" dxfId="421" priority="493" operator="equal">
      <formula>"Yellow"</formula>
    </cfRule>
    <cfRule type="cellIs" dxfId="420" priority="494" operator="equal">
      <formula>"Orange"</formula>
    </cfRule>
    <cfRule type="cellIs" dxfId="419" priority="495" operator="equal">
      <formula>"Brown"</formula>
    </cfRule>
    <cfRule type="cellIs" dxfId="418" priority="496" operator="equal">
      <formula>"Red"</formula>
    </cfRule>
  </conditionalFormatting>
  <conditionalFormatting sqref="K63">
    <cfRule type="cellIs" dxfId="417" priority="487" operator="equal">
      <formula>"Green"</formula>
    </cfRule>
    <cfRule type="cellIs" dxfId="416" priority="488" operator="equal">
      <formula>"Yellow"</formula>
    </cfRule>
    <cfRule type="cellIs" dxfId="415" priority="489" operator="equal">
      <formula>"Orange"</formula>
    </cfRule>
    <cfRule type="cellIs" dxfId="414" priority="490" operator="equal">
      <formula>"Brown"</formula>
    </cfRule>
    <cfRule type="cellIs" dxfId="413" priority="491" operator="equal">
      <formula>"Red"</formula>
    </cfRule>
  </conditionalFormatting>
  <conditionalFormatting sqref="K64">
    <cfRule type="cellIs" dxfId="412" priority="482" operator="equal">
      <formula>"Green"</formula>
    </cfRule>
    <cfRule type="cellIs" dxfId="411" priority="483" operator="equal">
      <formula>"Yellow"</formula>
    </cfRule>
    <cfRule type="cellIs" dxfId="410" priority="484" operator="equal">
      <formula>"Orange"</formula>
    </cfRule>
    <cfRule type="cellIs" dxfId="409" priority="485" operator="equal">
      <formula>"Brown"</formula>
    </cfRule>
    <cfRule type="cellIs" dxfId="408" priority="486" operator="equal">
      <formula>"Red"</formula>
    </cfRule>
  </conditionalFormatting>
  <conditionalFormatting sqref="K65">
    <cfRule type="cellIs" dxfId="407" priority="477" operator="equal">
      <formula>"Green"</formula>
    </cfRule>
    <cfRule type="cellIs" dxfId="406" priority="478" operator="equal">
      <formula>"Yellow"</formula>
    </cfRule>
    <cfRule type="cellIs" dxfId="405" priority="479" operator="equal">
      <formula>"Orange"</formula>
    </cfRule>
    <cfRule type="cellIs" dxfId="404" priority="480" operator="equal">
      <formula>"Brown"</formula>
    </cfRule>
    <cfRule type="cellIs" dxfId="403" priority="481" operator="equal">
      <formula>"Red"</formula>
    </cfRule>
  </conditionalFormatting>
  <conditionalFormatting sqref="K66">
    <cfRule type="cellIs" dxfId="402" priority="472" operator="equal">
      <formula>"Green"</formula>
    </cfRule>
    <cfRule type="cellIs" dxfId="401" priority="473" operator="equal">
      <formula>"Yellow"</formula>
    </cfRule>
    <cfRule type="cellIs" dxfId="400" priority="474" operator="equal">
      <formula>"Orange"</formula>
    </cfRule>
    <cfRule type="cellIs" dxfId="399" priority="475" operator="equal">
      <formula>"Brown"</formula>
    </cfRule>
    <cfRule type="cellIs" dxfId="398" priority="476" operator="equal">
      <formula>"Red"</formula>
    </cfRule>
  </conditionalFormatting>
  <conditionalFormatting sqref="K67">
    <cfRule type="cellIs" dxfId="397" priority="467" operator="equal">
      <formula>"Green"</formula>
    </cfRule>
    <cfRule type="cellIs" dxfId="396" priority="468" operator="equal">
      <formula>"Yellow"</formula>
    </cfRule>
    <cfRule type="cellIs" dxfId="395" priority="469" operator="equal">
      <formula>"Orange"</formula>
    </cfRule>
    <cfRule type="cellIs" dxfId="394" priority="470" operator="equal">
      <formula>"Brown"</formula>
    </cfRule>
    <cfRule type="cellIs" dxfId="393" priority="471" operator="equal">
      <formula>"Red"</formula>
    </cfRule>
  </conditionalFormatting>
  <conditionalFormatting sqref="K68">
    <cfRule type="cellIs" dxfId="392" priority="462" operator="equal">
      <formula>"Green"</formula>
    </cfRule>
    <cfRule type="cellIs" dxfId="391" priority="463" operator="equal">
      <formula>"Yellow"</formula>
    </cfRule>
    <cfRule type="cellIs" dxfId="390" priority="464" operator="equal">
      <formula>"Orange"</formula>
    </cfRule>
    <cfRule type="cellIs" dxfId="389" priority="465" operator="equal">
      <formula>"Brown"</formula>
    </cfRule>
    <cfRule type="cellIs" dxfId="388" priority="466" operator="equal">
      <formula>"Red"</formula>
    </cfRule>
  </conditionalFormatting>
  <conditionalFormatting sqref="K69">
    <cfRule type="cellIs" dxfId="387" priority="457" operator="equal">
      <formula>"Green"</formula>
    </cfRule>
    <cfRule type="cellIs" dxfId="386" priority="458" operator="equal">
      <formula>"Yellow"</formula>
    </cfRule>
    <cfRule type="cellIs" dxfId="385" priority="459" operator="equal">
      <formula>"Orange"</formula>
    </cfRule>
    <cfRule type="cellIs" dxfId="384" priority="460" operator="equal">
      <formula>"Brown"</formula>
    </cfRule>
    <cfRule type="cellIs" dxfId="383" priority="461" operator="equal">
      <formula>"Red"</formula>
    </cfRule>
  </conditionalFormatting>
  <conditionalFormatting sqref="K70">
    <cfRule type="cellIs" dxfId="382" priority="452" operator="equal">
      <formula>"Green"</formula>
    </cfRule>
    <cfRule type="cellIs" dxfId="381" priority="453" operator="equal">
      <formula>"Yellow"</formula>
    </cfRule>
    <cfRule type="cellIs" dxfId="380" priority="454" operator="equal">
      <formula>"Orange"</formula>
    </cfRule>
    <cfRule type="cellIs" dxfId="379" priority="455" operator="equal">
      <formula>"Brown"</formula>
    </cfRule>
    <cfRule type="cellIs" dxfId="378" priority="456" operator="equal">
      <formula>"Red"</formula>
    </cfRule>
  </conditionalFormatting>
  <conditionalFormatting sqref="K71">
    <cfRule type="cellIs" dxfId="377" priority="447" operator="equal">
      <formula>"Green"</formula>
    </cfRule>
    <cfRule type="cellIs" dxfId="376" priority="448" operator="equal">
      <formula>"Yellow"</formula>
    </cfRule>
    <cfRule type="cellIs" dxfId="375" priority="449" operator="equal">
      <formula>"Orange"</formula>
    </cfRule>
    <cfRule type="cellIs" dxfId="374" priority="450" operator="equal">
      <formula>"Brown"</formula>
    </cfRule>
    <cfRule type="cellIs" dxfId="373" priority="451" operator="equal">
      <formula>"Red"</formula>
    </cfRule>
  </conditionalFormatting>
  <conditionalFormatting sqref="D89">
    <cfRule type="cellIs" dxfId="372" priority="441" operator="equal">
      <formula>"Green"</formula>
    </cfRule>
    <cfRule type="cellIs" dxfId="371" priority="442" operator="equal">
      <formula>"Yellow"</formula>
    </cfRule>
    <cfRule type="cellIs" dxfId="370" priority="443" operator="equal">
      <formula>"Orange"</formula>
    </cfRule>
    <cfRule type="cellIs" dxfId="369" priority="444" operator="equal">
      <formula>"Brown"</formula>
    </cfRule>
    <cfRule type="cellIs" dxfId="368" priority="445" operator="equal">
      <formula>"Red"</formula>
    </cfRule>
  </conditionalFormatting>
  <conditionalFormatting sqref="F90:H92">
    <cfRule type="cellIs" dxfId="367" priority="415" operator="equal">
      <formula>"Green"</formula>
    </cfRule>
    <cfRule type="cellIs" dxfId="366" priority="416" operator="equal">
      <formula>"Yellow"</formula>
    </cfRule>
    <cfRule type="cellIs" dxfId="365" priority="417" operator="equal">
      <formula>"Orange"</formula>
    </cfRule>
    <cfRule type="cellIs" dxfId="364" priority="418" operator="equal">
      <formula>"Brown"</formula>
    </cfRule>
    <cfRule type="cellIs" dxfId="363" priority="419" operator="equal">
      <formula>"Red"</formula>
    </cfRule>
    <cfRule type="cellIs" dxfId="362" priority="420" operator="equal">
      <formula>"D Red"</formula>
    </cfRule>
  </conditionalFormatting>
  <conditionalFormatting sqref="E98:E103">
    <cfRule type="cellIs" dxfId="361" priority="409" operator="equal">
      <formula>"Green"</formula>
    </cfRule>
    <cfRule type="cellIs" dxfId="360" priority="410" operator="equal">
      <formula>"Yellow"</formula>
    </cfRule>
    <cfRule type="cellIs" dxfId="359" priority="411" operator="equal">
      <formula>"Orange"</formula>
    </cfRule>
    <cfRule type="cellIs" dxfId="358" priority="412" operator="equal">
      <formula>"Brown"</formula>
    </cfRule>
    <cfRule type="cellIs" dxfId="357" priority="413" operator="equal">
      <formula>"Red"</formula>
    </cfRule>
    <cfRule type="cellIs" dxfId="356" priority="414" operator="equal">
      <formula>"D Red"</formula>
    </cfRule>
  </conditionalFormatting>
  <conditionalFormatting sqref="D98:D103">
    <cfRule type="cellIs" dxfId="355" priority="403" operator="equal">
      <formula>"Green"</formula>
    </cfRule>
    <cfRule type="cellIs" dxfId="354" priority="404" operator="equal">
      <formula>"Yellow"</formula>
    </cfRule>
    <cfRule type="cellIs" dxfId="353" priority="405" operator="equal">
      <formula>"Orange"</formula>
    </cfRule>
    <cfRule type="cellIs" dxfId="352" priority="406" operator="equal">
      <formula>"Brown"</formula>
    </cfRule>
    <cfRule type="cellIs" dxfId="351" priority="407" operator="equal">
      <formula>"Red"</formula>
    </cfRule>
    <cfRule type="cellIs" dxfId="350" priority="408" operator="equal">
      <formula>"D Red"</formula>
    </cfRule>
  </conditionalFormatting>
  <conditionalFormatting sqref="I97">
    <cfRule type="cellIs" dxfId="349" priority="398" operator="equal">
      <formula>"Green"</formula>
    </cfRule>
    <cfRule type="cellIs" dxfId="348" priority="399" operator="equal">
      <formula>"Yellow"</formula>
    </cfRule>
    <cfRule type="cellIs" dxfId="347" priority="400" operator="equal">
      <formula>"Orange"</formula>
    </cfRule>
    <cfRule type="cellIs" dxfId="346" priority="401" operator="equal">
      <formula>"Brown"</formula>
    </cfRule>
    <cfRule type="cellIs" dxfId="345" priority="402" operator="equal">
      <formula>"Red"</formula>
    </cfRule>
  </conditionalFormatting>
  <conditionalFormatting sqref="K101:M103">
    <cfRule type="cellIs" dxfId="344" priority="392" operator="equal">
      <formula>"Green"</formula>
    </cfRule>
    <cfRule type="cellIs" dxfId="343" priority="393" operator="equal">
      <formula>"Yellow"</formula>
    </cfRule>
    <cfRule type="cellIs" dxfId="342" priority="394" operator="equal">
      <formula>"Orange"</formula>
    </cfRule>
    <cfRule type="cellIs" dxfId="341" priority="395" operator="equal">
      <formula>"Brown"</formula>
    </cfRule>
    <cfRule type="cellIs" dxfId="340" priority="396" operator="equal">
      <formula>"Red"</formula>
    </cfRule>
    <cfRule type="cellIs" dxfId="339" priority="397" operator="equal">
      <formula>"D Red"</formula>
    </cfRule>
  </conditionalFormatting>
  <conditionalFormatting sqref="J101:J103">
    <cfRule type="cellIs" dxfId="338" priority="386" operator="equal">
      <formula>"Green"</formula>
    </cfRule>
    <cfRule type="cellIs" dxfId="337" priority="387" operator="equal">
      <formula>"Yellow"</formula>
    </cfRule>
    <cfRule type="cellIs" dxfId="336" priority="388" operator="equal">
      <formula>"Orange"</formula>
    </cfRule>
    <cfRule type="cellIs" dxfId="335" priority="389" operator="equal">
      <formula>"Brown"</formula>
    </cfRule>
    <cfRule type="cellIs" dxfId="334" priority="390" operator="equal">
      <formula>"Red"</formula>
    </cfRule>
    <cfRule type="cellIs" dxfId="333" priority="391" operator="equal">
      <formula>"D Red"</formula>
    </cfRule>
  </conditionalFormatting>
  <conditionalFormatting sqref="I101:I103">
    <cfRule type="cellIs" dxfId="332" priority="380" operator="equal">
      <formula>"Green"</formula>
    </cfRule>
    <cfRule type="cellIs" dxfId="331" priority="381" operator="equal">
      <formula>"Yellow"</formula>
    </cfRule>
    <cfRule type="cellIs" dxfId="330" priority="382" operator="equal">
      <formula>"Orange"</formula>
    </cfRule>
    <cfRule type="cellIs" dxfId="329" priority="383" operator="equal">
      <formula>"Brown"</formula>
    </cfRule>
    <cfRule type="cellIs" dxfId="328" priority="384" operator="equal">
      <formula>"Red"</formula>
    </cfRule>
    <cfRule type="cellIs" dxfId="327" priority="385" operator="equal">
      <formula>"D Red"</formula>
    </cfRule>
  </conditionalFormatting>
  <conditionalFormatting sqref="I98:M100">
    <cfRule type="cellIs" dxfId="326" priority="375" operator="equal">
      <formula>"Green"</formula>
    </cfRule>
    <cfRule type="cellIs" dxfId="325" priority="376" operator="equal">
      <formula>"Yellow"</formula>
    </cfRule>
    <cfRule type="cellIs" dxfId="324" priority="377" operator="equal">
      <formula>"Orange"</formula>
    </cfRule>
    <cfRule type="cellIs" dxfId="323" priority="378" operator="equal">
      <formula>"Brown"</formula>
    </cfRule>
    <cfRule type="cellIs" dxfId="322" priority="379" operator="equal">
      <formula>"Red"</formula>
    </cfRule>
  </conditionalFormatting>
  <conditionalFormatting sqref="D18:H26">
    <cfRule type="cellIs" dxfId="321" priority="315" operator="equal">
      <formula>"Green"</formula>
    </cfRule>
    <cfRule type="cellIs" dxfId="320" priority="316" operator="equal">
      <formula>"Yellow"</formula>
    </cfRule>
    <cfRule type="cellIs" dxfId="319" priority="317" operator="equal">
      <formula>"Orange"</formula>
    </cfRule>
    <cfRule type="cellIs" dxfId="318" priority="318" operator="equal">
      <formula>"Brown"</formula>
    </cfRule>
    <cfRule type="cellIs" dxfId="317" priority="319" operator="equal">
      <formula>"Red"</formula>
    </cfRule>
    <cfRule type="cellIs" dxfId="316" priority="320" operator="equal">
      <formula>"D Red"</formula>
    </cfRule>
  </conditionalFormatting>
  <conditionalFormatting sqref="D26:E26">
    <cfRule type="cellIs" dxfId="315" priority="309" operator="equal">
      <formula>"Green"</formula>
    </cfRule>
    <cfRule type="cellIs" dxfId="314" priority="310" operator="equal">
      <formula>"Yellow"</formula>
    </cfRule>
    <cfRule type="cellIs" dxfId="313" priority="311" operator="equal">
      <formula>"Orange"</formula>
    </cfRule>
    <cfRule type="cellIs" dxfId="312" priority="312" operator="equal">
      <formula>"Brown"</formula>
    </cfRule>
    <cfRule type="cellIs" dxfId="311" priority="313" operator="equal">
      <formula>"Red"</formula>
    </cfRule>
    <cfRule type="cellIs" dxfId="310" priority="314" operator="equal">
      <formula>"D Red"</formula>
    </cfRule>
  </conditionalFormatting>
  <conditionalFormatting sqref="I27:M32">
    <cfRule type="cellIs" dxfId="309" priority="303" operator="equal">
      <formula>"Green"</formula>
    </cfRule>
    <cfRule type="cellIs" dxfId="308" priority="304" operator="equal">
      <formula>"Yellow"</formula>
    </cfRule>
    <cfRule type="cellIs" dxfId="307" priority="305" operator="equal">
      <formula>"Orange"</formula>
    </cfRule>
    <cfRule type="cellIs" dxfId="306" priority="306" operator="equal">
      <formula>"Brown"</formula>
    </cfRule>
    <cfRule type="cellIs" dxfId="305" priority="307" operator="equal">
      <formula>"Red"</formula>
    </cfRule>
    <cfRule type="cellIs" dxfId="304" priority="308" operator="equal">
      <formula>"D Red"</formula>
    </cfRule>
  </conditionalFormatting>
  <conditionalFormatting sqref="M31:M32">
    <cfRule type="cellIs" dxfId="303" priority="297" operator="equal">
      <formula>"Green"</formula>
    </cfRule>
    <cfRule type="cellIs" dxfId="302" priority="298" operator="equal">
      <formula>"Yellow"</formula>
    </cfRule>
    <cfRule type="cellIs" dxfId="301" priority="299" operator="equal">
      <formula>"Orange"</formula>
    </cfRule>
    <cfRule type="cellIs" dxfId="300" priority="300" operator="equal">
      <formula>"Brown"</formula>
    </cfRule>
    <cfRule type="cellIs" dxfId="299" priority="301" operator="equal">
      <formula>"Red"</formula>
    </cfRule>
    <cfRule type="cellIs" dxfId="298" priority="302" operator="equal">
      <formula>"D Red"</formula>
    </cfRule>
  </conditionalFormatting>
  <conditionalFormatting sqref="M31:M32">
    <cfRule type="cellIs" dxfId="297" priority="291" operator="equal">
      <formula>"Green"</formula>
    </cfRule>
    <cfRule type="cellIs" dxfId="296" priority="292" operator="equal">
      <formula>"Yellow"</formula>
    </cfRule>
    <cfRule type="cellIs" dxfId="295" priority="293" operator="equal">
      <formula>"Orange"</formula>
    </cfRule>
    <cfRule type="cellIs" dxfId="294" priority="294" operator="equal">
      <formula>"Brown"</formula>
    </cfRule>
    <cfRule type="cellIs" dxfId="293" priority="295" operator="equal">
      <formula>"Red"</formula>
    </cfRule>
    <cfRule type="cellIs" dxfId="292" priority="296" operator="equal">
      <formula>"D Red"</formula>
    </cfRule>
  </conditionalFormatting>
  <conditionalFormatting sqref="K32">
    <cfRule type="cellIs" dxfId="291" priority="285" operator="equal">
      <formula>"Green"</formula>
    </cfRule>
    <cfRule type="cellIs" dxfId="290" priority="286" operator="equal">
      <formula>"Yellow"</formula>
    </cfRule>
    <cfRule type="cellIs" dxfId="289" priority="287" operator="equal">
      <formula>"Orange"</formula>
    </cfRule>
    <cfRule type="cellIs" dxfId="288" priority="288" operator="equal">
      <formula>"Brown"</formula>
    </cfRule>
    <cfRule type="cellIs" dxfId="287" priority="289" operator="equal">
      <formula>"Red"</formula>
    </cfRule>
    <cfRule type="cellIs" dxfId="286" priority="290" operator="equal">
      <formula>"D Red"</formula>
    </cfRule>
  </conditionalFormatting>
  <conditionalFormatting sqref="L32">
    <cfRule type="cellIs" dxfId="285" priority="279" operator="equal">
      <formula>"Green"</formula>
    </cfRule>
    <cfRule type="cellIs" dxfId="284" priority="280" operator="equal">
      <formula>"Yellow"</formula>
    </cfRule>
    <cfRule type="cellIs" dxfId="283" priority="281" operator="equal">
      <formula>"Orange"</formula>
    </cfRule>
    <cfRule type="cellIs" dxfId="282" priority="282" operator="equal">
      <formula>"Brown"</formula>
    </cfRule>
    <cfRule type="cellIs" dxfId="281" priority="283" operator="equal">
      <formula>"Red"</formula>
    </cfRule>
    <cfRule type="cellIs" dxfId="280" priority="284" operator="equal">
      <formula>"D Red"</formula>
    </cfRule>
  </conditionalFormatting>
  <conditionalFormatting sqref="L32">
    <cfRule type="cellIs" dxfId="279" priority="273" operator="equal">
      <formula>"Green"</formula>
    </cfRule>
    <cfRule type="cellIs" dxfId="278" priority="274" operator="equal">
      <formula>"Yellow"</formula>
    </cfRule>
    <cfRule type="cellIs" dxfId="277" priority="275" operator="equal">
      <formula>"Orange"</formula>
    </cfRule>
    <cfRule type="cellIs" dxfId="276" priority="276" operator="equal">
      <formula>"Brown"</formula>
    </cfRule>
    <cfRule type="cellIs" dxfId="275" priority="277" operator="equal">
      <formula>"Red"</formula>
    </cfRule>
    <cfRule type="cellIs" dxfId="274" priority="278" operator="equal">
      <formula>"D Red"</formula>
    </cfRule>
  </conditionalFormatting>
  <conditionalFormatting sqref="K31:L31">
    <cfRule type="cellIs" dxfId="273" priority="267" operator="equal">
      <formula>"Green"</formula>
    </cfRule>
    <cfRule type="cellIs" dxfId="272" priority="268" operator="equal">
      <formula>"Yellow"</formula>
    </cfRule>
    <cfRule type="cellIs" dxfId="271" priority="269" operator="equal">
      <formula>"Orange"</formula>
    </cfRule>
    <cfRule type="cellIs" dxfId="270" priority="270" operator="equal">
      <formula>"Brown"</formula>
    </cfRule>
    <cfRule type="cellIs" dxfId="269" priority="271" operator="equal">
      <formula>"Red"</formula>
    </cfRule>
    <cfRule type="cellIs" dxfId="268" priority="272" operator="equal">
      <formula>"D Red"</formula>
    </cfRule>
  </conditionalFormatting>
  <conditionalFormatting sqref="I30:J32">
    <cfRule type="cellIs" dxfId="267" priority="261" operator="equal">
      <formula>"Green"</formula>
    </cfRule>
    <cfRule type="cellIs" dxfId="266" priority="262" operator="equal">
      <formula>"Yellow"</formula>
    </cfRule>
    <cfRule type="cellIs" dxfId="265" priority="263" operator="equal">
      <formula>"Orange"</formula>
    </cfRule>
    <cfRule type="cellIs" dxfId="264" priority="264" operator="equal">
      <formula>"Brown"</formula>
    </cfRule>
    <cfRule type="cellIs" dxfId="263" priority="265" operator="equal">
      <formula>"Red"</formula>
    </cfRule>
    <cfRule type="cellIs" dxfId="262" priority="266" operator="equal">
      <formula>"D Red"</formula>
    </cfRule>
  </conditionalFormatting>
  <conditionalFormatting sqref="X96">
    <cfRule type="cellIs" dxfId="261" priority="256" operator="equal">
      <formula>"Green"</formula>
    </cfRule>
    <cfRule type="cellIs" dxfId="260" priority="257" operator="equal">
      <formula>"Yellow"</formula>
    </cfRule>
    <cfRule type="cellIs" dxfId="259" priority="258" operator="equal">
      <formula>"Orange"</formula>
    </cfRule>
    <cfRule type="cellIs" dxfId="258" priority="259" operator="equal">
      <formula>"Brown"</formula>
    </cfRule>
    <cfRule type="cellIs" dxfId="257" priority="260" operator="equal">
      <formula>"Red"</formula>
    </cfRule>
  </conditionalFormatting>
  <conditionalFormatting sqref="Z97:AB102">
    <cfRule type="cellIs" dxfId="256" priority="250" operator="equal">
      <formula>"Green"</formula>
    </cfRule>
    <cfRule type="cellIs" dxfId="255" priority="251" operator="equal">
      <formula>"Yellow"</formula>
    </cfRule>
    <cfRule type="cellIs" dxfId="254" priority="252" operator="equal">
      <formula>"Orange"</formula>
    </cfRule>
    <cfRule type="cellIs" dxfId="253" priority="253" operator="equal">
      <formula>"Brown"</formula>
    </cfRule>
    <cfRule type="cellIs" dxfId="252" priority="254" operator="equal">
      <formula>"Red"</formula>
    </cfRule>
    <cfRule type="cellIs" dxfId="251" priority="255" operator="equal">
      <formula>"D Red"</formula>
    </cfRule>
  </conditionalFormatting>
  <conditionalFormatting sqref="Y97:Y108">
    <cfRule type="cellIs" dxfId="250" priority="244" operator="equal">
      <formula>"Green"</formula>
    </cfRule>
    <cfRule type="cellIs" dxfId="249" priority="245" operator="equal">
      <formula>"Yellow"</formula>
    </cfRule>
    <cfRule type="cellIs" dxfId="248" priority="246" operator="equal">
      <formula>"Orange"</formula>
    </cfRule>
    <cfRule type="cellIs" dxfId="247" priority="247" operator="equal">
      <formula>"Brown"</formula>
    </cfRule>
    <cfRule type="cellIs" dxfId="246" priority="248" operator="equal">
      <formula>"Red"</formula>
    </cfRule>
    <cfRule type="cellIs" dxfId="245" priority="249" operator="equal">
      <formula>"D Red"</formula>
    </cfRule>
  </conditionalFormatting>
  <conditionalFormatting sqref="Y103:AB108 X97:X108 Y106:AG108">
    <cfRule type="cellIs" dxfId="244" priority="238" operator="equal">
      <formula>"Green"</formula>
    </cfRule>
    <cfRule type="cellIs" dxfId="243" priority="239" operator="equal">
      <formula>"Yellow"</formula>
    </cfRule>
    <cfRule type="cellIs" dxfId="242" priority="240" operator="equal">
      <formula>"Orange"</formula>
    </cfRule>
    <cfRule type="cellIs" dxfId="241" priority="241" operator="equal">
      <formula>"Brown"</formula>
    </cfRule>
    <cfRule type="cellIs" dxfId="240" priority="242" operator="equal">
      <formula>"Red"</formula>
    </cfRule>
    <cfRule type="cellIs" dxfId="239" priority="243" operator="equal">
      <formula>"D Red"</formula>
    </cfRule>
  </conditionalFormatting>
  <conditionalFormatting sqref="AC96">
    <cfRule type="cellIs" dxfId="238" priority="233" operator="equal">
      <formula>"Green"</formula>
    </cfRule>
    <cfRule type="cellIs" dxfId="237" priority="234" operator="equal">
      <formula>"Yellow"</formula>
    </cfRule>
    <cfRule type="cellIs" dxfId="236" priority="235" operator="equal">
      <formula>"Orange"</formula>
    </cfRule>
    <cfRule type="cellIs" dxfId="235" priority="236" operator="equal">
      <formula>"Brown"</formula>
    </cfRule>
    <cfRule type="cellIs" dxfId="234" priority="237" operator="equal">
      <formula>"Red"</formula>
    </cfRule>
  </conditionalFormatting>
  <conditionalFormatting sqref="AE100:AG102">
    <cfRule type="cellIs" dxfId="233" priority="227" operator="equal">
      <formula>"Green"</formula>
    </cfRule>
    <cfRule type="cellIs" dxfId="232" priority="228" operator="equal">
      <formula>"Yellow"</formula>
    </cfRule>
    <cfRule type="cellIs" dxfId="231" priority="229" operator="equal">
      <formula>"Orange"</formula>
    </cfRule>
    <cfRule type="cellIs" dxfId="230" priority="230" operator="equal">
      <formula>"Brown"</formula>
    </cfRule>
    <cfRule type="cellIs" dxfId="229" priority="231" operator="equal">
      <formula>"Red"</formula>
    </cfRule>
    <cfRule type="cellIs" dxfId="228" priority="232" operator="equal">
      <formula>"D Red"</formula>
    </cfRule>
  </conditionalFormatting>
  <conditionalFormatting sqref="AD100:AD102">
    <cfRule type="cellIs" dxfId="227" priority="221" operator="equal">
      <formula>"Green"</formula>
    </cfRule>
    <cfRule type="cellIs" dxfId="226" priority="222" operator="equal">
      <formula>"Yellow"</formula>
    </cfRule>
    <cfRule type="cellIs" dxfId="225" priority="223" operator="equal">
      <formula>"Orange"</formula>
    </cfRule>
    <cfRule type="cellIs" dxfId="224" priority="224" operator="equal">
      <formula>"Brown"</formula>
    </cfRule>
    <cfRule type="cellIs" dxfId="223" priority="225" operator="equal">
      <formula>"Red"</formula>
    </cfRule>
    <cfRule type="cellIs" dxfId="222" priority="226" operator="equal">
      <formula>"D Red"</formula>
    </cfRule>
  </conditionalFormatting>
  <conditionalFormatting sqref="AC100:AC102">
    <cfRule type="cellIs" dxfId="221" priority="215" operator="equal">
      <formula>"Green"</formula>
    </cfRule>
    <cfRule type="cellIs" dxfId="220" priority="216" operator="equal">
      <formula>"Yellow"</formula>
    </cfRule>
    <cfRule type="cellIs" dxfId="219" priority="217" operator="equal">
      <formula>"Orange"</formula>
    </cfRule>
    <cfRule type="cellIs" dxfId="218" priority="218" operator="equal">
      <formula>"Brown"</formula>
    </cfRule>
    <cfRule type="cellIs" dxfId="217" priority="219" operator="equal">
      <formula>"Red"</formula>
    </cfRule>
    <cfRule type="cellIs" dxfId="216" priority="220" operator="equal">
      <formula>"D Red"</formula>
    </cfRule>
  </conditionalFormatting>
  <conditionalFormatting sqref="X97:AG102">
    <cfRule type="cellIs" dxfId="215" priority="210" operator="equal">
      <formula>"Green"</formula>
    </cfRule>
    <cfRule type="cellIs" dxfId="214" priority="211" operator="equal">
      <formula>"Yellow"</formula>
    </cfRule>
    <cfRule type="cellIs" dxfId="213" priority="212" operator="equal">
      <formula>"Orange"</formula>
    </cfRule>
    <cfRule type="cellIs" dxfId="212" priority="213" operator="equal">
      <formula>"Brown"</formula>
    </cfRule>
    <cfRule type="cellIs" dxfId="211" priority="214" operator="equal">
      <formula>"Red"</formula>
    </cfRule>
  </conditionalFormatting>
  <conditionalFormatting sqref="Y97:AB97">
    <cfRule type="cellIs" dxfId="210" priority="204" operator="equal">
      <formula>"Green"</formula>
    </cfRule>
    <cfRule type="cellIs" dxfId="209" priority="205" operator="equal">
      <formula>"Yellow"</formula>
    </cfRule>
    <cfRule type="cellIs" dxfId="208" priority="206" operator="equal">
      <formula>"Orange"</formula>
    </cfRule>
    <cfRule type="cellIs" dxfId="207" priority="207" operator="equal">
      <formula>"Brown"</formula>
    </cfRule>
    <cfRule type="cellIs" dxfId="206" priority="208" operator="equal">
      <formula>"Red"</formula>
    </cfRule>
    <cfRule type="cellIs" dxfId="205" priority="209" operator="equal">
      <formula>"D Red"</formula>
    </cfRule>
  </conditionalFormatting>
  <conditionalFormatting sqref="Y99:Y102">
    <cfRule type="cellIs" dxfId="204" priority="198" operator="equal">
      <formula>"Green"</formula>
    </cfRule>
    <cfRule type="cellIs" dxfId="203" priority="199" operator="equal">
      <formula>"Yellow"</formula>
    </cfRule>
    <cfRule type="cellIs" dxfId="202" priority="200" operator="equal">
      <formula>"Orange"</formula>
    </cfRule>
    <cfRule type="cellIs" dxfId="201" priority="201" operator="equal">
      <formula>"Brown"</formula>
    </cfRule>
    <cfRule type="cellIs" dxfId="200" priority="202" operator="equal">
      <formula>"Red"</formula>
    </cfRule>
    <cfRule type="cellIs" dxfId="199" priority="203" operator="equal">
      <formula>"D Red"</formula>
    </cfRule>
  </conditionalFormatting>
  <conditionalFormatting sqref="Z100:Z102">
    <cfRule type="cellIs" dxfId="198" priority="192" operator="equal">
      <formula>"Green"</formula>
    </cfRule>
    <cfRule type="cellIs" dxfId="197" priority="193" operator="equal">
      <formula>"Yellow"</formula>
    </cfRule>
    <cfRule type="cellIs" dxfId="196" priority="194" operator="equal">
      <formula>"Orange"</formula>
    </cfRule>
    <cfRule type="cellIs" dxfId="195" priority="195" operator="equal">
      <formula>"Brown"</formula>
    </cfRule>
    <cfRule type="cellIs" dxfId="194" priority="196" operator="equal">
      <formula>"Red"</formula>
    </cfRule>
    <cfRule type="cellIs" dxfId="193" priority="197" operator="equal">
      <formula>"D Red"</formula>
    </cfRule>
  </conditionalFormatting>
  <conditionalFormatting sqref="Z100:Z102">
    <cfRule type="cellIs" dxfId="192" priority="186" operator="equal">
      <formula>"Green"</formula>
    </cfRule>
    <cfRule type="cellIs" dxfId="191" priority="187" operator="equal">
      <formula>"Yellow"</formula>
    </cfRule>
    <cfRule type="cellIs" dxfId="190" priority="188" operator="equal">
      <formula>"Orange"</formula>
    </cfRule>
    <cfRule type="cellIs" dxfId="189" priority="189" operator="equal">
      <formula>"Brown"</formula>
    </cfRule>
    <cfRule type="cellIs" dxfId="188" priority="190" operator="equal">
      <formula>"Red"</formula>
    </cfRule>
    <cfRule type="cellIs" dxfId="187" priority="191" operator="equal">
      <formula>"D Red"</formula>
    </cfRule>
  </conditionalFormatting>
  <conditionalFormatting sqref="AA101:AA102">
    <cfRule type="cellIs" dxfId="186" priority="180" operator="equal">
      <formula>"Green"</formula>
    </cfRule>
    <cfRule type="cellIs" dxfId="185" priority="181" operator="equal">
      <formula>"Yellow"</formula>
    </cfRule>
    <cfRule type="cellIs" dxfId="184" priority="182" operator="equal">
      <formula>"Orange"</formula>
    </cfRule>
    <cfRule type="cellIs" dxfId="183" priority="183" operator="equal">
      <formula>"Brown"</formula>
    </cfRule>
    <cfRule type="cellIs" dxfId="182" priority="184" operator="equal">
      <formula>"Red"</formula>
    </cfRule>
    <cfRule type="cellIs" dxfId="181" priority="185" operator="equal">
      <formula>"D Red"</formula>
    </cfRule>
  </conditionalFormatting>
  <conditionalFormatting sqref="AA101:AA102">
    <cfRule type="cellIs" dxfId="180" priority="174" operator="equal">
      <formula>"Green"</formula>
    </cfRule>
    <cfRule type="cellIs" dxfId="179" priority="175" operator="equal">
      <formula>"Yellow"</formula>
    </cfRule>
    <cfRule type="cellIs" dxfId="178" priority="176" operator="equal">
      <formula>"Orange"</formula>
    </cfRule>
    <cfRule type="cellIs" dxfId="177" priority="177" operator="equal">
      <formula>"Brown"</formula>
    </cfRule>
    <cfRule type="cellIs" dxfId="176" priority="178" operator="equal">
      <formula>"Red"</formula>
    </cfRule>
    <cfRule type="cellIs" dxfId="175" priority="179" operator="equal">
      <formula>"D Red"</formula>
    </cfRule>
  </conditionalFormatting>
  <conditionalFormatting sqref="Z98:AB99">
    <cfRule type="cellIs" dxfId="174" priority="168" operator="equal">
      <formula>"Green"</formula>
    </cfRule>
    <cfRule type="cellIs" dxfId="173" priority="169" operator="equal">
      <formula>"Yellow"</formula>
    </cfRule>
    <cfRule type="cellIs" dxfId="172" priority="170" operator="equal">
      <formula>"Orange"</formula>
    </cfRule>
    <cfRule type="cellIs" dxfId="171" priority="171" operator="equal">
      <formula>"Brown"</formula>
    </cfRule>
    <cfRule type="cellIs" dxfId="170" priority="172" operator="equal">
      <formula>"Red"</formula>
    </cfRule>
    <cfRule type="cellIs" dxfId="169" priority="173" operator="equal">
      <formula>"D Red"</formula>
    </cfRule>
  </conditionalFormatting>
  <conditionalFormatting sqref="AA100:AB100">
    <cfRule type="cellIs" dxfId="168" priority="162" operator="equal">
      <formula>"Green"</formula>
    </cfRule>
    <cfRule type="cellIs" dxfId="167" priority="163" operator="equal">
      <formula>"Yellow"</formula>
    </cfRule>
    <cfRule type="cellIs" dxfId="166" priority="164" operator="equal">
      <formula>"Orange"</formula>
    </cfRule>
    <cfRule type="cellIs" dxfId="165" priority="165" operator="equal">
      <formula>"Brown"</formula>
    </cfRule>
    <cfRule type="cellIs" dxfId="164" priority="166" operator="equal">
      <formula>"Red"</formula>
    </cfRule>
    <cfRule type="cellIs" dxfId="163" priority="167" operator="equal">
      <formula>"D Red"</formula>
    </cfRule>
  </conditionalFormatting>
  <conditionalFormatting sqref="AB101">
    <cfRule type="cellIs" dxfId="162" priority="156" operator="equal">
      <formula>"Green"</formula>
    </cfRule>
    <cfRule type="cellIs" dxfId="161" priority="157" operator="equal">
      <formula>"Yellow"</formula>
    </cfRule>
    <cfRule type="cellIs" dxfId="160" priority="158" operator="equal">
      <formula>"Orange"</formula>
    </cfRule>
    <cfRule type="cellIs" dxfId="159" priority="159" operator="equal">
      <formula>"Brown"</formula>
    </cfRule>
    <cfRule type="cellIs" dxfId="158" priority="160" operator="equal">
      <formula>"Red"</formula>
    </cfRule>
    <cfRule type="cellIs" dxfId="157" priority="161" operator="equal">
      <formula>"D Red"</formula>
    </cfRule>
  </conditionalFormatting>
  <conditionalFormatting sqref="Z103:AB108">
    <cfRule type="cellIs" dxfId="156" priority="150" operator="equal">
      <formula>"Green"</formula>
    </cfRule>
    <cfRule type="cellIs" dxfId="155" priority="151" operator="equal">
      <formula>"Yellow"</formula>
    </cfRule>
    <cfRule type="cellIs" dxfId="154" priority="152" operator="equal">
      <formula>"Orange"</formula>
    </cfRule>
    <cfRule type="cellIs" dxfId="153" priority="153" operator="equal">
      <formula>"Brown"</formula>
    </cfRule>
    <cfRule type="cellIs" dxfId="152" priority="154" operator="equal">
      <formula>"Red"</formula>
    </cfRule>
    <cfRule type="cellIs" dxfId="151" priority="155" operator="equal">
      <formula>"D Red"</formula>
    </cfRule>
  </conditionalFormatting>
  <conditionalFormatting sqref="AE106:AG108">
    <cfRule type="cellIs" dxfId="150" priority="144" operator="equal">
      <formula>"Green"</formula>
    </cfRule>
    <cfRule type="cellIs" dxfId="149" priority="145" operator="equal">
      <formula>"Yellow"</formula>
    </cfRule>
    <cfRule type="cellIs" dxfId="148" priority="146" operator="equal">
      <formula>"Orange"</formula>
    </cfRule>
    <cfRule type="cellIs" dxfId="147" priority="147" operator="equal">
      <formula>"Brown"</formula>
    </cfRule>
    <cfRule type="cellIs" dxfId="146" priority="148" operator="equal">
      <formula>"Red"</formula>
    </cfRule>
    <cfRule type="cellIs" dxfId="145" priority="149" operator="equal">
      <formula>"D Red"</formula>
    </cfRule>
  </conditionalFormatting>
  <conditionalFormatting sqref="AD106:AD108">
    <cfRule type="cellIs" dxfId="144" priority="138" operator="equal">
      <formula>"Green"</formula>
    </cfRule>
    <cfRule type="cellIs" dxfId="143" priority="139" operator="equal">
      <formula>"Yellow"</formula>
    </cfRule>
    <cfRule type="cellIs" dxfId="142" priority="140" operator="equal">
      <formula>"Orange"</formula>
    </cfRule>
    <cfRule type="cellIs" dxfId="141" priority="141" operator="equal">
      <formula>"Brown"</formula>
    </cfRule>
    <cfRule type="cellIs" dxfId="140" priority="142" operator="equal">
      <formula>"Red"</formula>
    </cfRule>
    <cfRule type="cellIs" dxfId="139" priority="143" operator="equal">
      <formula>"D Red"</formula>
    </cfRule>
  </conditionalFormatting>
  <conditionalFormatting sqref="AC106:AG108">
    <cfRule type="cellIs" dxfId="138" priority="132" operator="equal">
      <formula>"Green"</formula>
    </cfRule>
    <cfRule type="cellIs" dxfId="137" priority="133" operator="equal">
      <formula>"Yellow"</formula>
    </cfRule>
    <cfRule type="cellIs" dxfId="136" priority="134" operator="equal">
      <formula>"Orange"</formula>
    </cfRule>
    <cfRule type="cellIs" dxfId="135" priority="135" operator="equal">
      <formula>"Brown"</formula>
    </cfRule>
    <cfRule type="cellIs" dxfId="134" priority="136" operator="equal">
      <formula>"Red"</formula>
    </cfRule>
    <cfRule type="cellIs" dxfId="133" priority="137" operator="equal">
      <formula>"D Red"</formula>
    </cfRule>
  </conditionalFormatting>
  <conditionalFormatting sqref="X103:AG108">
    <cfRule type="cellIs" dxfId="132" priority="127" operator="equal">
      <formula>"Green"</formula>
    </cfRule>
    <cfRule type="cellIs" dxfId="131" priority="128" operator="equal">
      <formula>"Yellow"</formula>
    </cfRule>
    <cfRule type="cellIs" dxfId="130" priority="129" operator="equal">
      <formula>"Orange"</formula>
    </cfRule>
    <cfRule type="cellIs" dxfId="129" priority="130" operator="equal">
      <formula>"Brown"</formula>
    </cfRule>
    <cfRule type="cellIs" dxfId="128" priority="131" operator="equal">
      <formula>"Red"</formula>
    </cfRule>
  </conditionalFormatting>
  <conditionalFormatting sqref="Y103:AB108">
    <cfRule type="cellIs" dxfId="127" priority="121" operator="equal">
      <formula>"Green"</formula>
    </cfRule>
    <cfRule type="cellIs" dxfId="126" priority="122" operator="equal">
      <formula>"Yellow"</formula>
    </cfRule>
    <cfRule type="cellIs" dxfId="125" priority="123" operator="equal">
      <formula>"Orange"</formula>
    </cfRule>
    <cfRule type="cellIs" dxfId="124" priority="124" operator="equal">
      <formula>"Brown"</formula>
    </cfRule>
    <cfRule type="cellIs" dxfId="123" priority="125" operator="equal">
      <formula>"Red"</formula>
    </cfRule>
    <cfRule type="cellIs" dxfId="122" priority="126" operator="equal">
      <formula>"D Red"</formula>
    </cfRule>
  </conditionalFormatting>
  <conditionalFormatting sqref="Y105:Y108">
    <cfRule type="cellIs" dxfId="121" priority="115" operator="equal">
      <formula>"Green"</formula>
    </cfRule>
    <cfRule type="cellIs" dxfId="120" priority="116" operator="equal">
      <formula>"Yellow"</formula>
    </cfRule>
    <cfRule type="cellIs" dxfId="119" priority="117" operator="equal">
      <formula>"Orange"</formula>
    </cfRule>
    <cfRule type="cellIs" dxfId="118" priority="118" operator="equal">
      <formula>"Brown"</formula>
    </cfRule>
    <cfRule type="cellIs" dxfId="117" priority="119" operator="equal">
      <formula>"Red"</formula>
    </cfRule>
    <cfRule type="cellIs" dxfId="116" priority="120" operator="equal">
      <formula>"D Red"</formula>
    </cfRule>
  </conditionalFormatting>
  <conditionalFormatting sqref="Z106:Z108">
    <cfRule type="cellIs" dxfId="115" priority="109" operator="equal">
      <formula>"Green"</formula>
    </cfRule>
    <cfRule type="cellIs" dxfId="114" priority="110" operator="equal">
      <formula>"Yellow"</formula>
    </cfRule>
    <cfRule type="cellIs" dxfId="113" priority="111" operator="equal">
      <formula>"Orange"</formula>
    </cfRule>
    <cfRule type="cellIs" dxfId="112" priority="112" operator="equal">
      <formula>"Brown"</formula>
    </cfRule>
    <cfRule type="cellIs" dxfId="111" priority="113" operator="equal">
      <formula>"Red"</formula>
    </cfRule>
    <cfRule type="cellIs" dxfId="110" priority="114" operator="equal">
      <formula>"D Red"</formula>
    </cfRule>
  </conditionalFormatting>
  <conditionalFormatting sqref="Z106:Z108">
    <cfRule type="cellIs" dxfId="109" priority="103" operator="equal">
      <formula>"Green"</formula>
    </cfRule>
    <cfRule type="cellIs" dxfId="108" priority="104" operator="equal">
      <formula>"Yellow"</formula>
    </cfRule>
    <cfRule type="cellIs" dxfId="107" priority="105" operator="equal">
      <formula>"Orange"</formula>
    </cfRule>
    <cfRule type="cellIs" dxfId="106" priority="106" operator="equal">
      <formula>"Brown"</formula>
    </cfRule>
    <cfRule type="cellIs" dxfId="105" priority="107" operator="equal">
      <formula>"Red"</formula>
    </cfRule>
    <cfRule type="cellIs" dxfId="104" priority="108" operator="equal">
      <formula>"D Red"</formula>
    </cfRule>
  </conditionalFormatting>
  <conditionalFormatting sqref="AA107:AA108">
    <cfRule type="cellIs" dxfId="103" priority="97" operator="equal">
      <formula>"Green"</formula>
    </cfRule>
    <cfRule type="cellIs" dxfId="102" priority="98" operator="equal">
      <formula>"Yellow"</formula>
    </cfRule>
    <cfRule type="cellIs" dxfId="101" priority="99" operator="equal">
      <formula>"Orange"</formula>
    </cfRule>
    <cfRule type="cellIs" dxfId="100" priority="100" operator="equal">
      <formula>"Brown"</formula>
    </cfRule>
    <cfRule type="cellIs" dxfId="99" priority="101" operator="equal">
      <formula>"Red"</formula>
    </cfRule>
    <cfRule type="cellIs" dxfId="98" priority="102" operator="equal">
      <formula>"D Red"</formula>
    </cfRule>
  </conditionalFormatting>
  <conditionalFormatting sqref="AA107:AA108">
    <cfRule type="cellIs" dxfId="97" priority="91" operator="equal">
      <formula>"Green"</formula>
    </cfRule>
    <cfRule type="cellIs" dxfId="96" priority="92" operator="equal">
      <formula>"Yellow"</formula>
    </cfRule>
    <cfRule type="cellIs" dxfId="95" priority="93" operator="equal">
      <formula>"Orange"</formula>
    </cfRule>
    <cfRule type="cellIs" dxfId="94" priority="94" operator="equal">
      <formula>"Brown"</formula>
    </cfRule>
    <cfRule type="cellIs" dxfId="93" priority="95" operator="equal">
      <formula>"Red"</formula>
    </cfRule>
    <cfRule type="cellIs" dxfId="92" priority="96" operator="equal">
      <formula>"D Red"</formula>
    </cfRule>
  </conditionalFormatting>
  <conditionalFormatting sqref="Z104:AB105">
    <cfRule type="cellIs" dxfId="91" priority="85" operator="equal">
      <formula>"Green"</formula>
    </cfRule>
    <cfRule type="cellIs" dxfId="90" priority="86" operator="equal">
      <formula>"Yellow"</formula>
    </cfRule>
    <cfRule type="cellIs" dxfId="89" priority="87" operator="equal">
      <formula>"Orange"</formula>
    </cfRule>
    <cfRule type="cellIs" dxfId="88" priority="88" operator="equal">
      <formula>"Brown"</formula>
    </cfRule>
    <cfRule type="cellIs" dxfId="87" priority="89" operator="equal">
      <formula>"Red"</formula>
    </cfRule>
    <cfRule type="cellIs" dxfId="86" priority="90" operator="equal">
      <formula>"D Red"</formula>
    </cfRule>
  </conditionalFormatting>
  <conditionalFormatting sqref="AA106:AB106">
    <cfRule type="cellIs" dxfId="85" priority="79" operator="equal">
      <formula>"Green"</formula>
    </cfRule>
    <cfRule type="cellIs" dxfId="84" priority="80" operator="equal">
      <formula>"Yellow"</formula>
    </cfRule>
    <cfRule type="cellIs" dxfId="83" priority="81" operator="equal">
      <formula>"Orange"</formula>
    </cfRule>
    <cfRule type="cellIs" dxfId="82" priority="82" operator="equal">
      <formula>"Brown"</formula>
    </cfRule>
    <cfRule type="cellIs" dxfId="81" priority="83" operator="equal">
      <formula>"Red"</formula>
    </cfRule>
    <cfRule type="cellIs" dxfId="80" priority="84" operator="equal">
      <formula>"D Red"</formula>
    </cfRule>
  </conditionalFormatting>
  <conditionalFormatting sqref="AB107">
    <cfRule type="cellIs" dxfId="79" priority="73" operator="equal">
      <formula>"Green"</formula>
    </cfRule>
    <cfRule type="cellIs" dxfId="78" priority="74" operator="equal">
      <formula>"Yellow"</formula>
    </cfRule>
    <cfRule type="cellIs" dxfId="77" priority="75" operator="equal">
      <formula>"Orange"</formula>
    </cfRule>
    <cfRule type="cellIs" dxfId="76" priority="76" operator="equal">
      <formula>"Brown"</formula>
    </cfRule>
    <cfRule type="cellIs" dxfId="75" priority="77" operator="equal">
      <formula>"Red"</formula>
    </cfRule>
    <cfRule type="cellIs" dxfId="74" priority="78" operator="equal">
      <formula>"D Red"</formula>
    </cfRule>
  </conditionalFormatting>
  <conditionalFormatting sqref="D36:H46">
    <cfRule type="cellIs" dxfId="73" priority="61" operator="equal">
      <formula>"Green"</formula>
    </cfRule>
    <cfRule type="cellIs" dxfId="72" priority="62" operator="equal">
      <formula>"Yellow"</formula>
    </cfRule>
    <cfRule type="cellIs" dxfId="71" priority="63" operator="equal">
      <formula>"Orange"</formula>
    </cfRule>
    <cfRule type="cellIs" dxfId="70" priority="64" operator="equal">
      <formula>"Brown"</formula>
    </cfRule>
    <cfRule type="cellIs" dxfId="69" priority="65" operator="equal">
      <formula>"Red"</formula>
    </cfRule>
    <cfRule type="cellIs" dxfId="68" priority="66" operator="equal">
      <formula>"D Red"</formula>
    </cfRule>
  </conditionalFormatting>
  <conditionalFormatting sqref="H45:H47">
    <cfRule type="cellIs" dxfId="67" priority="55" operator="equal">
      <formula>"Green"</formula>
    </cfRule>
    <cfRule type="cellIs" dxfId="66" priority="56" operator="equal">
      <formula>"Yellow"</formula>
    </cfRule>
    <cfRule type="cellIs" dxfId="65" priority="57" operator="equal">
      <formula>"Orange"</formula>
    </cfRule>
    <cfRule type="cellIs" dxfId="64" priority="58" operator="equal">
      <formula>"Brown"</formula>
    </cfRule>
    <cfRule type="cellIs" dxfId="63" priority="59" operator="equal">
      <formula>"Red"</formula>
    </cfRule>
    <cfRule type="cellIs" dxfId="62" priority="60" operator="equal">
      <formula>"D Red"</formula>
    </cfRule>
  </conditionalFormatting>
  <conditionalFormatting sqref="H45:H47">
    <cfRule type="cellIs" dxfId="61" priority="49" operator="equal">
      <formula>"Green"</formula>
    </cfRule>
    <cfRule type="cellIs" dxfId="60" priority="50" operator="equal">
      <formula>"Yellow"</formula>
    </cfRule>
    <cfRule type="cellIs" dxfId="59" priority="51" operator="equal">
      <formula>"Orange"</formula>
    </cfRule>
    <cfRule type="cellIs" dxfId="58" priority="52" operator="equal">
      <formula>"Brown"</formula>
    </cfRule>
    <cfRule type="cellIs" dxfId="57" priority="53" operator="equal">
      <formula>"Red"</formula>
    </cfRule>
    <cfRule type="cellIs" dxfId="56" priority="54" operator="equal">
      <formula>"D Red"</formula>
    </cfRule>
  </conditionalFormatting>
  <conditionalFormatting sqref="F46">
    <cfRule type="cellIs" dxfId="55" priority="43" operator="equal">
      <formula>"Green"</formula>
    </cfRule>
    <cfRule type="cellIs" dxfId="54" priority="44" operator="equal">
      <formula>"Yellow"</formula>
    </cfRule>
    <cfRule type="cellIs" dxfId="53" priority="45" operator="equal">
      <formula>"Orange"</formula>
    </cfRule>
    <cfRule type="cellIs" dxfId="52" priority="46" operator="equal">
      <formula>"Brown"</formula>
    </cfRule>
    <cfRule type="cellIs" dxfId="51" priority="47" operator="equal">
      <formula>"Red"</formula>
    </cfRule>
    <cfRule type="cellIs" dxfId="50" priority="48" operator="equal">
      <formula>"D Red"</formula>
    </cfRule>
  </conditionalFormatting>
  <conditionalFormatting sqref="G46">
    <cfRule type="cellIs" dxfId="49" priority="37" operator="equal">
      <formula>"Green"</formula>
    </cfRule>
    <cfRule type="cellIs" dxfId="48" priority="38" operator="equal">
      <formula>"Yellow"</formula>
    </cfRule>
    <cfRule type="cellIs" dxfId="47" priority="39" operator="equal">
      <formula>"Orange"</formula>
    </cfRule>
    <cfRule type="cellIs" dxfId="46" priority="40" operator="equal">
      <formula>"Brown"</formula>
    </cfRule>
    <cfRule type="cellIs" dxfId="45" priority="41" operator="equal">
      <formula>"Red"</formula>
    </cfRule>
    <cfRule type="cellIs" dxfId="44" priority="42" operator="equal">
      <formula>"D Red"</formula>
    </cfRule>
  </conditionalFormatting>
  <conditionalFormatting sqref="G46">
    <cfRule type="cellIs" dxfId="43" priority="31" operator="equal">
      <formula>"Green"</formula>
    </cfRule>
    <cfRule type="cellIs" dxfId="42" priority="32" operator="equal">
      <formula>"Yellow"</formula>
    </cfRule>
    <cfRule type="cellIs" dxfId="41" priority="33" operator="equal">
      <formula>"Orange"</formula>
    </cfRule>
    <cfRule type="cellIs" dxfId="40" priority="34" operator="equal">
      <formula>"Brown"</formula>
    </cfRule>
    <cfRule type="cellIs" dxfId="39" priority="35" operator="equal">
      <formula>"Red"</formula>
    </cfRule>
    <cfRule type="cellIs" dxfId="38" priority="36" operator="equal">
      <formula>"D Red"</formula>
    </cfRule>
  </conditionalFormatting>
  <conditionalFormatting sqref="F45:G45">
    <cfRule type="cellIs" dxfId="37" priority="25" operator="equal">
      <formula>"Green"</formula>
    </cfRule>
    <cfRule type="cellIs" dxfId="36" priority="26" operator="equal">
      <formula>"Yellow"</formula>
    </cfRule>
    <cfRule type="cellIs" dxfId="35" priority="27" operator="equal">
      <formula>"Orange"</formula>
    </cfRule>
    <cfRule type="cellIs" dxfId="34" priority="28" operator="equal">
      <formula>"Brown"</formula>
    </cfRule>
    <cfRule type="cellIs" dxfId="33" priority="29" operator="equal">
      <formula>"Red"</formula>
    </cfRule>
    <cfRule type="cellIs" dxfId="32" priority="30" operator="equal">
      <formula>"D Red"</formula>
    </cfRule>
  </conditionalFormatting>
  <conditionalFormatting sqref="D44:E46">
    <cfRule type="cellIs" dxfId="31" priority="19" operator="equal">
      <formula>"Green"</formula>
    </cfRule>
    <cfRule type="cellIs" dxfId="30" priority="20" operator="equal">
      <formula>"Yellow"</formula>
    </cfRule>
    <cfRule type="cellIs" dxfId="29" priority="21" operator="equal">
      <formula>"Orange"</formula>
    </cfRule>
    <cfRule type="cellIs" dxfId="28" priority="22" operator="equal">
      <formula>"Brown"</formula>
    </cfRule>
    <cfRule type="cellIs" dxfId="27" priority="23" operator="equal">
      <formula>"Red"</formula>
    </cfRule>
    <cfRule type="cellIs" dxfId="26" priority="24" operator="equal">
      <formula>"D Red"</formula>
    </cfRule>
  </conditionalFormatting>
  <conditionalFormatting sqref="D47:H47">
    <cfRule type="cellIs" dxfId="25" priority="13" operator="equal">
      <formula>"Green"</formula>
    </cfRule>
    <cfRule type="cellIs" dxfId="24" priority="14" operator="equal">
      <formula>"Yellow"</formula>
    </cfRule>
    <cfRule type="cellIs" dxfId="23" priority="15" operator="equal">
      <formula>"Orange"</formula>
    </cfRule>
    <cfRule type="cellIs" dxfId="22" priority="16" operator="equal">
      <formula>"Brown"</formula>
    </cfRule>
    <cfRule type="cellIs" dxfId="21" priority="17" operator="equal">
      <formula>"Red"</formula>
    </cfRule>
    <cfRule type="cellIs" dxfId="20" priority="18" operator="equal">
      <formula>"D Red"</formula>
    </cfRule>
  </conditionalFormatting>
  <conditionalFormatting sqref="F47:G47">
    <cfRule type="cellIs" dxfId="19" priority="7" operator="equal">
      <formula>"Green"</formula>
    </cfRule>
    <cfRule type="cellIs" dxfId="18" priority="8" operator="equal">
      <formula>"Yellow"</formula>
    </cfRule>
    <cfRule type="cellIs" dxfId="17" priority="9" operator="equal">
      <formula>"Orange"</formula>
    </cfRule>
    <cfRule type="cellIs" dxfId="16" priority="10" operator="equal">
      <formula>"Brown"</formula>
    </cfRule>
    <cfRule type="cellIs" dxfId="15" priority="11" operator="equal">
      <formula>"Red"</formula>
    </cfRule>
    <cfRule type="cellIs" dxfId="14" priority="12" operator="equal">
      <formula>"D Red"</formula>
    </cfRule>
  </conditionalFormatting>
  <conditionalFormatting sqref="D47:E47">
    <cfRule type="cellIs" dxfId="13" priority="1" operator="equal">
      <formula>"Green"</formula>
    </cfRule>
    <cfRule type="cellIs" dxfId="12" priority="2" operator="equal">
      <formula>"Yellow"</formula>
    </cfRule>
    <cfRule type="cellIs" dxfId="11" priority="3" operator="equal">
      <formula>"Orange"</formula>
    </cfRule>
    <cfRule type="cellIs" dxfId="10" priority="4" operator="equal">
      <formula>"Brown"</formula>
    </cfRule>
    <cfRule type="cellIs" dxfId="9" priority="5" operator="equal">
      <formula>"Red"</formula>
    </cfRule>
    <cfRule type="cellIs" dxfId="8" priority="6" operator="equal">
      <formula>"D Red"</formula>
    </cfRule>
  </conditionalFormatting>
  <dataValidations count="8">
    <dataValidation type="list" allowBlank="1" showInputMessage="1" showErrorMessage="1" sqref="I14 D14 D7:H7 J62:J81 D117:E118" xr:uid="{00000000-0002-0000-1400-000000000000}">
      <formula1>"YES,NO"</formula1>
    </dataValidation>
    <dataValidation type="list" allowBlank="1" showInputMessage="1" showErrorMessage="1" sqref="D12:M13" xr:uid="{00000000-0002-0000-1400-000001000000}">
      <formula1>"PASS,FAIL"</formula1>
    </dataValidation>
    <dataValidation type="list" allowBlank="1" showInputMessage="1" showErrorMessage="1" sqref="D101:M103 D20:H21 D38:H39" xr:uid="{00000000-0002-0000-1400-000002000000}">
      <formula1>"Green,Orange,Red"</formula1>
    </dataValidation>
    <dataValidation type="list" allowBlank="1" showInputMessage="1" showErrorMessage="1" sqref="I28:M32 D53:E54 D56:E57 D24:H26 D42:H47" xr:uid="{00000000-0002-0000-1400-000003000000}">
      <formula1>"Green,Yellow,Orange,Brown,Red"</formula1>
    </dataValidation>
    <dataValidation allowBlank="1" showErrorMessage="1" sqref="D131:M133 D127" xr:uid="{00000000-0002-0000-1400-000004000000}"/>
    <dataValidation type="list" allowBlank="1" showInputMessage="1" showErrorMessage="1" sqref="I27:M27 D22:H23 D40:H41" xr:uid="{00000000-0002-0000-1400-000005000000}">
      <formula1>"Green,Yellow,Orange,Red"</formula1>
    </dataValidation>
    <dataValidation type="list" allowBlank="1" showInputMessage="1" showErrorMessage="1" sqref="D18:H19 D98:H100 F90:H92 D36:H37" xr:uid="{00000000-0002-0000-1400-000006000000}">
      <formula1>"Green,Red"</formula1>
    </dataValidation>
    <dataValidation type="list" allowBlank="1" showInputMessage="1" showErrorMessage="1" sqref="I7:M7" xr:uid="{4B2EBC7F-ED0D-4163-96C0-66940EDECFE6}">
      <formula1>"YES,YES with ESS function,NO"</formula1>
    </dataValidation>
  </dataValidations>
  <pageMargins left="0.8" right="0.44" top="0.53" bottom="1" header="0.5" footer="0.5"/>
  <pageSetup paperSize="9" scale="51" orientation="portrait" r:id="rId1"/>
  <headerFooter alignWithMargins="0"/>
  <ignoredErrors>
    <ignoredError sqref="H110:H111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6" id="{16CB4870-2623-40FF-918F-951A1B520C7F}">
            <xm:f>'AOP Whiplash'!$D$73&lt;2.25</xm:f>
            <x14:dxf>
              <font>
                <color rgb="FFD40022"/>
              </font>
            </x14:dxf>
          </x14:cfRule>
          <xm:sqref>D122:H122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>
    <tabColor rgb="FF7030A0"/>
    <pageSetUpPr fitToPage="1"/>
  </sheetPr>
  <dimension ref="A1:X78"/>
  <sheetViews>
    <sheetView showGridLines="0" showOutlineSymbols="0" topLeftCell="A5" zoomScaleNormal="100" workbookViewId="0"/>
  </sheetViews>
  <sheetFormatPr defaultColWidth="8.7109375" defaultRowHeight="12.75"/>
  <cols>
    <col min="1" max="2" width="8.7109375" style="125"/>
    <col min="3" max="3" width="40.42578125" style="125" customWidth="1"/>
    <col min="4" max="15" width="5.7109375" style="125" customWidth="1"/>
    <col min="16" max="16" width="2" style="125" hidden="1" customWidth="1"/>
    <col min="17" max="16384" width="8.7109375" style="125"/>
  </cols>
  <sheetData>
    <row r="1" spans="1:24" ht="13.5" thickBot="1">
      <c r="A1" s="124">
        <v>3</v>
      </c>
    </row>
    <row r="2" spans="1:24" s="127" customFormat="1" ht="13.15" customHeight="1">
      <c r="B2" s="2020" t="s">
        <v>637</v>
      </c>
      <c r="C2" s="2021"/>
      <c r="D2" s="2029"/>
      <c r="E2" s="2030"/>
      <c r="F2" s="2030"/>
      <c r="G2" s="2030"/>
      <c r="H2" s="2030"/>
      <c r="I2" s="2030"/>
      <c r="J2" s="2030"/>
      <c r="K2" s="2030"/>
      <c r="L2" s="2030"/>
      <c r="M2" s="2030"/>
      <c r="N2" s="2030"/>
      <c r="O2" s="2031"/>
    </row>
    <row r="3" spans="1:24" s="127" customFormat="1" ht="15" customHeight="1">
      <c r="B3" s="2022"/>
      <c r="C3" s="2023"/>
      <c r="D3" s="2032"/>
      <c r="E3" s="2033"/>
      <c r="F3" s="2033"/>
      <c r="G3" s="2033"/>
      <c r="H3" s="2033"/>
      <c r="I3" s="2033"/>
      <c r="J3" s="2033"/>
      <c r="K3" s="2033"/>
      <c r="L3" s="2033"/>
      <c r="M3" s="2033"/>
      <c r="N3" s="2033"/>
      <c r="O3" s="2034"/>
      <c r="Q3" s="137"/>
      <c r="R3" s="137"/>
      <c r="S3" s="836"/>
      <c r="T3" s="160"/>
      <c r="U3" s="160"/>
      <c r="V3" s="160"/>
      <c r="W3" s="137"/>
      <c r="X3" s="137"/>
    </row>
    <row r="4" spans="1:24" ht="15" customHeight="1" thickBot="1">
      <c r="B4" s="2289" t="str">
        <f>'General Overview'!G17</f>
        <v/>
      </c>
      <c r="C4" s="2025"/>
      <c r="D4" s="2035"/>
      <c r="E4" s="2036"/>
      <c r="F4" s="2036"/>
      <c r="G4" s="2036"/>
      <c r="H4" s="2036"/>
      <c r="I4" s="2036"/>
      <c r="J4" s="2036"/>
      <c r="K4" s="2036"/>
      <c r="L4" s="2036"/>
      <c r="M4" s="2036"/>
      <c r="N4" s="2036"/>
      <c r="O4" s="2037"/>
      <c r="Q4" s="837"/>
      <c r="R4" s="807"/>
      <c r="S4" s="807"/>
      <c r="T4" s="837"/>
      <c r="U4" s="837"/>
      <c r="V4" s="837"/>
      <c r="W4" s="837"/>
      <c r="X4" s="837"/>
    </row>
    <row r="5" spans="1:24" s="126" customFormat="1" ht="15" customHeight="1">
      <c r="A5" s="125"/>
      <c r="B5" s="130" t="s">
        <v>243</v>
      </c>
      <c r="C5" s="363"/>
      <c r="D5" s="2038"/>
      <c r="E5" s="2039"/>
      <c r="F5" s="2039"/>
      <c r="G5" s="2039"/>
      <c r="H5" s="2039"/>
      <c r="I5" s="2039"/>
      <c r="J5" s="2039"/>
      <c r="K5" s="2039"/>
      <c r="L5" s="2039"/>
      <c r="M5" s="2039"/>
      <c r="N5" s="2039"/>
      <c r="O5" s="2040"/>
      <c r="Q5" s="807"/>
      <c r="R5" s="807"/>
      <c r="S5" s="807"/>
      <c r="T5" s="807"/>
      <c r="U5" s="807"/>
      <c r="V5" s="807"/>
      <c r="W5" s="807"/>
      <c r="X5" s="807"/>
    </row>
    <row r="6" spans="1:24" s="126" customFormat="1" ht="15" customHeight="1">
      <c r="A6" s="125"/>
      <c r="B6" s="128"/>
      <c r="C6" s="364" t="s">
        <v>624</v>
      </c>
      <c r="D6" s="2044"/>
      <c r="E6" s="2045"/>
      <c r="F6" s="2045"/>
      <c r="G6" s="2045"/>
      <c r="H6" s="2045"/>
      <c r="I6" s="2045"/>
      <c r="J6" s="2045"/>
      <c r="K6" s="2045"/>
      <c r="L6" s="2045"/>
      <c r="M6" s="2045"/>
      <c r="N6" s="2045"/>
      <c r="O6" s="2046"/>
      <c r="P6" s="126">
        <f>D6</f>
        <v>0</v>
      </c>
      <c r="Q6" s="807"/>
      <c r="R6" s="807"/>
      <c r="S6" s="807"/>
      <c r="T6" s="807"/>
      <c r="U6" s="807"/>
      <c r="V6" s="807"/>
      <c r="W6" s="807"/>
      <c r="X6" s="807"/>
    </row>
    <row r="7" spans="1:24" s="126" customFormat="1" ht="15" customHeight="1">
      <c r="A7" s="125"/>
      <c r="B7" s="128"/>
      <c r="C7" s="364" t="s">
        <v>638</v>
      </c>
      <c r="D7" s="2044"/>
      <c r="E7" s="2045"/>
      <c r="F7" s="2045"/>
      <c r="G7" s="2045"/>
      <c r="H7" s="2045"/>
      <c r="I7" s="2045"/>
      <c r="J7" s="2045"/>
      <c r="K7" s="2045"/>
      <c r="L7" s="2045"/>
      <c r="M7" s="2045"/>
      <c r="N7" s="2045"/>
      <c r="O7" s="2046"/>
      <c r="Q7" s="807"/>
      <c r="R7" s="807"/>
      <c r="S7" s="807"/>
      <c r="T7" s="807"/>
      <c r="U7" s="807"/>
      <c r="V7" s="807"/>
      <c r="W7" s="807"/>
      <c r="X7" s="807"/>
    </row>
    <row r="8" spans="1:24" s="126" customFormat="1" ht="15" customHeight="1">
      <c r="A8" s="125"/>
      <c r="B8" s="128"/>
      <c r="C8" s="364" t="s">
        <v>244</v>
      </c>
      <c r="D8" s="2044"/>
      <c r="E8" s="2045"/>
      <c r="F8" s="2045"/>
      <c r="G8" s="2045"/>
      <c r="H8" s="2045"/>
      <c r="I8" s="2045"/>
      <c r="J8" s="2045"/>
      <c r="K8" s="2045"/>
      <c r="L8" s="2045"/>
      <c r="M8" s="2045"/>
      <c r="N8" s="2045"/>
      <c r="O8" s="2046"/>
      <c r="Q8" s="807"/>
      <c r="R8" s="807"/>
      <c r="S8" s="807"/>
      <c r="T8" s="807"/>
      <c r="U8" s="807"/>
      <c r="V8" s="807"/>
      <c r="W8" s="807"/>
      <c r="X8" s="807"/>
    </row>
    <row r="9" spans="1:24" s="126" customFormat="1" ht="15" customHeight="1">
      <c r="A9" s="125"/>
      <c r="B9" s="128"/>
      <c r="C9" s="364" t="s">
        <v>362</v>
      </c>
      <c r="D9" s="2077"/>
      <c r="E9" s="2078"/>
      <c r="F9" s="2078"/>
      <c r="G9" s="2078"/>
      <c r="H9" s="2078"/>
      <c r="I9" s="2078"/>
      <c r="J9" s="2078"/>
      <c r="K9" s="2078"/>
      <c r="L9" s="2078"/>
      <c r="M9" s="2078"/>
      <c r="N9" s="2078"/>
      <c r="O9" s="2079"/>
      <c r="P9" s="126">
        <f>D9</f>
        <v>0</v>
      </c>
      <c r="Q9" s="807"/>
      <c r="R9" s="807"/>
      <c r="S9" s="807"/>
      <c r="T9" s="807"/>
      <c r="U9" s="807"/>
      <c r="V9" s="807"/>
      <c r="W9" s="807"/>
      <c r="X9" s="807"/>
    </row>
    <row r="10" spans="1:24" s="126" customFormat="1" ht="15" customHeight="1" thickBot="1">
      <c r="A10" s="125"/>
      <c r="B10" s="135"/>
      <c r="C10" s="365" t="s">
        <v>245</v>
      </c>
      <c r="D10" s="2074"/>
      <c r="E10" s="2075"/>
      <c r="F10" s="2075"/>
      <c r="G10" s="2075"/>
      <c r="H10" s="2075"/>
      <c r="I10" s="2075"/>
      <c r="J10" s="2075"/>
      <c r="K10" s="2075"/>
      <c r="L10" s="2075"/>
      <c r="M10" s="2075"/>
      <c r="N10" s="2075"/>
      <c r="O10" s="2076"/>
      <c r="P10" s="126">
        <f>D10</f>
        <v>0</v>
      </c>
      <c r="Q10" s="807"/>
      <c r="R10" s="807"/>
      <c r="S10" s="807"/>
      <c r="T10" s="807"/>
      <c r="U10" s="807"/>
      <c r="V10" s="807"/>
      <c r="W10" s="807"/>
      <c r="X10" s="807"/>
    </row>
    <row r="11" spans="1:24" s="126" customFormat="1" ht="15" customHeight="1" thickBot="1">
      <c r="A11" s="125"/>
      <c r="B11" s="2248"/>
      <c r="C11" s="2248"/>
      <c r="D11" s="2248"/>
      <c r="E11" s="2248"/>
      <c r="F11" s="2248"/>
      <c r="G11" s="2248"/>
      <c r="H11" s="2248"/>
      <c r="I11" s="2248"/>
      <c r="J11" s="2248"/>
      <c r="K11" s="2248"/>
      <c r="L11" s="2248"/>
      <c r="M11" s="2248"/>
      <c r="N11" s="2248"/>
      <c r="O11" s="2248"/>
      <c r="Q11" s="807"/>
      <c r="R11" s="807"/>
      <c r="S11" s="807"/>
      <c r="T11" s="807"/>
      <c r="U11" s="807"/>
      <c r="V11" s="807"/>
      <c r="W11" s="807"/>
      <c r="X11" s="807"/>
    </row>
    <row r="12" spans="1:24" s="126" customFormat="1" ht="15" customHeight="1">
      <c r="A12" s="125"/>
      <c r="B12" s="130" t="s">
        <v>550</v>
      </c>
      <c r="C12" s="131"/>
      <c r="D12" s="2038"/>
      <c r="E12" s="2039"/>
      <c r="F12" s="2039"/>
      <c r="G12" s="2039"/>
      <c r="H12" s="2039"/>
      <c r="I12" s="2039"/>
      <c r="J12" s="2039"/>
      <c r="K12" s="2039"/>
      <c r="L12" s="2039"/>
      <c r="M12" s="2039"/>
      <c r="N12" s="2039"/>
      <c r="O12" s="2040"/>
      <c r="Q12" s="807"/>
      <c r="R12" s="807"/>
      <c r="S12" s="807"/>
      <c r="T12" s="807"/>
      <c r="U12" s="807"/>
      <c r="V12" s="807"/>
      <c r="W12" s="807"/>
      <c r="X12" s="807"/>
    </row>
    <row r="13" spans="1:24" s="126" customFormat="1" ht="15" customHeight="1" thickBot="1">
      <c r="A13" s="125"/>
      <c r="B13" s="128"/>
      <c r="C13" s="129" t="s">
        <v>552</v>
      </c>
      <c r="D13" s="2065"/>
      <c r="E13" s="2066"/>
      <c r="F13" s="2066"/>
      <c r="G13" s="2066"/>
      <c r="H13" s="2066"/>
      <c r="I13" s="2066"/>
      <c r="J13" s="2066"/>
      <c r="K13" s="2066"/>
      <c r="L13" s="2066"/>
      <c r="M13" s="2066"/>
      <c r="N13" s="2066"/>
      <c r="O13" s="2067"/>
      <c r="Q13" s="807"/>
      <c r="R13" s="807"/>
      <c r="S13" s="807"/>
      <c r="T13" s="807"/>
      <c r="U13" s="807"/>
      <c r="V13" s="807"/>
      <c r="W13" s="807"/>
      <c r="X13" s="807"/>
    </row>
    <row r="14" spans="1:24" s="126" customFormat="1" ht="15" customHeight="1" thickBot="1">
      <c r="A14" s="125"/>
      <c r="B14" s="2017" t="s">
        <v>550</v>
      </c>
      <c r="C14" s="2050"/>
      <c r="D14" s="2068" t="str">
        <f>IF(AND(D13="YES"),"PASS","FAIL")</f>
        <v>FAIL</v>
      </c>
      <c r="E14" s="2069"/>
      <c r="F14" s="2069"/>
      <c r="G14" s="2069"/>
      <c r="H14" s="2069"/>
      <c r="I14" s="2069"/>
      <c r="J14" s="2069"/>
      <c r="K14" s="2069"/>
      <c r="L14" s="2069"/>
      <c r="M14" s="2069"/>
      <c r="N14" s="2069"/>
      <c r="O14" s="2070"/>
      <c r="Q14" s="807"/>
      <c r="R14" s="807"/>
      <c r="S14" s="807"/>
      <c r="T14" s="807"/>
      <c r="U14" s="807"/>
      <c r="V14" s="807"/>
      <c r="W14" s="807"/>
      <c r="X14" s="807"/>
    </row>
    <row r="15" spans="1:24" s="126" customFormat="1" ht="15" customHeight="1" thickBot="1">
      <c r="A15" s="125"/>
      <c r="B15" s="2248"/>
      <c r="C15" s="2248"/>
      <c r="D15" s="2248"/>
      <c r="E15" s="2248"/>
      <c r="F15" s="2248"/>
      <c r="G15" s="2248"/>
      <c r="H15" s="2248"/>
      <c r="I15" s="2248"/>
      <c r="J15" s="2248"/>
      <c r="K15" s="2248"/>
      <c r="L15" s="2248"/>
      <c r="M15" s="2248"/>
      <c r="N15" s="2248"/>
      <c r="O15" s="2248"/>
      <c r="Q15" s="807"/>
      <c r="R15" s="807"/>
      <c r="S15" s="807"/>
      <c r="T15" s="807"/>
      <c r="U15" s="807"/>
      <c r="V15" s="807"/>
      <c r="W15" s="807"/>
      <c r="X15" s="807"/>
    </row>
    <row r="16" spans="1:24" s="126" customFormat="1" ht="15" customHeight="1">
      <c r="A16" s="125"/>
      <c r="B16" s="130" t="s">
        <v>639</v>
      </c>
      <c r="C16" s="131"/>
      <c r="D16" s="2038"/>
      <c r="E16" s="2039"/>
      <c r="F16" s="2039"/>
      <c r="G16" s="2039"/>
      <c r="H16" s="2039"/>
      <c r="I16" s="2039"/>
      <c r="J16" s="2039"/>
      <c r="K16" s="2039"/>
      <c r="L16" s="2039"/>
      <c r="M16" s="2039"/>
      <c r="N16" s="2039"/>
      <c r="O16" s="2040"/>
      <c r="Q16" s="807"/>
      <c r="R16" s="807"/>
      <c r="S16" s="807"/>
      <c r="T16" s="807"/>
      <c r="U16" s="807"/>
      <c r="V16" s="807"/>
      <c r="W16" s="807"/>
      <c r="X16" s="807"/>
    </row>
    <row r="17" spans="1:24" s="126" customFormat="1" ht="15" customHeight="1">
      <c r="A17" s="125"/>
      <c r="B17" s="128"/>
      <c r="C17" s="132" t="s">
        <v>640</v>
      </c>
      <c r="D17" s="2265" t="s">
        <v>2814</v>
      </c>
      <c r="E17" s="2266"/>
      <c r="F17" s="2266"/>
      <c r="G17" s="2266"/>
      <c r="H17" s="2266"/>
      <c r="I17" s="2267"/>
      <c r="J17" s="2268" t="s">
        <v>2815</v>
      </c>
      <c r="K17" s="2266"/>
      <c r="L17" s="2266"/>
      <c r="M17" s="2266"/>
      <c r="N17" s="2266"/>
      <c r="O17" s="2269"/>
      <c r="Q17" s="807"/>
      <c r="R17" s="807"/>
      <c r="S17" s="807"/>
      <c r="T17" s="807"/>
      <c r="U17" s="807"/>
      <c r="V17" s="807"/>
      <c r="W17" s="807"/>
      <c r="X17" s="807"/>
    </row>
    <row r="18" spans="1:24" s="126" customFormat="1" ht="15" customHeight="1">
      <c r="A18" s="125"/>
      <c r="B18" s="368"/>
      <c r="C18" s="258">
        <v>0.2</v>
      </c>
      <c r="D18" s="1995"/>
      <c r="E18" s="1996"/>
      <c r="F18" s="1996"/>
      <c r="G18" s="1996"/>
      <c r="H18" s="1996"/>
      <c r="I18" s="2270"/>
      <c r="J18" s="2098"/>
      <c r="K18" s="1996"/>
      <c r="L18" s="1996"/>
      <c r="M18" s="1996"/>
      <c r="N18" s="1996"/>
      <c r="O18" s="2271"/>
      <c r="Q18" s="807"/>
      <c r="R18" s="807"/>
      <c r="S18" s="807"/>
      <c r="T18" s="807"/>
      <c r="U18" s="807"/>
      <c r="V18" s="807"/>
      <c r="W18" s="807"/>
      <c r="X18" s="807"/>
    </row>
    <row r="19" spans="1:24" s="126" customFormat="1" ht="15" customHeight="1">
      <c r="A19" s="125"/>
      <c r="B19" s="368"/>
      <c r="C19" s="258">
        <v>0.3</v>
      </c>
      <c r="D19" s="1995"/>
      <c r="E19" s="1996"/>
      <c r="F19" s="1996"/>
      <c r="G19" s="1996"/>
      <c r="H19" s="1996"/>
      <c r="I19" s="2270"/>
      <c r="J19" s="2098"/>
      <c r="K19" s="1996"/>
      <c r="L19" s="1996"/>
      <c r="M19" s="1996"/>
      <c r="N19" s="1996"/>
      <c r="O19" s="2271"/>
      <c r="Q19" s="807"/>
      <c r="R19" s="807"/>
      <c r="S19" s="807"/>
      <c r="T19" s="807"/>
      <c r="U19" s="807"/>
      <c r="V19" s="807"/>
      <c r="W19" s="807"/>
      <c r="X19" s="807"/>
    </row>
    <row r="20" spans="1:24" s="126" customFormat="1" ht="15" customHeight="1">
      <c r="A20" s="125"/>
      <c r="B20" s="368"/>
      <c r="C20" s="258">
        <v>0.4</v>
      </c>
      <c r="D20" s="1995"/>
      <c r="E20" s="1996"/>
      <c r="F20" s="1996"/>
      <c r="G20" s="1996"/>
      <c r="H20" s="1996"/>
      <c r="I20" s="2270"/>
      <c r="J20" s="2098"/>
      <c r="K20" s="1996"/>
      <c r="L20" s="1996"/>
      <c r="M20" s="1996"/>
      <c r="N20" s="1996"/>
      <c r="O20" s="2271"/>
      <c r="Q20" s="807"/>
      <c r="R20" s="807"/>
      <c r="S20" s="807"/>
      <c r="T20" s="807"/>
      <c r="U20" s="807"/>
      <c r="V20" s="807"/>
      <c r="W20" s="807"/>
      <c r="X20" s="807"/>
    </row>
    <row r="21" spans="1:24" s="126" customFormat="1" ht="15" customHeight="1">
      <c r="A21" s="125"/>
      <c r="B21" s="368"/>
      <c r="C21" s="258">
        <v>0.5</v>
      </c>
      <c r="D21" s="1995"/>
      <c r="E21" s="1996"/>
      <c r="F21" s="1996"/>
      <c r="G21" s="1996"/>
      <c r="H21" s="1996"/>
      <c r="I21" s="2270"/>
      <c r="J21" s="2098"/>
      <c r="K21" s="1996"/>
      <c r="L21" s="1996"/>
      <c r="M21" s="1996"/>
      <c r="N21" s="1996"/>
      <c r="O21" s="2271"/>
      <c r="Q21" s="807"/>
      <c r="R21" s="807"/>
      <c r="S21" s="807"/>
      <c r="T21" s="807"/>
      <c r="U21" s="807"/>
      <c r="V21" s="807"/>
      <c r="W21" s="807"/>
      <c r="X21" s="807"/>
    </row>
    <row r="22" spans="1:24" s="126" customFormat="1" ht="15" customHeight="1">
      <c r="A22" s="125"/>
      <c r="B22" s="368"/>
      <c r="C22" s="258">
        <v>0.6</v>
      </c>
      <c r="D22" s="1995"/>
      <c r="E22" s="1996"/>
      <c r="F22" s="1996"/>
      <c r="G22" s="1996"/>
      <c r="H22" s="1996"/>
      <c r="I22" s="2270"/>
      <c r="J22" s="2098"/>
      <c r="K22" s="1996"/>
      <c r="L22" s="1996"/>
      <c r="M22" s="1996"/>
      <c r="N22" s="1996"/>
      <c r="O22" s="2271"/>
      <c r="Q22" s="807"/>
      <c r="R22" s="807"/>
      <c r="S22" s="807"/>
      <c r="T22" s="807"/>
      <c r="U22" s="807"/>
      <c r="V22" s="807"/>
      <c r="W22" s="807"/>
      <c r="X22" s="807"/>
    </row>
    <row r="23" spans="1:24" s="126" customFormat="1" ht="15" customHeight="1" thickBot="1">
      <c r="A23" s="125"/>
      <c r="B23" s="368"/>
      <c r="C23" s="258"/>
      <c r="D23" s="2294">
        <f>IF(COUNTIF(D18:I22,"&gt;=-0.1")=5,0.25,0)</f>
        <v>0</v>
      </c>
      <c r="E23" s="2295"/>
      <c r="F23" s="2295"/>
      <c r="G23" s="2295"/>
      <c r="H23" s="2295"/>
      <c r="I23" s="2295"/>
      <c r="J23" s="2295">
        <f>IF(COUNTIF(J18:O22,"&gt;=-0.1")=5,0.25,0)</f>
        <v>0</v>
      </c>
      <c r="K23" s="2295"/>
      <c r="L23" s="2295"/>
      <c r="M23" s="2295"/>
      <c r="N23" s="2295"/>
      <c r="O23" s="2296"/>
      <c r="Q23" s="132"/>
      <c r="R23" s="807"/>
      <c r="S23" s="807"/>
      <c r="T23" s="807"/>
      <c r="U23" s="807"/>
      <c r="V23" s="807"/>
      <c r="W23" s="807"/>
      <c r="X23" s="807"/>
    </row>
    <row r="24" spans="1:24" s="1" customFormat="1" ht="15" customHeight="1" thickBot="1">
      <c r="B24" s="1393" t="s">
        <v>641</v>
      </c>
      <c r="C24" s="1483"/>
      <c r="D24" s="1621">
        <f>SUM(D23:O23)</f>
        <v>0</v>
      </c>
      <c r="E24" s="1622"/>
      <c r="F24" s="1622"/>
      <c r="G24" s="1622"/>
      <c r="H24" s="1622"/>
      <c r="I24" s="1622"/>
      <c r="J24" s="1622"/>
      <c r="K24" s="1622"/>
      <c r="L24" s="1622"/>
      <c r="M24" s="1622"/>
      <c r="N24" s="1622"/>
      <c r="O24" s="1623"/>
      <c r="Q24" s="9"/>
      <c r="R24" s="9"/>
      <c r="S24" s="9"/>
      <c r="T24" s="9"/>
      <c r="U24" s="9"/>
      <c r="V24" s="9"/>
      <c r="W24" s="9"/>
      <c r="X24" s="9"/>
    </row>
    <row r="25" spans="1:24" s="126" customFormat="1" ht="15" customHeight="1">
      <c r="A25" s="125"/>
      <c r="B25" s="130"/>
      <c r="C25" s="654" t="s">
        <v>652</v>
      </c>
      <c r="D25" s="2290" t="s">
        <v>649</v>
      </c>
      <c r="E25" s="2291"/>
      <c r="F25" s="2291"/>
      <c r="G25" s="2291"/>
      <c r="H25" s="2291"/>
      <c r="I25" s="2292"/>
      <c r="J25" s="2291" t="s">
        <v>650</v>
      </c>
      <c r="K25" s="2291"/>
      <c r="L25" s="2291"/>
      <c r="M25" s="2291"/>
      <c r="N25" s="2291"/>
      <c r="O25" s="2293"/>
      <c r="Q25" s="807"/>
      <c r="R25" s="807"/>
      <c r="S25" s="807"/>
      <c r="T25" s="807"/>
      <c r="U25" s="807"/>
      <c r="V25" s="807"/>
      <c r="W25" s="807"/>
      <c r="X25" s="807"/>
    </row>
    <row r="26" spans="1:24" s="126" customFormat="1" ht="15" customHeight="1">
      <c r="A26" s="125"/>
      <c r="B26" s="368"/>
      <c r="C26" s="655">
        <v>0.2</v>
      </c>
      <c r="D26" s="1995"/>
      <c r="E26" s="1996"/>
      <c r="F26" s="1996"/>
      <c r="G26" s="1996"/>
      <c r="H26" s="1996"/>
      <c r="I26" s="2270"/>
      <c r="J26" s="1996"/>
      <c r="K26" s="1996"/>
      <c r="L26" s="1996"/>
      <c r="M26" s="1996"/>
      <c r="N26" s="1996"/>
      <c r="O26" s="2271"/>
      <c r="Q26" s="132"/>
      <c r="R26" s="807"/>
      <c r="S26" s="807"/>
      <c r="T26" s="807"/>
      <c r="U26" s="807"/>
      <c r="V26" s="807"/>
      <c r="W26" s="807"/>
      <c r="X26" s="807"/>
    </row>
    <row r="27" spans="1:24" s="126" customFormat="1" ht="15" customHeight="1">
      <c r="A27" s="125"/>
      <c r="B27" s="368"/>
      <c r="C27" s="655">
        <v>0.3</v>
      </c>
      <c r="D27" s="1995"/>
      <c r="E27" s="1996"/>
      <c r="F27" s="1996"/>
      <c r="G27" s="1996"/>
      <c r="H27" s="1996"/>
      <c r="I27" s="2270"/>
      <c r="J27" s="1996"/>
      <c r="K27" s="1996"/>
      <c r="L27" s="1996"/>
      <c r="M27" s="1996"/>
      <c r="N27" s="1996"/>
      <c r="O27" s="2271"/>
      <c r="Q27" s="807"/>
      <c r="R27" s="807"/>
      <c r="S27" s="807"/>
      <c r="T27" s="807"/>
      <c r="U27" s="807"/>
      <c r="V27" s="807"/>
      <c r="W27" s="807"/>
      <c r="X27" s="807"/>
    </row>
    <row r="28" spans="1:24" s="126" customFormat="1" ht="15" customHeight="1">
      <c r="A28" s="125"/>
      <c r="B28" s="368"/>
      <c r="C28" s="655">
        <v>0.4</v>
      </c>
      <c r="D28" s="1995"/>
      <c r="E28" s="1996"/>
      <c r="F28" s="1996"/>
      <c r="G28" s="1996"/>
      <c r="H28" s="1996"/>
      <c r="I28" s="2270"/>
      <c r="J28" s="1996"/>
      <c r="K28" s="1996"/>
      <c r="L28" s="1996"/>
      <c r="M28" s="1996"/>
      <c r="N28" s="1996"/>
      <c r="O28" s="2271"/>
      <c r="Q28" s="807"/>
      <c r="R28" s="807"/>
      <c r="S28" s="807"/>
      <c r="T28" s="807"/>
      <c r="U28" s="807"/>
      <c r="V28" s="807"/>
      <c r="W28" s="807"/>
      <c r="X28" s="807"/>
    </row>
    <row r="29" spans="1:24" s="126" customFormat="1" ht="15" customHeight="1">
      <c r="A29" s="125"/>
      <c r="B29" s="368"/>
      <c r="C29" s="655">
        <v>0.5</v>
      </c>
      <c r="D29" s="1995"/>
      <c r="E29" s="1996"/>
      <c r="F29" s="1996"/>
      <c r="G29" s="1996"/>
      <c r="H29" s="1996"/>
      <c r="I29" s="2270"/>
      <c r="J29" s="1996"/>
      <c r="K29" s="1996"/>
      <c r="L29" s="1996"/>
      <c r="M29" s="1996"/>
      <c r="N29" s="1996"/>
      <c r="O29" s="2271"/>
      <c r="Q29" s="807"/>
      <c r="R29" s="807"/>
      <c r="S29" s="807"/>
      <c r="T29" s="807"/>
      <c r="U29" s="807"/>
      <c r="V29" s="807"/>
      <c r="W29" s="807"/>
      <c r="X29" s="807"/>
    </row>
    <row r="30" spans="1:24" s="126" customFormat="1" ht="15" customHeight="1" thickBot="1">
      <c r="A30" s="125"/>
      <c r="B30" s="656"/>
      <c r="C30" s="657">
        <v>0.6</v>
      </c>
      <c r="D30" s="1997"/>
      <c r="E30" s="1998"/>
      <c r="F30" s="1998"/>
      <c r="G30" s="1998"/>
      <c r="H30" s="1998"/>
      <c r="I30" s="2297"/>
      <c r="J30" s="1996"/>
      <c r="K30" s="1996"/>
      <c r="L30" s="1996"/>
      <c r="M30" s="1996"/>
      <c r="N30" s="1996"/>
      <c r="O30" s="2271"/>
      <c r="Q30" s="807"/>
      <c r="R30" s="807"/>
      <c r="S30" s="807"/>
      <c r="T30" s="807"/>
      <c r="U30" s="807"/>
      <c r="V30" s="807"/>
      <c r="W30" s="807"/>
      <c r="X30" s="807"/>
    </row>
    <row r="31" spans="1:24" s="1" customFormat="1" ht="15" customHeight="1" thickBot="1">
      <c r="B31" s="1393" t="s">
        <v>2816</v>
      </c>
      <c r="C31" s="1483"/>
      <c r="D31" s="1621">
        <f>IF(OR(COUNTIF(D26:O30,"&gt;=-0.3")=10,COUNTIF(D26:O30,"&gt;=-0,3")=10),0.5,0)</f>
        <v>0</v>
      </c>
      <c r="E31" s="1622"/>
      <c r="F31" s="1622"/>
      <c r="G31" s="1622"/>
      <c r="H31" s="1622"/>
      <c r="I31" s="1622"/>
      <c r="J31" s="1622"/>
      <c r="K31" s="1622"/>
      <c r="L31" s="1622"/>
      <c r="M31" s="1622"/>
      <c r="N31" s="1622"/>
      <c r="O31" s="1623"/>
      <c r="Q31" s="9"/>
      <c r="R31" s="9"/>
      <c r="S31" s="9"/>
      <c r="T31" s="9"/>
      <c r="U31" s="9"/>
      <c r="V31" s="9"/>
      <c r="W31" s="9"/>
      <c r="X31" s="9"/>
    </row>
    <row r="32" spans="1:24" s="126" customFormat="1" ht="15" customHeight="1">
      <c r="A32" s="125"/>
      <c r="B32" s="128"/>
      <c r="C32" s="132" t="s">
        <v>642</v>
      </c>
      <c r="D32" s="2038"/>
      <c r="E32" s="2039"/>
      <c r="F32" s="2039"/>
      <c r="G32" s="2039"/>
      <c r="H32" s="2039"/>
      <c r="I32" s="2039"/>
      <c r="J32" s="2039"/>
      <c r="K32" s="2039"/>
      <c r="L32" s="2039"/>
      <c r="M32" s="2039"/>
      <c r="N32" s="2039"/>
      <c r="O32" s="2040"/>
      <c r="Q32" s="807"/>
      <c r="R32" s="807"/>
      <c r="S32" s="807"/>
      <c r="T32" s="807"/>
      <c r="U32" s="807"/>
      <c r="V32" s="807"/>
      <c r="W32" s="807"/>
      <c r="X32" s="807"/>
    </row>
    <row r="33" spans="1:24" s="126" customFormat="1" ht="15" customHeight="1">
      <c r="A33" s="125"/>
      <c r="B33" s="368"/>
      <c r="C33" s="258">
        <v>0.2</v>
      </c>
      <c r="D33" s="2044"/>
      <c r="E33" s="2045"/>
      <c r="F33" s="2045"/>
      <c r="G33" s="2045"/>
      <c r="H33" s="2045"/>
      <c r="I33" s="2045"/>
      <c r="J33" s="2045"/>
      <c r="K33" s="2045"/>
      <c r="L33" s="2045"/>
      <c r="M33" s="2045"/>
      <c r="N33" s="2045"/>
      <c r="O33" s="2046"/>
      <c r="Q33" s="807"/>
      <c r="R33" s="807"/>
      <c r="S33" s="807"/>
      <c r="T33" s="807"/>
      <c r="U33" s="807"/>
      <c r="V33" s="807"/>
      <c r="W33" s="807"/>
      <c r="X33" s="807"/>
    </row>
    <row r="34" spans="1:24" s="126" customFormat="1" ht="15" customHeight="1">
      <c r="A34" s="125"/>
      <c r="B34" s="368"/>
      <c r="C34" s="258">
        <v>0.3</v>
      </c>
      <c r="D34" s="2044"/>
      <c r="E34" s="2045"/>
      <c r="F34" s="2045"/>
      <c r="G34" s="2045"/>
      <c r="H34" s="2045"/>
      <c r="I34" s="2045"/>
      <c r="J34" s="2045"/>
      <c r="K34" s="2045"/>
      <c r="L34" s="2045"/>
      <c r="M34" s="2045"/>
      <c r="N34" s="2045"/>
      <c r="O34" s="2046"/>
      <c r="Q34" s="807"/>
      <c r="R34" s="807"/>
      <c r="S34" s="807"/>
      <c r="T34" s="807"/>
      <c r="U34" s="807"/>
      <c r="V34" s="807"/>
      <c r="W34" s="807"/>
      <c r="X34" s="807"/>
    </row>
    <row r="35" spans="1:24" s="126" customFormat="1" ht="15" customHeight="1">
      <c r="A35" s="125"/>
      <c r="B35" s="368"/>
      <c r="C35" s="258">
        <v>0.4</v>
      </c>
      <c r="D35" s="2044"/>
      <c r="E35" s="2045"/>
      <c r="F35" s="2045"/>
      <c r="G35" s="2045"/>
      <c r="H35" s="2045"/>
      <c r="I35" s="2045"/>
      <c r="J35" s="2045"/>
      <c r="K35" s="2045"/>
      <c r="L35" s="2045"/>
      <c r="M35" s="2045"/>
      <c r="N35" s="2045"/>
      <c r="O35" s="2046"/>
      <c r="Q35" s="807"/>
      <c r="R35" s="807"/>
      <c r="S35" s="807"/>
      <c r="T35" s="807"/>
      <c r="U35" s="807"/>
      <c r="V35" s="807"/>
      <c r="W35" s="807"/>
      <c r="X35" s="807"/>
    </row>
    <row r="36" spans="1:24" s="126" customFormat="1" ht="15" customHeight="1">
      <c r="A36" s="125"/>
      <c r="B36" s="368"/>
      <c r="C36" s="258">
        <v>0.5</v>
      </c>
      <c r="D36" s="2044"/>
      <c r="E36" s="2045"/>
      <c r="F36" s="2045"/>
      <c r="G36" s="2045"/>
      <c r="H36" s="2045"/>
      <c r="I36" s="2045"/>
      <c r="J36" s="2045"/>
      <c r="K36" s="2045"/>
      <c r="L36" s="2045"/>
      <c r="M36" s="2045"/>
      <c r="N36" s="2045"/>
      <c r="O36" s="2046"/>
      <c r="Q36" s="807"/>
      <c r="R36" s="807"/>
      <c r="S36" s="807"/>
      <c r="T36" s="807"/>
      <c r="U36" s="807"/>
      <c r="V36" s="807"/>
      <c r="W36" s="807"/>
      <c r="X36" s="807"/>
    </row>
    <row r="37" spans="1:24" s="126" customFormat="1" ht="15" customHeight="1" thickBot="1">
      <c r="A37" s="125"/>
      <c r="B37" s="368"/>
      <c r="C37" s="258">
        <v>0.6</v>
      </c>
      <c r="D37" s="2044"/>
      <c r="E37" s="2045"/>
      <c r="F37" s="2045"/>
      <c r="G37" s="2045"/>
      <c r="H37" s="2045"/>
      <c r="I37" s="2045"/>
      <c r="J37" s="2045"/>
      <c r="K37" s="2045"/>
      <c r="L37" s="2045"/>
      <c r="M37" s="2045"/>
      <c r="N37" s="2045"/>
      <c r="O37" s="2046"/>
      <c r="Q37" s="807"/>
      <c r="R37" s="807"/>
      <c r="S37" s="807"/>
      <c r="T37" s="807"/>
      <c r="U37" s="807"/>
      <c r="V37" s="807"/>
      <c r="W37" s="807"/>
      <c r="X37" s="807"/>
    </row>
    <row r="38" spans="1:24" s="1" customFormat="1" ht="15" customHeight="1" thickBot="1">
      <c r="B38" s="1393" t="s">
        <v>643</v>
      </c>
      <c r="C38" s="1483"/>
      <c r="D38" s="1621">
        <f>IF(COUNTIF(D33:O37,"PASS")=5,0.5,0)</f>
        <v>0</v>
      </c>
      <c r="E38" s="1622"/>
      <c r="F38" s="1622"/>
      <c r="G38" s="1622"/>
      <c r="H38" s="1622"/>
      <c r="I38" s="1622"/>
      <c r="J38" s="1622"/>
      <c r="K38" s="1622"/>
      <c r="L38" s="1622"/>
      <c r="M38" s="1622"/>
      <c r="N38" s="1622"/>
      <c r="O38" s="1623"/>
      <c r="Q38" s="132"/>
      <c r="R38" s="9"/>
      <c r="S38" s="9"/>
      <c r="T38" s="9"/>
      <c r="U38" s="9"/>
      <c r="V38" s="9"/>
      <c r="W38" s="9"/>
      <c r="X38" s="9"/>
    </row>
    <row r="39" spans="1:24" s="126" customFormat="1" ht="15" customHeight="1">
      <c r="A39" s="125"/>
      <c r="B39" s="128"/>
      <c r="C39" s="132" t="s">
        <v>694</v>
      </c>
      <c r="D39" s="1981" t="s">
        <v>644</v>
      </c>
      <c r="E39" s="1982"/>
      <c r="F39" s="1982"/>
      <c r="G39" s="1982"/>
      <c r="H39" s="1982"/>
      <c r="I39" s="2105"/>
      <c r="J39" s="2287" t="s">
        <v>645</v>
      </c>
      <c r="K39" s="2287"/>
      <c r="L39" s="2287"/>
      <c r="M39" s="2287"/>
      <c r="N39" s="2287"/>
      <c r="O39" s="2288"/>
    </row>
    <row r="40" spans="1:24" s="126" customFormat="1" ht="15" customHeight="1">
      <c r="A40" s="125"/>
      <c r="B40" s="128"/>
      <c r="C40" s="258">
        <v>0.2</v>
      </c>
      <c r="D40" s="2044"/>
      <c r="E40" s="2045"/>
      <c r="F40" s="2045"/>
      <c r="G40" s="2045"/>
      <c r="H40" s="2045"/>
      <c r="I40" s="2277"/>
      <c r="J40" s="808"/>
      <c r="K40" s="808"/>
      <c r="L40" s="808"/>
      <c r="M40" s="808"/>
      <c r="N40" s="808"/>
      <c r="O40" s="1087"/>
    </row>
    <row r="41" spans="1:24" s="126" customFormat="1" ht="15" customHeight="1">
      <c r="A41" s="125"/>
      <c r="B41" s="368"/>
      <c r="C41" s="258">
        <v>0.3</v>
      </c>
      <c r="D41" s="2044"/>
      <c r="E41" s="2045"/>
      <c r="F41" s="2045"/>
      <c r="G41" s="2045"/>
      <c r="H41" s="2045"/>
      <c r="I41" s="2277"/>
      <c r="J41" s="2275"/>
      <c r="K41" s="2275"/>
      <c r="L41" s="2275"/>
      <c r="M41" s="2275"/>
      <c r="N41" s="2275"/>
      <c r="O41" s="2276"/>
    </row>
    <row r="42" spans="1:24" s="126" customFormat="1" ht="15" customHeight="1">
      <c r="A42" s="125"/>
      <c r="B42" s="368"/>
      <c r="C42" s="258">
        <v>0.4</v>
      </c>
      <c r="D42" s="2044"/>
      <c r="E42" s="2045"/>
      <c r="F42" s="2045"/>
      <c r="G42" s="2045"/>
      <c r="H42" s="2045"/>
      <c r="I42" s="2277"/>
      <c r="J42" s="2275"/>
      <c r="K42" s="2275"/>
      <c r="L42" s="2275"/>
      <c r="M42" s="2275"/>
      <c r="N42" s="2275"/>
      <c r="O42" s="2276"/>
    </row>
    <row r="43" spans="1:24" s="126" customFormat="1" ht="15" customHeight="1">
      <c r="A43" s="125"/>
      <c r="B43" s="368"/>
      <c r="C43" s="258">
        <v>0.5</v>
      </c>
      <c r="D43" s="2044"/>
      <c r="E43" s="2045"/>
      <c r="F43" s="2045"/>
      <c r="G43" s="2045"/>
      <c r="H43" s="2045"/>
      <c r="I43" s="2277"/>
      <c r="J43" s="2045"/>
      <c r="K43" s="2045"/>
      <c r="L43" s="2045"/>
      <c r="M43" s="2045"/>
      <c r="N43" s="2045"/>
      <c r="O43" s="2046"/>
    </row>
    <row r="44" spans="1:24" s="126" customFormat="1" ht="15" customHeight="1">
      <c r="A44" s="125"/>
      <c r="B44" s="368"/>
      <c r="C44" s="258">
        <v>0.6</v>
      </c>
      <c r="D44" s="2044"/>
      <c r="E44" s="2045"/>
      <c r="F44" s="2045"/>
      <c r="G44" s="2045"/>
      <c r="H44" s="2045"/>
      <c r="I44" s="2277"/>
      <c r="J44" s="2045"/>
      <c r="K44" s="2045"/>
      <c r="L44" s="2045"/>
      <c r="M44" s="2045"/>
      <c r="N44" s="2045"/>
      <c r="O44" s="2046"/>
    </row>
    <row r="45" spans="1:24" s="126" customFormat="1" ht="15" customHeight="1">
      <c r="A45" s="125"/>
      <c r="B45" s="368"/>
      <c r="C45" s="258">
        <v>0.7</v>
      </c>
      <c r="D45" s="2285"/>
      <c r="E45" s="2275"/>
      <c r="F45" s="2275"/>
      <c r="G45" s="2275"/>
      <c r="H45" s="2275"/>
      <c r="I45" s="2286"/>
      <c r="J45" s="2045"/>
      <c r="K45" s="2045"/>
      <c r="L45" s="2045"/>
      <c r="M45" s="2045"/>
      <c r="N45" s="2045"/>
      <c r="O45" s="2046"/>
    </row>
    <row r="46" spans="1:24" s="126" customFormat="1" ht="15" customHeight="1">
      <c r="A46" s="125"/>
      <c r="B46" s="128"/>
      <c r="C46" s="132" t="s">
        <v>695</v>
      </c>
      <c r="D46" s="2272"/>
      <c r="E46" s="2273"/>
      <c r="F46" s="2273"/>
      <c r="G46" s="2273"/>
      <c r="H46" s="2273"/>
      <c r="I46" s="2274"/>
      <c r="J46" s="2275"/>
      <c r="K46" s="2275"/>
      <c r="L46" s="2275"/>
      <c r="M46" s="2275"/>
      <c r="N46" s="2275"/>
      <c r="O46" s="2276"/>
    </row>
    <row r="47" spans="1:24" s="126" customFormat="1" ht="15" customHeight="1">
      <c r="A47" s="125"/>
      <c r="B47" s="128"/>
      <c r="C47" s="258">
        <v>0.2</v>
      </c>
      <c r="D47" s="2044"/>
      <c r="E47" s="2045"/>
      <c r="F47" s="2045"/>
      <c r="G47" s="2045"/>
      <c r="H47" s="2045"/>
      <c r="I47" s="2277"/>
      <c r="J47" s="1085"/>
      <c r="K47" s="1085"/>
      <c r="L47" s="1085"/>
      <c r="M47" s="1085"/>
      <c r="N47" s="1085"/>
      <c r="O47" s="1086"/>
    </row>
    <row r="48" spans="1:24" s="126" customFormat="1" ht="15" customHeight="1">
      <c r="A48" s="125"/>
      <c r="B48" s="368"/>
      <c r="C48" s="258">
        <v>0.3</v>
      </c>
      <c r="D48" s="2044"/>
      <c r="E48" s="2045"/>
      <c r="F48" s="2045"/>
      <c r="G48" s="2045"/>
      <c r="H48" s="2045"/>
      <c r="I48" s="2277"/>
      <c r="J48" s="2275"/>
      <c r="K48" s="2275"/>
      <c r="L48" s="2275"/>
      <c r="M48" s="2275"/>
      <c r="N48" s="2275"/>
      <c r="O48" s="2276"/>
    </row>
    <row r="49" spans="1:15" s="126" customFormat="1" ht="15" customHeight="1">
      <c r="A49" s="125"/>
      <c r="B49" s="368"/>
      <c r="C49" s="258">
        <v>0.4</v>
      </c>
      <c r="D49" s="2044"/>
      <c r="E49" s="2045"/>
      <c r="F49" s="2045"/>
      <c r="G49" s="2045"/>
      <c r="H49" s="2045"/>
      <c r="I49" s="2277"/>
      <c r="J49" s="2275"/>
      <c r="K49" s="2275"/>
      <c r="L49" s="2275"/>
      <c r="M49" s="2275"/>
      <c r="N49" s="2275"/>
      <c r="O49" s="2276"/>
    </row>
    <row r="50" spans="1:15" s="126" customFormat="1" ht="15" customHeight="1">
      <c r="A50" s="125"/>
      <c r="B50" s="368"/>
      <c r="C50" s="258">
        <v>0.5</v>
      </c>
      <c r="D50" s="2044"/>
      <c r="E50" s="2045"/>
      <c r="F50" s="2045"/>
      <c r="G50" s="2045"/>
      <c r="H50" s="2045"/>
      <c r="I50" s="2277"/>
      <c r="J50" s="2045"/>
      <c r="K50" s="2045"/>
      <c r="L50" s="2045"/>
      <c r="M50" s="2045"/>
      <c r="N50" s="2045"/>
      <c r="O50" s="2046"/>
    </row>
    <row r="51" spans="1:15" s="126" customFormat="1" ht="15" customHeight="1">
      <c r="A51" s="125"/>
      <c r="B51" s="368"/>
      <c r="C51" s="258">
        <v>0.6</v>
      </c>
      <c r="D51" s="2044"/>
      <c r="E51" s="2045"/>
      <c r="F51" s="2045"/>
      <c r="G51" s="2045"/>
      <c r="H51" s="2045"/>
      <c r="I51" s="2277"/>
      <c r="J51" s="2045"/>
      <c r="K51" s="2045"/>
      <c r="L51" s="2045"/>
      <c r="M51" s="2045"/>
      <c r="N51" s="2045"/>
      <c r="O51" s="2046"/>
    </row>
    <row r="52" spans="1:15" s="126" customFormat="1" ht="15" customHeight="1" thickBot="1">
      <c r="A52" s="125"/>
      <c r="B52" s="368"/>
      <c r="C52" s="258">
        <v>0.7</v>
      </c>
      <c r="D52" s="2278"/>
      <c r="E52" s="2279"/>
      <c r="F52" s="2279"/>
      <c r="G52" s="2279"/>
      <c r="H52" s="2279"/>
      <c r="I52" s="2280"/>
      <c r="J52" s="2045"/>
      <c r="K52" s="2045"/>
      <c r="L52" s="2045"/>
      <c r="M52" s="2045"/>
      <c r="N52" s="2045"/>
      <c r="O52" s="2046"/>
    </row>
    <row r="53" spans="1:15" s="1" customFormat="1" ht="15" customHeight="1" thickBot="1">
      <c r="B53" s="1393" t="s">
        <v>646</v>
      </c>
      <c r="C53" s="1483"/>
      <c r="D53" s="1621">
        <f>IF(COUNTIF(D40:O52,"PASS")=16,0.5,0)</f>
        <v>0</v>
      </c>
      <c r="E53" s="1622"/>
      <c r="F53" s="1622"/>
      <c r="G53" s="1622"/>
      <c r="H53" s="1622"/>
      <c r="I53" s="1622"/>
      <c r="J53" s="1622"/>
      <c r="K53" s="1622"/>
      <c r="L53" s="1622"/>
      <c r="M53" s="1622"/>
      <c r="N53" s="1622"/>
      <c r="O53" s="1623"/>
    </row>
    <row r="54" spans="1:15" s="1" customFormat="1" ht="15" customHeight="1" thickBot="1">
      <c r="B54" s="2250"/>
      <c r="C54" s="2251"/>
      <c r="D54" s="2251"/>
      <c r="E54" s="2251"/>
      <c r="F54" s="2251"/>
      <c r="G54" s="2251"/>
      <c r="H54" s="2251"/>
      <c r="I54" s="2251"/>
      <c r="J54" s="2251"/>
      <c r="K54" s="2251"/>
      <c r="L54" s="2251"/>
      <c r="M54" s="2251"/>
      <c r="N54" s="2251"/>
      <c r="O54" s="2252"/>
    </row>
    <row r="55" spans="1:15" s="126" customFormat="1" ht="15" customHeight="1" thickBot="1">
      <c r="A55" s="125"/>
      <c r="B55" s="2007" t="s">
        <v>647</v>
      </c>
      <c r="C55" s="2008"/>
      <c r="D55" s="2009">
        <f>SUM(D24,D31,D38,D53)</f>
        <v>0</v>
      </c>
      <c r="E55" s="1972"/>
      <c r="F55" s="1972"/>
      <c r="G55" s="1972"/>
      <c r="H55" s="1972"/>
      <c r="I55" s="1972"/>
      <c r="J55" s="1972"/>
      <c r="K55" s="1972"/>
      <c r="L55" s="1972"/>
      <c r="M55" s="1972"/>
      <c r="N55" s="1972"/>
      <c r="O55" s="1974"/>
    </row>
    <row r="56" spans="1:15" s="126" customFormat="1" ht="15" customHeight="1" thickBot="1">
      <c r="A56" s="125"/>
      <c r="B56" s="2248"/>
      <c r="C56" s="2248"/>
      <c r="D56" s="2248"/>
      <c r="E56" s="2248"/>
      <c r="F56" s="2248"/>
      <c r="G56" s="2248"/>
      <c r="H56" s="2248"/>
      <c r="I56" s="2248"/>
      <c r="J56" s="2248"/>
      <c r="K56" s="2248"/>
      <c r="L56" s="2248"/>
      <c r="M56" s="2248"/>
      <c r="N56" s="2248"/>
      <c r="O56" s="2248"/>
    </row>
    <row r="57" spans="1:15" s="126" customFormat="1" ht="15" customHeight="1">
      <c r="A57" s="125"/>
      <c r="B57" s="130" t="s">
        <v>648</v>
      </c>
      <c r="C57" s="131"/>
      <c r="D57" s="2281" t="s">
        <v>651</v>
      </c>
      <c r="E57" s="2282"/>
      <c r="F57" s="2282"/>
      <c r="G57" s="2282"/>
      <c r="H57" s="2282"/>
      <c r="I57" s="2283"/>
      <c r="J57" s="2282" t="s">
        <v>652</v>
      </c>
      <c r="K57" s="2282"/>
      <c r="L57" s="2282"/>
      <c r="M57" s="2282"/>
      <c r="N57" s="2282"/>
      <c r="O57" s="2284"/>
    </row>
    <row r="58" spans="1:15" s="126" customFormat="1" ht="15" customHeight="1">
      <c r="A58" s="125"/>
      <c r="B58" s="128"/>
      <c r="C58" s="132"/>
      <c r="D58" s="2265" t="s">
        <v>649</v>
      </c>
      <c r="E58" s="2266"/>
      <c r="F58" s="2267"/>
      <c r="G58" s="2266" t="s">
        <v>650</v>
      </c>
      <c r="H58" s="2266"/>
      <c r="I58" s="2267"/>
      <c r="J58" s="2266" t="s">
        <v>649</v>
      </c>
      <c r="K58" s="2266"/>
      <c r="L58" s="2267"/>
      <c r="M58" s="2268" t="s">
        <v>650</v>
      </c>
      <c r="N58" s="2266"/>
      <c r="O58" s="2269"/>
    </row>
    <row r="59" spans="1:15" s="126" customFormat="1" ht="15" customHeight="1">
      <c r="A59" s="125"/>
      <c r="B59" s="368"/>
      <c r="C59" s="258">
        <v>0.2</v>
      </c>
      <c r="D59" s="1995"/>
      <c r="E59" s="1996"/>
      <c r="F59" s="2270"/>
      <c r="G59" s="1996"/>
      <c r="H59" s="1996"/>
      <c r="I59" s="2270"/>
      <c r="J59" s="1996"/>
      <c r="K59" s="1996"/>
      <c r="L59" s="2270"/>
      <c r="M59" s="2098"/>
      <c r="N59" s="1996"/>
      <c r="O59" s="2271"/>
    </row>
    <row r="60" spans="1:15" s="126" customFormat="1" ht="15" customHeight="1">
      <c r="A60" s="125"/>
      <c r="B60" s="368"/>
      <c r="C60" s="258">
        <v>0.3</v>
      </c>
      <c r="D60" s="1995"/>
      <c r="E60" s="1996"/>
      <c r="F60" s="2270"/>
      <c r="G60" s="1996"/>
      <c r="H60" s="1996"/>
      <c r="I60" s="2270"/>
      <c r="J60" s="1996"/>
      <c r="K60" s="1996"/>
      <c r="L60" s="2270"/>
      <c r="M60" s="2098"/>
      <c r="N60" s="1996"/>
      <c r="O60" s="2271"/>
    </row>
    <row r="61" spans="1:15" s="126" customFormat="1" ht="15" customHeight="1">
      <c r="A61" s="125"/>
      <c r="B61" s="368"/>
      <c r="C61" s="258">
        <v>0.4</v>
      </c>
      <c r="D61" s="1995"/>
      <c r="E61" s="1996"/>
      <c r="F61" s="2270"/>
      <c r="G61" s="1996"/>
      <c r="H61" s="1996"/>
      <c r="I61" s="2270"/>
      <c r="J61" s="1996"/>
      <c r="K61" s="1996"/>
      <c r="L61" s="2270"/>
      <c r="M61" s="2098"/>
      <c r="N61" s="1996"/>
      <c r="O61" s="2271"/>
    </row>
    <row r="62" spans="1:15" s="126" customFormat="1" ht="15" customHeight="1">
      <c r="A62" s="125"/>
      <c r="B62" s="368"/>
      <c r="C62" s="258">
        <v>0.5</v>
      </c>
      <c r="D62" s="1995"/>
      <c r="E62" s="1996"/>
      <c r="F62" s="2270"/>
      <c r="G62" s="1996"/>
      <c r="H62" s="1996"/>
      <c r="I62" s="2270"/>
      <c r="J62" s="1996"/>
      <c r="K62" s="1996"/>
      <c r="L62" s="2270"/>
      <c r="M62" s="2098"/>
      <c r="N62" s="1996"/>
      <c r="O62" s="2271"/>
    </row>
    <row r="63" spans="1:15" s="126" customFormat="1" ht="15" customHeight="1" thickBot="1">
      <c r="A63" s="125"/>
      <c r="B63" s="128"/>
      <c r="C63" s="258">
        <v>0.6</v>
      </c>
      <c r="D63" s="1995"/>
      <c r="E63" s="1996"/>
      <c r="F63" s="2270"/>
      <c r="G63" s="1996"/>
      <c r="H63" s="1996"/>
      <c r="I63" s="2270"/>
      <c r="J63" s="1996"/>
      <c r="K63" s="1996"/>
      <c r="L63" s="2270"/>
      <c r="M63" s="2098"/>
      <c r="N63" s="1996"/>
      <c r="O63" s="2271"/>
    </row>
    <row r="64" spans="1:15" s="1" customFormat="1" ht="15" customHeight="1" thickBot="1">
      <c r="B64" s="1393" t="s">
        <v>841</v>
      </c>
      <c r="C64" s="1483"/>
      <c r="D64" s="1621">
        <f>IF(COUNTIF(D59:I63,"&gt;=-0.3")=10,0.25,0)</f>
        <v>0</v>
      </c>
      <c r="E64" s="1622"/>
      <c r="F64" s="1622"/>
      <c r="G64" s="1622"/>
      <c r="H64" s="1622"/>
      <c r="I64" s="2249"/>
      <c r="J64" s="1621">
        <f>IF(COUNTIF(J59:O63,"&gt;=-0.3")=10,0.25,0)</f>
        <v>0</v>
      </c>
      <c r="K64" s="1622"/>
      <c r="L64" s="1622"/>
      <c r="M64" s="1622"/>
      <c r="N64" s="1622"/>
      <c r="O64" s="2249"/>
    </row>
    <row r="65" spans="1:15" s="1" customFormat="1" ht="15" customHeight="1" thickBot="1">
      <c r="B65" s="2250"/>
      <c r="C65" s="2251"/>
      <c r="D65" s="2251"/>
      <c r="E65" s="2251"/>
      <c r="F65" s="2251"/>
      <c r="G65" s="2251"/>
      <c r="H65" s="2251"/>
      <c r="I65" s="2251"/>
      <c r="J65" s="2251"/>
      <c r="K65" s="2251"/>
      <c r="L65" s="2251"/>
      <c r="M65" s="2251"/>
      <c r="N65" s="2251"/>
      <c r="O65" s="2252"/>
    </row>
    <row r="66" spans="1:15" s="126" customFormat="1" ht="15" customHeight="1" thickBot="1">
      <c r="A66" s="125"/>
      <c r="B66" s="2007" t="s">
        <v>653</v>
      </c>
      <c r="C66" s="2019"/>
      <c r="D66" s="1621">
        <f>SUM(D64,J64)</f>
        <v>0</v>
      </c>
      <c r="E66" s="1622"/>
      <c r="F66" s="1622"/>
      <c r="G66" s="1622"/>
      <c r="H66" s="1622"/>
      <c r="I66" s="1622"/>
      <c r="J66" s="1622"/>
      <c r="K66" s="1622"/>
      <c r="L66" s="1622"/>
      <c r="M66" s="1622"/>
      <c r="N66" s="1622"/>
      <c r="O66" s="1623"/>
    </row>
    <row r="67" spans="1:15" s="126" customFormat="1" ht="15" customHeight="1" thickBot="1">
      <c r="A67" s="125"/>
      <c r="B67" s="2248"/>
      <c r="C67" s="2248"/>
      <c r="D67" s="2248"/>
      <c r="E67" s="2248"/>
      <c r="F67" s="2248"/>
      <c r="G67" s="2248"/>
      <c r="H67" s="2248"/>
      <c r="I67" s="2248"/>
      <c r="J67" s="2248"/>
      <c r="K67" s="2248"/>
      <c r="L67" s="2248"/>
      <c r="M67" s="2248"/>
      <c r="N67" s="2248"/>
      <c r="O67" s="2248"/>
    </row>
    <row r="68" spans="1:15" s="126" customFormat="1" ht="15" customHeight="1">
      <c r="A68" s="125"/>
      <c r="B68" s="130" t="s">
        <v>238</v>
      </c>
      <c r="C68" s="131"/>
      <c r="D68" s="1981"/>
      <c r="E68" s="1982"/>
      <c r="F68" s="1982"/>
      <c r="G68" s="1982"/>
      <c r="H68" s="1982"/>
      <c r="I68" s="1982"/>
      <c r="J68" s="1982"/>
      <c r="K68" s="1982"/>
      <c r="L68" s="1982"/>
      <c r="M68" s="1982"/>
      <c r="N68" s="1982"/>
      <c r="O68" s="1983"/>
    </row>
    <row r="69" spans="1:15" s="126" customFormat="1" ht="15" customHeight="1">
      <c r="A69" s="125"/>
      <c r="B69" s="368">
        <v>1</v>
      </c>
      <c r="C69" s="148" t="s">
        <v>654</v>
      </c>
      <c r="D69" s="2044"/>
      <c r="E69" s="2045"/>
      <c r="F69" s="2045"/>
      <c r="G69" s="2045"/>
      <c r="H69" s="2045"/>
      <c r="I69" s="2045"/>
      <c r="J69" s="2045"/>
      <c r="K69" s="2045"/>
      <c r="L69" s="2045"/>
      <c r="M69" s="2045"/>
      <c r="N69" s="2045"/>
      <c r="O69" s="2046"/>
    </row>
    <row r="70" spans="1:15" s="126" customFormat="1" ht="15" customHeight="1" thickBot="1">
      <c r="A70" s="125"/>
      <c r="B70" s="368">
        <v>2</v>
      </c>
      <c r="C70" s="148" t="s">
        <v>554</v>
      </c>
      <c r="D70" s="2044"/>
      <c r="E70" s="2045"/>
      <c r="F70" s="2045"/>
      <c r="G70" s="2045"/>
      <c r="H70" s="2045"/>
      <c r="I70" s="2045"/>
      <c r="J70" s="2045"/>
      <c r="K70" s="2045"/>
      <c r="L70" s="2045"/>
      <c r="M70" s="2045"/>
      <c r="N70" s="2045"/>
      <c r="O70" s="2046"/>
    </row>
    <row r="71" spans="1:15" s="126" customFormat="1" ht="15" customHeight="1" thickBot="1">
      <c r="A71" s="125"/>
      <c r="B71" s="2007" t="s">
        <v>241</v>
      </c>
      <c r="C71" s="2008"/>
      <c r="D71" s="2009">
        <f>IF(OR(D69="PASS",D70="PASS"),0.5,0)</f>
        <v>0</v>
      </c>
      <c r="E71" s="1972"/>
      <c r="F71" s="1972"/>
      <c r="G71" s="1972"/>
      <c r="H71" s="1972"/>
      <c r="I71" s="1972"/>
      <c r="J71" s="1972"/>
      <c r="K71" s="1972"/>
      <c r="L71" s="1972"/>
      <c r="M71" s="1972"/>
      <c r="N71" s="1972"/>
      <c r="O71" s="1974"/>
    </row>
    <row r="72" spans="1:15" s="126" customFormat="1" ht="15" customHeight="1" thickBot="1">
      <c r="A72" s="125"/>
      <c r="B72" s="2248"/>
      <c r="C72" s="2248"/>
      <c r="D72" s="2248"/>
      <c r="E72" s="2248"/>
      <c r="F72" s="2248"/>
      <c r="G72" s="2248"/>
      <c r="H72" s="2248"/>
      <c r="I72" s="2248"/>
      <c r="J72" s="2248"/>
      <c r="K72" s="2248"/>
      <c r="L72" s="2248"/>
      <c r="M72" s="2248"/>
      <c r="N72" s="2248"/>
      <c r="O72" s="2248"/>
    </row>
    <row r="73" spans="1:15" s="126" customFormat="1" ht="15" customHeight="1" thickBot="1">
      <c r="A73" s="125"/>
      <c r="B73" s="2017" t="s">
        <v>37</v>
      </c>
      <c r="C73" s="2018"/>
      <c r="D73" s="2256"/>
      <c r="E73" s="2257"/>
      <c r="F73" s="2257"/>
      <c r="G73" s="2257"/>
      <c r="H73" s="2257"/>
      <c r="I73" s="2257"/>
      <c r="J73" s="2257"/>
      <c r="K73" s="2257"/>
      <c r="L73" s="2257"/>
      <c r="M73" s="2257"/>
      <c r="N73" s="2257"/>
      <c r="O73" s="2258"/>
    </row>
    <row r="74" spans="1:15" s="126" customFormat="1" ht="15" customHeight="1">
      <c r="A74" s="125"/>
      <c r="B74" s="404"/>
      <c r="C74" s="403" t="s">
        <v>655</v>
      </c>
      <c r="D74" s="2259">
        <f>D55</f>
        <v>0</v>
      </c>
      <c r="E74" s="2260"/>
      <c r="F74" s="2260"/>
      <c r="G74" s="2260"/>
      <c r="H74" s="2260"/>
      <c r="I74" s="2260"/>
      <c r="J74" s="2260"/>
      <c r="K74" s="2260"/>
      <c r="L74" s="2260"/>
      <c r="M74" s="2260"/>
      <c r="N74" s="2260"/>
      <c r="O74" s="2261"/>
    </row>
    <row r="75" spans="1:15" s="126" customFormat="1" ht="15" customHeight="1">
      <c r="A75" s="125"/>
      <c r="B75" s="133"/>
      <c r="C75" s="400" t="s">
        <v>591</v>
      </c>
      <c r="D75" s="2262">
        <f>D66</f>
        <v>0</v>
      </c>
      <c r="E75" s="2263"/>
      <c r="F75" s="2263"/>
      <c r="G75" s="2263"/>
      <c r="H75" s="2263"/>
      <c r="I75" s="2263"/>
      <c r="J75" s="2263"/>
      <c r="K75" s="2263"/>
      <c r="L75" s="2263"/>
      <c r="M75" s="2263"/>
      <c r="N75" s="2263"/>
      <c r="O75" s="2264"/>
    </row>
    <row r="76" spans="1:15" ht="15" customHeight="1" thickBot="1">
      <c r="B76" s="135"/>
      <c r="C76" s="402" t="s">
        <v>238</v>
      </c>
      <c r="D76" s="2253">
        <f>D71</f>
        <v>0</v>
      </c>
      <c r="E76" s="2254"/>
      <c r="F76" s="2254"/>
      <c r="G76" s="2254"/>
      <c r="H76" s="2254"/>
      <c r="I76" s="2254"/>
      <c r="J76" s="2254"/>
      <c r="K76" s="2254"/>
      <c r="L76" s="2254"/>
      <c r="M76" s="2254"/>
      <c r="N76" s="2254"/>
      <c r="O76" s="2255"/>
    </row>
    <row r="77" spans="1:15" ht="15" customHeight="1" thickBot="1">
      <c r="B77" s="2248"/>
      <c r="C77" s="2248"/>
      <c r="D77" s="2248"/>
      <c r="E77" s="2248"/>
      <c r="F77" s="2248"/>
      <c r="G77" s="2248"/>
      <c r="H77" s="2248"/>
      <c r="I77" s="2248"/>
      <c r="J77" s="2248"/>
      <c r="K77" s="2248"/>
      <c r="L77" s="2248"/>
      <c r="M77" s="2248"/>
      <c r="N77" s="2248"/>
      <c r="O77" s="2248"/>
    </row>
    <row r="78" spans="1:15" ht="21.75" thickBot="1">
      <c r="B78" s="2013" t="s">
        <v>656</v>
      </c>
      <c r="C78" s="2014"/>
      <c r="D78" s="1999">
        <f>IF(D14="FAIL",0,ROUND(SUM(D74:O76),Round))</f>
        <v>0</v>
      </c>
      <c r="E78" s="2000"/>
      <c r="F78" s="2000"/>
      <c r="G78" s="2000"/>
      <c r="H78" s="2000"/>
      <c r="I78" s="2000"/>
      <c r="J78" s="2000"/>
      <c r="K78" s="2000"/>
      <c r="L78" s="2000"/>
      <c r="M78" s="2000"/>
      <c r="N78" s="2000"/>
      <c r="O78" s="2001"/>
    </row>
  </sheetData>
  <dataConsolidate/>
  <mergeCells count="133">
    <mergeCell ref="B31:C31"/>
    <mergeCell ref="D26:I26"/>
    <mergeCell ref="D27:I27"/>
    <mergeCell ref="D28:I28"/>
    <mergeCell ref="D30:I30"/>
    <mergeCell ref="J26:O26"/>
    <mergeCell ref="J27:O27"/>
    <mergeCell ref="J28:O28"/>
    <mergeCell ref="J30:O30"/>
    <mergeCell ref="D31:O31"/>
    <mergeCell ref="D29:I29"/>
    <mergeCell ref="J29:O29"/>
    <mergeCell ref="D19:I19"/>
    <mergeCell ref="D17:I17"/>
    <mergeCell ref="J17:O17"/>
    <mergeCell ref="J18:O18"/>
    <mergeCell ref="J19:O19"/>
    <mergeCell ref="D25:I25"/>
    <mergeCell ref="J25:O25"/>
    <mergeCell ref="D20:I20"/>
    <mergeCell ref="D22:I22"/>
    <mergeCell ref="J20:O20"/>
    <mergeCell ref="J22:O22"/>
    <mergeCell ref="D23:I23"/>
    <mergeCell ref="J23:O23"/>
    <mergeCell ref="D21:I21"/>
    <mergeCell ref="J21:O21"/>
    <mergeCell ref="D7:O7"/>
    <mergeCell ref="B2:C3"/>
    <mergeCell ref="B4:C4"/>
    <mergeCell ref="D5:O5"/>
    <mergeCell ref="D6:O6"/>
    <mergeCell ref="D2:O4"/>
    <mergeCell ref="B14:C14"/>
    <mergeCell ref="D14:O14"/>
    <mergeCell ref="B15:O15"/>
    <mergeCell ref="D16:O16"/>
    <mergeCell ref="D8:O8"/>
    <mergeCell ref="D9:O9"/>
    <mergeCell ref="D10:O10"/>
    <mergeCell ref="B11:O11"/>
    <mergeCell ref="D12:O12"/>
    <mergeCell ref="D13:O13"/>
    <mergeCell ref="B55:C55"/>
    <mergeCell ref="D55:O55"/>
    <mergeCell ref="D39:I39"/>
    <mergeCell ref="D53:O53"/>
    <mergeCell ref="J39:O39"/>
    <mergeCell ref="D41:I41"/>
    <mergeCell ref="J41:O41"/>
    <mergeCell ref="B38:C38"/>
    <mergeCell ref="D38:O38"/>
    <mergeCell ref="B24:C24"/>
    <mergeCell ref="D24:O24"/>
    <mergeCell ref="D35:O35"/>
    <mergeCell ref="D42:I42"/>
    <mergeCell ref="J42:O42"/>
    <mergeCell ref="D43:I43"/>
    <mergeCell ref="J43:O43"/>
    <mergeCell ref="D18:I18"/>
    <mergeCell ref="D44:I44"/>
    <mergeCell ref="J44:O44"/>
    <mergeCell ref="D32:O32"/>
    <mergeCell ref="D33:O33"/>
    <mergeCell ref="D34:O34"/>
    <mergeCell ref="D37:O37"/>
    <mergeCell ref="D57:I57"/>
    <mergeCell ref="J57:O57"/>
    <mergeCell ref="D45:I45"/>
    <mergeCell ref="J45:O45"/>
    <mergeCell ref="D36:O36"/>
    <mergeCell ref="D40:I40"/>
    <mergeCell ref="B53:C53"/>
    <mergeCell ref="B54:O54"/>
    <mergeCell ref="B56:O56"/>
    <mergeCell ref="D46:I46"/>
    <mergeCell ref="J46:O46"/>
    <mergeCell ref="D48:I48"/>
    <mergeCell ref="J48:O48"/>
    <mergeCell ref="D49:I49"/>
    <mergeCell ref="J49:O49"/>
    <mergeCell ref="D50:I50"/>
    <mergeCell ref="J50:O50"/>
    <mergeCell ref="D51:I51"/>
    <mergeCell ref="J51:O51"/>
    <mergeCell ref="D52:I52"/>
    <mergeCell ref="J52:O52"/>
    <mergeCell ref="D47:I47"/>
    <mergeCell ref="D58:F58"/>
    <mergeCell ref="G58:I58"/>
    <mergeCell ref="J58:L58"/>
    <mergeCell ref="M58:O58"/>
    <mergeCell ref="D61:F61"/>
    <mergeCell ref="G61:I61"/>
    <mergeCell ref="J61:L61"/>
    <mergeCell ref="M61:O61"/>
    <mergeCell ref="D63:F63"/>
    <mergeCell ref="G63:I63"/>
    <mergeCell ref="J63:L63"/>
    <mergeCell ref="M63:O63"/>
    <mergeCell ref="D59:F59"/>
    <mergeCell ref="G59:I59"/>
    <mergeCell ref="J59:L59"/>
    <mergeCell ref="M59:O59"/>
    <mergeCell ref="D60:F60"/>
    <mergeCell ref="G60:I60"/>
    <mergeCell ref="J60:L60"/>
    <mergeCell ref="M60:O60"/>
    <mergeCell ref="D62:F62"/>
    <mergeCell ref="G62:I62"/>
    <mergeCell ref="J62:L62"/>
    <mergeCell ref="M62:O62"/>
    <mergeCell ref="D76:O76"/>
    <mergeCell ref="B77:O77"/>
    <mergeCell ref="B78:C78"/>
    <mergeCell ref="D78:O78"/>
    <mergeCell ref="B72:O72"/>
    <mergeCell ref="B73:C73"/>
    <mergeCell ref="D73:O73"/>
    <mergeCell ref="D74:O74"/>
    <mergeCell ref="D75:O75"/>
    <mergeCell ref="B67:O67"/>
    <mergeCell ref="D68:O68"/>
    <mergeCell ref="D69:O69"/>
    <mergeCell ref="D70:O70"/>
    <mergeCell ref="B71:C71"/>
    <mergeCell ref="D71:O71"/>
    <mergeCell ref="B64:C64"/>
    <mergeCell ref="D64:I64"/>
    <mergeCell ref="J64:O64"/>
    <mergeCell ref="B65:O65"/>
    <mergeCell ref="B66:C66"/>
    <mergeCell ref="D66:O66"/>
  </mergeCells>
  <dataValidations count="3">
    <dataValidation type="list" allowBlank="1" showInputMessage="1" showErrorMessage="1" sqref="D13:G13 D7:O7" xr:uid="{00000000-0002-0000-1500-000000000000}">
      <formula1>"YES,NO"</formula1>
    </dataValidation>
    <dataValidation type="list" allowBlank="1" showInputMessage="1" showErrorMessage="1" sqref="J50:O52 D40:I44 D69:O70 J43:O45 D47:I51 D33:O37" xr:uid="{00000000-0002-0000-1500-000001000000}">
      <formula1>"PASS,FAIL"</formula1>
    </dataValidation>
    <dataValidation type="list" allowBlank="1" showInputMessage="1" showErrorMessage="1" sqref="D8:O8" xr:uid="{00000000-0002-0000-1500-000002000000}">
      <formula1>"LKA,LKA and ELK"</formula1>
    </dataValidation>
  </dataValidations>
  <pageMargins left="0.8" right="0.44" top="0.53" bottom="1" header="0.5" footer="0.5"/>
  <pageSetup paperSize="9" scale="51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919C9-AC52-4EC6-BACD-116AD0636C0B}">
  <sheetPr codeName="Sheet1"/>
  <dimension ref="A1:AF491"/>
  <sheetViews>
    <sheetView showOutlineSymbols="0" topLeftCell="A75" workbookViewId="0">
      <selection activeCell="F92" sqref="F92"/>
    </sheetView>
  </sheetViews>
  <sheetFormatPr defaultColWidth="9.28515625" defaultRowHeight="12.75"/>
  <cols>
    <col min="1" max="1" width="6" customWidth="1"/>
    <col min="2" max="2" width="50.7109375" customWidth="1"/>
    <col min="3" max="3" width="24.7109375" customWidth="1"/>
    <col min="4" max="4" width="12" customWidth="1"/>
    <col min="5" max="5" width="10.42578125" customWidth="1"/>
    <col min="6" max="6" width="10.5703125" customWidth="1"/>
    <col min="7" max="7" width="10" customWidth="1"/>
    <col min="8" max="8" width="6.42578125" customWidth="1"/>
    <col min="9" max="9" width="8.28515625" customWidth="1"/>
    <col min="10" max="10" width="11" customWidth="1"/>
    <col min="11" max="16" width="5.7109375" customWidth="1"/>
    <col min="17" max="17" width="5" customWidth="1"/>
    <col min="18" max="18" width="6.42578125" customWidth="1"/>
    <col min="19" max="19" width="6.5703125" customWidth="1"/>
    <col min="20" max="25" width="6.42578125" customWidth="1"/>
    <col min="26" max="26" width="7.28515625" customWidth="1"/>
    <col min="27" max="33" width="4.7109375" customWidth="1"/>
    <col min="34" max="41" width="3.28515625" customWidth="1"/>
  </cols>
  <sheetData>
    <row r="1" spans="1:24">
      <c r="B1" t="s">
        <v>900</v>
      </c>
      <c r="C1" s="1188" t="s">
        <v>2809</v>
      </c>
    </row>
    <row r="2" spans="1:24">
      <c r="B2" s="589" t="s">
        <v>901</v>
      </c>
      <c r="C2" s="1020" t="str">
        <f t="array" ref="C2">IF(OR('General Overview'!E52:E53="Standard"),"Standard",IF(OR('General Overview'!E52:E53="Optional meeting fitment"),"Optional meeting fitment",IF(OR('General Overview'!E52:E53="Optional not meeting fitment"),"Optional not meeting fitment","Not available")))</f>
        <v>Not available</v>
      </c>
    </row>
    <row r="3" spans="1:24">
      <c r="B3" s="589" t="s">
        <v>965</v>
      </c>
      <c r="C3" s="1020" t="str">
        <f t="array" ref="C3">IF(OR('General Overview'!E57:E58="Standard"),"Standard",IF(OR('General Overview'!E57:E58="Optional meeting fitment"),"Optional meeting fitment",IF(OR('General Overview'!E57:E58="Optional not meeting fitment"),"Optional not meeting fitment","Not available")))</f>
        <v>Not available</v>
      </c>
    </row>
    <row r="4" spans="1:24">
      <c r="B4" s="589" t="s">
        <v>966</v>
      </c>
      <c r="C4" s="1020" t="str">
        <f>IF(NOT(ISERROR(FIND("Off-Road",'General Overview'!C19))),"SUV","Car")</f>
        <v>Car</v>
      </c>
    </row>
    <row r="5" spans="1:24">
      <c r="A5" s="660" t="s">
        <v>2419</v>
      </c>
      <c r="B5" s="589" t="s">
        <v>2672</v>
      </c>
      <c r="C5" s="1069" t="s">
        <v>2808</v>
      </c>
      <c r="D5" s="589"/>
      <c r="F5" s="589"/>
      <c r="H5" s="589"/>
      <c r="J5" s="589"/>
      <c r="L5" s="589"/>
      <c r="N5" s="589"/>
      <c r="P5" s="589"/>
      <c r="R5" s="589"/>
      <c r="T5" s="589"/>
      <c r="V5" s="589"/>
      <c r="X5" s="589"/>
    </row>
    <row r="6" spans="1:24" ht="13.5" thickBot="1">
      <c r="B6" s="589" t="s">
        <v>2927</v>
      </c>
      <c r="C6" s="1187"/>
    </row>
    <row r="7" spans="1:24" ht="13.5" thickTop="1">
      <c r="B7" s="590" t="s">
        <v>972</v>
      </c>
      <c r="C7" s="567">
        <f>ROUND('OVERALL RATING'!D7+'OVERALL RATING'!D8,1)</f>
        <v>0</v>
      </c>
      <c r="D7" s="567"/>
      <c r="E7" s="567"/>
      <c r="F7" s="567"/>
    </row>
    <row r="8" spans="1:24">
      <c r="B8" s="591" t="s">
        <v>973</v>
      </c>
      <c r="C8" s="567">
        <f>SUM(C33,C43)</f>
        <v>16</v>
      </c>
      <c r="D8" s="567"/>
      <c r="E8" s="567"/>
      <c r="F8" s="567"/>
    </row>
    <row r="9" spans="1:24">
      <c r="B9" s="591" t="s">
        <v>974</v>
      </c>
      <c r="C9" s="620" t="str">
        <f>IF(C7/C8&gt;0.75,"Green",IF(C7/C8&gt;0.5,"Yellow",IF(C7/C8&gt;0.25,"Orange",IF(C7/C8&gt;0,"Brown","Red"))))</f>
        <v>Red</v>
      </c>
      <c r="D9" s="567"/>
      <c r="E9" s="567"/>
      <c r="F9" s="567"/>
    </row>
    <row r="10" spans="1:24">
      <c r="B10" s="591" t="s">
        <v>975</v>
      </c>
      <c r="C10" s="567">
        <f>ROUND('OVERALL RATING'!D9+'OVERALL RATING'!D10+'OVERALL RATING'!D11,1)</f>
        <v>0</v>
      </c>
      <c r="D10" s="567"/>
      <c r="E10" s="567"/>
      <c r="F10" s="567"/>
    </row>
    <row r="11" spans="1:24">
      <c r="B11" s="591" t="s">
        <v>976</v>
      </c>
      <c r="C11" s="567">
        <f>C59+C51+C69</f>
        <v>16</v>
      </c>
      <c r="D11" s="567"/>
      <c r="E11" s="567"/>
      <c r="F11" s="567"/>
    </row>
    <row r="12" spans="1:24">
      <c r="B12" s="591" t="s">
        <v>977</v>
      </c>
      <c r="C12" s="620" t="str">
        <f>IF(C10/C11&gt;0.75,"Green",IF(C10/C11&gt;0.5,"Yellow",IF(C10/C11&gt;0.25,"Orange",IF(C10/C11&gt;0,"Brown","Red"))))</f>
        <v>Red</v>
      </c>
      <c r="D12" s="567"/>
      <c r="E12" s="567"/>
      <c r="F12" s="567"/>
    </row>
    <row r="13" spans="1:24">
      <c r="B13" s="591" t="s">
        <v>978</v>
      </c>
      <c r="C13" s="567">
        <f>ROUND('OVERALL RATING'!D12,1)</f>
        <v>0</v>
      </c>
      <c r="D13" s="567"/>
      <c r="E13" s="567"/>
      <c r="F13" s="567"/>
    </row>
    <row r="14" spans="1:24">
      <c r="B14" s="591" t="s">
        <v>979</v>
      </c>
      <c r="C14" s="567">
        <f>C73</f>
        <v>4</v>
      </c>
      <c r="D14" s="567"/>
      <c r="E14" s="567"/>
      <c r="F14" s="567"/>
    </row>
    <row r="15" spans="1:24">
      <c r="B15" s="591" t="s">
        <v>980</v>
      </c>
      <c r="C15" s="620" t="str">
        <f>IF(C13/C14&gt;0.75,"Green",IF(C13/C14&gt;0.5,"Yellow",IF(C13/C14&gt;0.25,"Orange",IF(C13/C14&gt;0,"Brown","Red"))))</f>
        <v>Red</v>
      </c>
      <c r="D15" s="567"/>
      <c r="E15" s="567"/>
      <c r="F15" s="567"/>
    </row>
    <row r="16" spans="1:24">
      <c r="B16" s="591"/>
      <c r="C16" s="567"/>
      <c r="D16" s="567"/>
      <c r="E16" s="567"/>
      <c r="F16" s="567"/>
    </row>
    <row r="17" spans="2:26">
      <c r="B17" s="591"/>
      <c r="C17" s="567"/>
      <c r="D17" s="567"/>
      <c r="E17" s="567"/>
      <c r="F17" s="567"/>
    </row>
    <row r="18" spans="2:26">
      <c r="B18" s="591"/>
      <c r="C18" s="567"/>
      <c r="D18" s="567"/>
      <c r="E18" s="567"/>
      <c r="F18" s="567"/>
    </row>
    <row r="19" spans="2:26">
      <c r="B19" s="591"/>
      <c r="C19" s="567"/>
      <c r="D19" s="567"/>
      <c r="E19" s="567"/>
      <c r="F19" s="567"/>
      <c r="I19" s="594" t="s">
        <v>951</v>
      </c>
      <c r="R19" s="594" t="s">
        <v>2418</v>
      </c>
    </row>
    <row r="20" spans="2:26">
      <c r="B20" s="592"/>
      <c r="C20" s="567"/>
      <c r="D20" s="567"/>
      <c r="E20" s="567"/>
      <c r="F20" s="567"/>
      <c r="J20" s="653" t="str">
        <f>'AOP Frontal MPDB'!E121</f>
        <v>Enter X-deformation</v>
      </c>
      <c r="K20" t="s">
        <v>959</v>
      </c>
      <c r="L20" t="s">
        <v>960</v>
      </c>
      <c r="M20" t="s">
        <v>961</v>
      </c>
      <c r="N20" t="s">
        <v>962</v>
      </c>
      <c r="O20" t="s">
        <v>963</v>
      </c>
      <c r="P20" t="s">
        <v>964</v>
      </c>
      <c r="R20" s="653">
        <f>'AOP Frontal MPDB'!M137</f>
        <v>0</v>
      </c>
    </row>
    <row r="21" spans="2:26" ht="13.5" thickBot="1">
      <c r="B21" s="593" t="s">
        <v>809</v>
      </c>
      <c r="C21" s="567"/>
      <c r="D21" s="567" t="s">
        <v>49</v>
      </c>
      <c r="E21" s="567"/>
      <c r="F21" s="567" t="s">
        <v>55</v>
      </c>
      <c r="J21" s="586" t="s">
        <v>2417</v>
      </c>
      <c r="K21" s="652">
        <f>IF(6*CEILING(('AOP Frontal MPDB'!$N$143-'AOP Frontal MPDB'!$M$143+1)/6,1)-('AOP Frontal MPDB'!$N$143-'AOP Frontal MPDB'!$M$143+1)&gt;=1,FLOOR(('AOP Frontal MPDB'!$N$143-'AOP Frontal MPDB'!$M$143+1)/6,1),CEILING(('AOP Frontal MPDB'!$N$143-'AOP Frontal MPDB'!$M$143+1)/6,1))</f>
        <v>-2</v>
      </c>
      <c r="L21" s="652">
        <f>IF(6*CEILING(('AOP Frontal MPDB'!$N$143-'AOP Frontal MPDB'!$M$143+1)/6,1)-('AOP Frontal MPDB'!$N$143-'AOP Frontal MPDB'!$M$143+1)&gt;=3,FLOOR(('AOP Frontal MPDB'!$N$143-'AOP Frontal MPDB'!$M$143+1)/6,1),CEILING(('AOP Frontal MPDB'!$N$143-'AOP Frontal MPDB'!$M$143+1)/6,1))</f>
        <v>-2</v>
      </c>
      <c r="M21" s="652">
        <f>IF(6*CEILING(('AOP Frontal MPDB'!$N$143-'AOP Frontal MPDB'!$M$143+1)/6,1)-('AOP Frontal MPDB'!$N$143-'AOP Frontal MPDB'!$M$143+1)&gt;=5,FLOOR(('AOP Frontal MPDB'!$N$143-'AOP Frontal MPDB'!$M$143+1)/6,1),CEILING(('AOP Frontal MPDB'!$N$143-'AOP Frontal MPDB'!$M$143+1)/6,1))</f>
        <v>-1</v>
      </c>
      <c r="N21" s="652">
        <f>IF(6*CEILING(('AOP Frontal MPDB'!$N$143-'AOP Frontal MPDB'!$M$143+1)/6,1)-('AOP Frontal MPDB'!$N$143-'AOP Frontal MPDB'!$M$143+1)&gt;=6,FLOOR(('AOP Frontal MPDB'!$N$143-'AOP Frontal MPDB'!$M$143+1)/6,1),CEILING(('AOP Frontal MPDB'!$N$143-'AOP Frontal MPDB'!$M$143+1)/6,1))</f>
        <v>-1</v>
      </c>
      <c r="O21" s="652">
        <f>IF(6*CEILING(('AOP Frontal MPDB'!$N$143-'AOP Frontal MPDB'!$M$143+1)/6,1)-('AOP Frontal MPDB'!$N$143-'AOP Frontal MPDB'!$M$143+1)&gt;=4,FLOOR(('AOP Frontal MPDB'!$N$143-'AOP Frontal MPDB'!$M$143+1)/6,1),CEILING(('AOP Frontal MPDB'!$N$143-'AOP Frontal MPDB'!$M$143+1)/6,1))</f>
        <v>-2</v>
      </c>
      <c r="P21" s="652">
        <f>IF(6*CEILING(('AOP Frontal MPDB'!$N$143-'AOP Frontal MPDB'!$M$143+1)/6,1)-('AOP Frontal MPDB'!$N$143-'AOP Frontal MPDB'!$M$143+1)&gt;=2,FLOOR(('AOP Frontal MPDB'!$N$143-'AOP Frontal MPDB'!$M$143+1)/6,1),CEILING(('AOP Frontal MPDB'!$N$143-'AOP Frontal MPDB'!$M$143+1)/6,1))</f>
        <v>-2</v>
      </c>
      <c r="S21" t="s">
        <v>959</v>
      </c>
      <c r="T21" t="s">
        <v>960</v>
      </c>
      <c r="U21" t="s">
        <v>961</v>
      </c>
      <c r="V21" t="s">
        <v>962</v>
      </c>
      <c r="W21" t="s">
        <v>963</v>
      </c>
      <c r="X21" t="s">
        <v>964</v>
      </c>
    </row>
    <row r="22" spans="2:26">
      <c r="B22" s="592" t="s">
        <v>870</v>
      </c>
      <c r="C22" s="560" t="b">
        <f t="array" ref="C22">IF(OR(D22:D31="Red",D22:D31="Brown",D22:D31="Orange",F22:F30="Red",F22:F30="Brown",F22:F30="Orange"),TRUE,FALSE)</f>
        <v>1</v>
      </c>
      <c r="D22" s="620" t="str">
        <f>IF('AOP Frontal MPDB'!E24=4,"Green",IF('AOP Frontal MPDB'!E24&gt;=2.67,"Yellow",IF('AOP Frontal MPDB'!E24&gt;=1.33,"Orange",IF('AOP Frontal MPDB'!E24&gt;0,"Brown","Red"))))</f>
        <v>Red</v>
      </c>
      <c r="E22" s="567"/>
      <c r="F22" s="620" t="str">
        <f>IF('AOP Frontal MPDB'!G24=4,"Green",IF('AOP Frontal MPDB'!G24&gt;=2.67,"Yellow",IF('AOP Frontal MPDB'!G24&gt;=1.33,"Orange",IF('AOP Frontal MPDB'!G24&gt;0,"Brown","Red"))))</f>
        <v>Red</v>
      </c>
      <c r="I22" t="s">
        <v>952</v>
      </c>
      <c r="J22" s="586">
        <v>3</v>
      </c>
      <c r="K22" s="632">
        <f>IF(J20="Enter X-deformation",999,AVERAGEIFS('AOP Frontal MPDB'!$N$148:$N$1547,'AOP Frontal MPDB'!$L$148:$L$1547,"&gt;="&amp;'AOP Frontal MPDB'!$M$143,'AOP Frontal MPDB'!$L$148:$L$1547,"&lt;"&amp;'AOP Frontal MPDB'!$M$143+SUM($J$21:K$21),'AOP Frontal MPDB'!$K$148:$K$1547,"&lt;="&amp;'AOP Frontal MPDB'!$I$144,'AOP Frontal MPDB'!$K$148:$K$1547,"&gt;"&amp;'AOP Frontal MPDB'!$I$144-SUM($J$21:$J22)))</f>
        <v>999</v>
      </c>
      <c r="L22" s="633">
        <f>IF(J20="Enter X-deformation",999,AVERAGEIFS('AOP Frontal MPDB'!$N$148:$N$1547,'AOP Frontal MPDB'!$L$148:$L$1547,"&gt;="&amp;'AOP Frontal MPDB'!$M$143+K21,'AOP Frontal MPDB'!$L$148:$L$1547,"&lt;"&amp;'AOP Frontal MPDB'!$M$143+SUM($K$21:L21),'AOP Frontal MPDB'!$K$148:$K$1547,"&lt;="&amp;'AOP Frontal MPDB'!$I$144,'AOP Frontal MPDB'!$K$148:$K$1547,"&gt;"&amp;'AOP Frontal MPDB'!$I$144-4))</f>
        <v>999</v>
      </c>
      <c r="M22" s="633">
        <f>IF($J$20="Enter X-deformation",999,AVERAGEIFS('AOP Frontal MPDB'!$N$148:$N$1547,'AOP Frontal MPDB'!$L$148:$L$1547,"&gt;="&amp;'AOP Frontal MPDB'!$M$143+SUM($K$21:L21),'AOP Frontal MPDB'!$L$148:$L$1547,"&lt;"&amp;'AOP Frontal MPDB'!$M$143+SUM($K$21:M21),'AOP Frontal MPDB'!$K$148:$K$1547,"&lt;="&amp;'AOP Frontal MPDB'!$I$144,'AOP Frontal MPDB'!$K$148:$K$1547,"&gt;"&amp;'AOP Frontal MPDB'!$I$144-4))</f>
        <v>999</v>
      </c>
      <c r="N22" s="633">
        <f>IF($J$20="Enter X-deformation",999,AVERAGEIFS('AOP Frontal MPDB'!$N$148:$N$1547,'AOP Frontal MPDB'!$L$148:$L$1547,"&gt;="&amp;'AOP Frontal MPDB'!$M$143+SUM($K$21:M21),'AOP Frontal MPDB'!$L$148:$L$1547,"&lt;"&amp;'AOP Frontal MPDB'!$M$143+SUM($K$21:N21),'AOP Frontal MPDB'!$K$148:$K$1547,"&lt;="&amp;'AOP Frontal MPDB'!$I$144,'AOP Frontal MPDB'!$K$148:$K$1547,"&gt;"&amp;'AOP Frontal MPDB'!$I$144-4))</f>
        <v>999</v>
      </c>
      <c r="O22" s="633">
        <f>IF($J$20="Enter X-deformation",999,AVERAGEIFS('AOP Frontal MPDB'!$N$148:$N$1547,'AOP Frontal MPDB'!$L$148:$L$1547,"&gt;="&amp;'AOP Frontal MPDB'!$M$143+SUM($K$21:N21),'AOP Frontal MPDB'!$L$148:$L$1547,"&lt;"&amp;'AOP Frontal MPDB'!$M$143+SUM($K$21:O21),'AOP Frontal MPDB'!$K$148:$K$1547,"&lt;="&amp;'AOP Frontal MPDB'!$I$144,'AOP Frontal MPDB'!$K$148:$K$1547,"&gt;"&amp;'AOP Frontal MPDB'!$I$144-4))</f>
        <v>999</v>
      </c>
      <c r="P22" s="634">
        <f>IF($J$20="Enter X-deformation",999,AVERAGEIFS('AOP Frontal MPDB'!$N$148:$N$1547,'AOP Frontal MPDB'!$L$148:$L$1547,"&gt;="&amp;'AOP Frontal MPDB'!$M$143+SUM($K$21:O21),'AOP Frontal MPDB'!$L$148:$L$1547,"&lt;"&amp;'AOP Frontal MPDB'!$M$143+SUM($K$21:P21),'AOP Frontal MPDB'!$K$148:$K$1547,"&lt;="&amp;'AOP Frontal MPDB'!$I$144,'AOP Frontal MPDB'!$K$148:$K$1547,"&gt;"&amp;'AOP Frontal MPDB'!$I$144-4))</f>
        <v>999</v>
      </c>
      <c r="R22" t="s">
        <v>952</v>
      </c>
      <c r="S22" s="1020" t="str">
        <f t="shared" ref="S22:S28" si="0">IF($R$20="RHD",IF(K22&lt;160,"Green",IF(K22&lt;320,"Yellow",IF(K22&lt;480,"Orange",IF(K22&lt;630,"Brown","Red")))),IF(P22&lt;160,"Green",IF(P22&lt;320,"Yellow",IF(P22&lt;480,"Orange",IF(P22&lt;630,"Brown","Red")))))</f>
        <v>Red</v>
      </c>
      <c r="T22" s="1020" t="str">
        <f t="shared" ref="T22:T28" si="1">IF($R$20="RHD",IF(L22&lt;160,"Green",IF(L22&lt;320,"Yellow",IF(L22&lt;480,"Orange",IF(L22&lt;630,"Brown","Red")))),IF(O22&lt;160,"Green",IF(O22&lt;320,"Yellow",IF(O22&lt;480,"Orange",IF(O22&lt;630,"Brown","Red")))))</f>
        <v>Red</v>
      </c>
      <c r="U22" s="1020" t="str">
        <f t="shared" ref="U22:U28" si="2">IF($R$20="RHD",IF(M22&lt;160,"Green",IF(M22&lt;320,"Yellow",IF(M22&lt;480,"Orange",IF(M22&lt;630,"Brown","Red")))),IF(N22&lt;160,"Green",IF(N22&lt;320,"Yellow",IF(N22&lt;480,"Orange",IF(N22&lt;630,"Brown","Red")))))</f>
        <v>Red</v>
      </c>
      <c r="V22" s="1020" t="str">
        <f t="shared" ref="V22:V28" si="3">IF($R$20="RHD",IF(N22&lt;160,"Green",IF(N22&lt;320,"Yellow",IF(N22&lt;480,"Orange",IF(N22&lt;630,"Brown","Red")))),IF(M22&lt;160,"Green",IF(M22&lt;320,"Yellow",IF(M22&lt;480,"Orange",IF(M22&lt;630,"Brown","Red")))))</f>
        <v>Red</v>
      </c>
      <c r="W22" s="1020" t="str">
        <f t="shared" ref="W22:W28" si="4">IF($R$20="RHD",IF(O22&lt;160,"Green",IF(O22&lt;320,"Yellow",IF(O22&lt;480,"Orange",IF(O22&lt;630,"Brown","Red")))),IF(L22&lt;160,"Green",IF(L22&lt;320,"Yellow",IF(L22&lt;480,"Orange",IF(L22&lt;630,"Brown","Red")))))</f>
        <v>Red</v>
      </c>
      <c r="X22" s="1020" t="str">
        <f t="shared" ref="X22:X28" si="5">IF($R$20="RHD",IF(P22&lt;160,"Green",IF(P22&lt;320,"Yellow",IF(P22&lt;480,"Orange",IF(P22&lt;630,"Brown","Red")))),IF(K22&lt;160,"Green",IF(K22&lt;320,"Yellow",IF(K22&lt;480,"Orange",IF(K22&lt;630,"Brown","Red")))))</f>
        <v>Red</v>
      </c>
      <c r="Z22" s="594"/>
    </row>
    <row r="23" spans="2:26">
      <c r="B23" s="592" t="s">
        <v>871</v>
      </c>
      <c r="C23" s="560"/>
      <c r="D23" s="620" t="str">
        <f>IF('AOP Frontal MPDB'!E32=4,"Green",IF('AOP Frontal MPDB'!E32&gt;=2.67,"Yellow",IF('AOP Frontal MPDB'!E32&gt;=1.33,"Orange",IF('AOP Frontal MPDB'!E32&gt;0,"Brown","Red"))))</f>
        <v>Red</v>
      </c>
      <c r="E23" s="567"/>
      <c r="F23" s="620" t="str">
        <f>IF('AOP Frontal MPDB'!G32=4,"Green",IF('AOP Frontal MPDB'!G32&gt;=2.67,"Yellow",IF('AOP Frontal MPDB'!G32&gt;=1.33,"Orange",IF('AOP Frontal MPDB'!G32&gt;0,"Brown","Red"))))</f>
        <v>Red</v>
      </c>
      <c r="I23" t="s">
        <v>953</v>
      </c>
      <c r="J23" s="586">
        <v>3</v>
      </c>
      <c r="K23" s="635">
        <f>IF(J20="Enter X-deformation",999,AVERAGEIFS('AOP Frontal MPDB'!$N$148:$N$1547,'AOP Frontal MPDB'!$L$148:$L$1547,"&gt;="&amp;'AOP Frontal MPDB'!$M$143,'AOP Frontal MPDB'!$L$148:$L$1547,"&lt;"&amp;'AOP Frontal MPDB'!$M$143+SUM($J$21:K$21),'AOP Frontal MPDB'!$K$148:$K$1547,"&lt;="&amp;'AOP Frontal MPDB'!$I$144-SUM($J$21:$J22),'AOP Frontal MPDB'!$K$148:$K$1547,"&gt;"&amp;'AOP Frontal MPDB'!$I$144-SUM($J$21:$J23)))</f>
        <v>999</v>
      </c>
      <c r="L23" s="636">
        <f>IF(J20="Enter X-deformation",999,AVERAGEIFS('AOP Frontal MPDB'!$N$148:$N$1547,'AOP Frontal MPDB'!$L$148:$L$1547,"&gt;="&amp;'AOP Frontal MPDB'!$M$143+SUM($J$21:K$21),'AOP Frontal MPDB'!$L$148:$L$1547,"&lt;"&amp;'AOP Frontal MPDB'!$M$143+SUM($J$21:L$21),'AOP Frontal MPDB'!$K$148:$K$1547,"&lt;="&amp;'AOP Frontal MPDB'!$I$144-SUM($J$21:$J22),'AOP Frontal MPDB'!$K$148:$K$1547,"&gt;"&amp;'AOP Frontal MPDB'!$I$144-SUM($J$21:$J23)))</f>
        <v>999</v>
      </c>
      <c r="M23" s="636">
        <f>IF($J$20="Enter X-deformation",999,AVERAGEIFS('AOP Frontal MPDB'!$N$148:$N$1547,'AOP Frontal MPDB'!$L$148:$L$1547,"&gt;="&amp;'AOP Frontal MPDB'!$M$143+SUM($J$21:L$21),'AOP Frontal MPDB'!$L$148:$L$1547,"&lt;"&amp;'AOP Frontal MPDB'!$M$143+SUM($J$21:M$21),'AOP Frontal MPDB'!$K$148:$K$1547,"&lt;="&amp;'AOP Frontal MPDB'!$I$144-SUM($J$21:$J22),'AOP Frontal MPDB'!$K$148:$K$1547,"&gt;"&amp;'AOP Frontal MPDB'!$I$144-SUM($J$21:$J23)))</f>
        <v>999</v>
      </c>
      <c r="N23" s="636">
        <f>IF($J$20="Enter X-deformation",999,AVERAGEIFS('AOP Frontal MPDB'!$N$148:$N$1547,'AOP Frontal MPDB'!$L$148:$L$1547,"&gt;="&amp;'AOP Frontal MPDB'!$M$143+SUM($J$21:M$21),'AOP Frontal MPDB'!$L$148:$L$1547,"&lt;"&amp;'AOP Frontal MPDB'!$M$143+SUM($J$21:N$21),'AOP Frontal MPDB'!$K$148:$K$1547,"&lt;="&amp;'AOP Frontal MPDB'!$I$144-SUM($J$21:$J22),'AOP Frontal MPDB'!$K$148:$K$1547,"&gt;"&amp;'AOP Frontal MPDB'!$I$144-SUM($J$21:$J23)))</f>
        <v>999</v>
      </c>
      <c r="O23" s="636">
        <f>IF($J$20="Enter X-deformation",999,AVERAGEIFS('AOP Frontal MPDB'!$N$148:$N$1547,'AOP Frontal MPDB'!$L$148:$L$1547,"&gt;="&amp;'AOP Frontal MPDB'!$M$143+SUM($J$21:N$21),'AOP Frontal MPDB'!$L$148:$L$1547,"&lt;"&amp;'AOP Frontal MPDB'!$M$143+SUM($J$21:O$21),'AOP Frontal MPDB'!$K$148:$K$1547,"&lt;="&amp;'AOP Frontal MPDB'!$I$144-SUM($J$21:$J22),'AOP Frontal MPDB'!$K$148:$K$1547,"&gt;"&amp;'AOP Frontal MPDB'!$I$144-SUM($J$21:$J23)))</f>
        <v>999</v>
      </c>
      <c r="P23" s="637">
        <f>IF($J$20="Enter X-deformation",999,AVERAGEIFS('AOP Frontal MPDB'!$N$148:$N$1547,'AOP Frontal MPDB'!$L$148:$L$1547,"&gt;="&amp;'AOP Frontal MPDB'!$M$143+SUM($J$21:O$21),'AOP Frontal MPDB'!$L$148:$L$1547,"&lt;"&amp;'AOP Frontal MPDB'!$M$143+SUM($J$21:P$21),'AOP Frontal MPDB'!$K$148:$K$1547,"&lt;="&amp;'AOP Frontal MPDB'!$I$144-SUM($J$21:$J22),'AOP Frontal MPDB'!$K$148:$K$1547,"&gt;"&amp;'AOP Frontal MPDB'!$I$144-SUM($J$21:$J23)))</f>
        <v>999</v>
      </c>
      <c r="R23" t="s">
        <v>953</v>
      </c>
      <c r="S23" s="1020" t="str">
        <f t="shared" si="0"/>
        <v>Red</v>
      </c>
      <c r="T23" s="1020" t="str">
        <f t="shared" si="1"/>
        <v>Red</v>
      </c>
      <c r="U23" s="1020" t="str">
        <f t="shared" si="2"/>
        <v>Red</v>
      </c>
      <c r="V23" s="1020" t="str">
        <f t="shared" si="3"/>
        <v>Red</v>
      </c>
      <c r="W23" s="1020" t="str">
        <f t="shared" si="4"/>
        <v>Red</v>
      </c>
      <c r="X23" s="1020" t="str">
        <f t="shared" si="5"/>
        <v>Red</v>
      </c>
    </row>
    <row r="24" spans="2:26">
      <c r="B24" s="592" t="s">
        <v>872</v>
      </c>
      <c r="C24" s="560"/>
      <c r="D24" s="620" t="str">
        <f>IF('AOP Frontal MPDB'!E51=4,"Green",IF('AOP Frontal MPDB'!E51&gt;=2.67,"Yellow",IF('AOP Frontal MPDB'!E51&gt;=1.33,"Orange",IF('AOP Frontal MPDB'!E51&gt;0,"Brown","Red"))))</f>
        <v>Red</v>
      </c>
      <c r="E24" s="567"/>
      <c r="F24" s="620" t="str">
        <f>IF('AOP Frontal MPDB'!G51=4,"Green",IF('AOP Frontal MPDB'!G51&gt;=2.67,"Yellow",IF('AOP Frontal MPDB'!G51&gt;=1.33,"Orange",IF('AOP Frontal MPDB'!G51&gt;0,"Brown","Red"))))</f>
        <v>Red</v>
      </c>
      <c r="I24" t="s">
        <v>954</v>
      </c>
      <c r="J24" s="586">
        <v>3</v>
      </c>
      <c r="K24" s="635">
        <f>IF(J20="Enter X-deformation",999,AVERAGEIFS('AOP Frontal MPDB'!$N$148:$N$1547,'AOP Frontal MPDB'!$L$148:$L$1547,"&gt;="&amp;'AOP Frontal MPDB'!$M$143,'AOP Frontal MPDB'!$L$148:$L$1547,"&lt;"&amp;'AOP Frontal MPDB'!$M$143+SUM($J$21:K$21),'AOP Frontal MPDB'!$K$148:$K$1547,"&lt;="&amp;'AOP Frontal MPDB'!$I$144-SUM($J$21:$J23),'AOP Frontal MPDB'!$K$148:$K$1547,"&gt;"&amp;'AOP Frontal MPDB'!$I$144-SUM($J$21:$J24)))</f>
        <v>999</v>
      </c>
      <c r="L24" s="636">
        <f>IF(J20="Enter X-deformation",999,AVERAGEIFS('AOP Frontal MPDB'!$N$148:$N$1547,'AOP Frontal MPDB'!$L$148:$L$1547,"&gt;="&amp;'AOP Frontal MPDB'!$M$143+SUM($J$21:K$21),'AOP Frontal MPDB'!$L$148:$L$1547,"&lt;"&amp;'AOP Frontal MPDB'!$M$143+SUM($J$21:L$21),'AOP Frontal MPDB'!$K$148:$K$1547,"&lt;="&amp;'AOP Frontal MPDB'!$I$144-SUM($J$21:$J23),'AOP Frontal MPDB'!$K$148:$K$1547,"&gt;"&amp;'AOP Frontal MPDB'!$I$144-SUM($J$21:$J24)))</f>
        <v>999</v>
      </c>
      <c r="M24" s="636">
        <f>IF($J$20="Enter X-deformation",999,AVERAGEIFS('AOP Frontal MPDB'!$N$148:$N$1547,'AOP Frontal MPDB'!$L$148:$L$1547,"&gt;="&amp;'AOP Frontal MPDB'!$M$143+SUM($J$21:L$21),'AOP Frontal MPDB'!$L$148:$L$1547,"&lt;"&amp;'AOP Frontal MPDB'!$M$143+SUM($J$21:M$21),'AOP Frontal MPDB'!$K$148:$K$1547,"&lt;="&amp;'AOP Frontal MPDB'!$I$144-SUM($J$21:$J23),'AOP Frontal MPDB'!$K$148:$K$1547,"&gt;"&amp;'AOP Frontal MPDB'!$I$144-SUM($J$21:$J24)))</f>
        <v>999</v>
      </c>
      <c r="N24" s="636">
        <f>IF($J$20="Enter X-deformation",999,AVERAGEIFS('AOP Frontal MPDB'!$N$148:$N$1547,'AOP Frontal MPDB'!$L$148:$L$1547,"&gt;="&amp;'AOP Frontal MPDB'!$M$143+SUM($J$21:M$21),'AOP Frontal MPDB'!$L$148:$L$1547,"&lt;"&amp;'AOP Frontal MPDB'!$M$143+SUM($J$21:N$21),'AOP Frontal MPDB'!$K$148:$K$1547,"&lt;="&amp;'AOP Frontal MPDB'!$I$144-SUM($J$21:$J23),'AOP Frontal MPDB'!$K$148:$K$1547,"&gt;"&amp;'AOP Frontal MPDB'!$I$144-SUM($J$21:$J24)))</f>
        <v>999</v>
      </c>
      <c r="O24" s="636">
        <f>IF($J$20="Enter X-deformation",999,AVERAGEIFS('AOP Frontal MPDB'!$N$148:$N$1547,'AOP Frontal MPDB'!$L$148:$L$1547,"&gt;="&amp;'AOP Frontal MPDB'!$M$143+SUM($J$21:N$21),'AOP Frontal MPDB'!$L$148:$L$1547,"&lt;"&amp;'AOP Frontal MPDB'!$M$143+SUM($J$21:O$21),'AOP Frontal MPDB'!$K$148:$K$1547,"&lt;="&amp;'AOP Frontal MPDB'!$I$144-SUM($J$21:$J23),'AOP Frontal MPDB'!$K$148:$K$1547,"&gt;"&amp;'AOP Frontal MPDB'!$I$144-SUM($J$21:$J24)))</f>
        <v>999</v>
      </c>
      <c r="P24" s="637">
        <f>IF($J$20="Enter X-deformation",999,AVERAGEIFS('AOP Frontal MPDB'!$N$148:$N$1547,'AOP Frontal MPDB'!$L$148:$L$1547,"&gt;="&amp;'AOP Frontal MPDB'!$M$143+SUM($J$21:O$21),'AOP Frontal MPDB'!$L$148:$L$1547,"&lt;"&amp;'AOP Frontal MPDB'!$M$143+SUM($J$21:P$21),'AOP Frontal MPDB'!$K$148:$K$1547,"&lt;="&amp;'AOP Frontal MPDB'!$I$144-SUM($J$21:$J23),'AOP Frontal MPDB'!$K$148:$K$1547,"&gt;"&amp;'AOP Frontal MPDB'!$I$144-SUM($J$21:$J24)))</f>
        <v>999</v>
      </c>
      <c r="R24" t="s">
        <v>954</v>
      </c>
      <c r="S24" s="1020" t="str">
        <f t="shared" si="0"/>
        <v>Red</v>
      </c>
      <c r="T24" s="1020" t="str">
        <f t="shared" si="1"/>
        <v>Red</v>
      </c>
      <c r="U24" s="1020" t="str">
        <f t="shared" si="2"/>
        <v>Red</v>
      </c>
      <c r="V24" s="1020" t="str">
        <f t="shared" si="3"/>
        <v>Red</v>
      </c>
      <c r="W24" s="1020" t="str">
        <f t="shared" si="4"/>
        <v>Red</v>
      </c>
      <c r="X24" s="1020" t="str">
        <f t="shared" si="5"/>
        <v>Red</v>
      </c>
    </row>
    <row r="25" spans="2:26">
      <c r="B25" s="592" t="s">
        <v>409</v>
      </c>
      <c r="C25" s="567"/>
      <c r="D25" s="620" t="str">
        <f>IF('AOP Frontal MPDB'!E55=4,"Green",IF('AOP Frontal MPDB'!E55&gt;=2.67,"Yellow",IF('AOP Frontal MPDB'!E55&gt;=1.33,"Orange",IF('AOP Frontal MPDB'!E55&gt;0,"Brown","Red"))))</f>
        <v>Red</v>
      </c>
      <c r="E25" s="567"/>
      <c r="F25" s="567"/>
      <c r="I25" t="s">
        <v>955</v>
      </c>
      <c r="J25" s="586">
        <v>2</v>
      </c>
      <c r="K25" s="635">
        <f>IF(J20="Enter X-deformation",999,AVERAGEIFS('AOP Frontal MPDB'!$N$148:$N$1547,'AOP Frontal MPDB'!$L$148:$L$1547,"&gt;="&amp;'AOP Frontal MPDB'!$M$143,'AOP Frontal MPDB'!$L$148:$L$1547,"&lt;"&amp;'AOP Frontal MPDB'!$M$143+SUM($J$21:K$21),'AOP Frontal MPDB'!$K$148:$K$1547,"&lt;="&amp;'AOP Frontal MPDB'!$I$144-SUM($J$21:$J24),'AOP Frontal MPDB'!$K$148:$K$1547,"&gt;"&amp;'AOP Frontal MPDB'!$I$144-SUM($J$21:$J25)))</f>
        <v>999</v>
      </c>
      <c r="L25" s="636">
        <f>IF(J20="Enter X-deformation",999,AVERAGEIFS('AOP Frontal MPDB'!$N$148:$N$1547,'AOP Frontal MPDB'!$L$148:$L$1547,"&gt;="&amp;'AOP Frontal MPDB'!$M$143+SUM($J$21:K$21),'AOP Frontal MPDB'!$L$148:$L$1547,"&lt;"&amp;'AOP Frontal MPDB'!$M$143+SUM($J$21:L$21),'AOP Frontal MPDB'!$K$148:$K$1547,"&lt;="&amp;'AOP Frontal MPDB'!$I$144-SUM($J$21:$J24),'AOP Frontal MPDB'!$K$148:$K$1547,"&gt;"&amp;'AOP Frontal MPDB'!$I$144-SUM($J$21:$J25)))</f>
        <v>999</v>
      </c>
      <c r="M25" s="636">
        <f>IF($J$20="Enter X-deformation",999,AVERAGEIFS('AOP Frontal MPDB'!$N$148:$N$1547,'AOP Frontal MPDB'!$L$148:$L$1547,"&gt;="&amp;'AOP Frontal MPDB'!$M$143+SUM($J$21:L$21),'AOP Frontal MPDB'!$L$148:$L$1547,"&lt;"&amp;'AOP Frontal MPDB'!$M$143+SUM($J$21:M$21),'AOP Frontal MPDB'!$K$148:$K$1547,"&lt;="&amp;'AOP Frontal MPDB'!$I$144-SUM($J$21:$J24),'AOP Frontal MPDB'!$K$148:$K$1547,"&gt;"&amp;'AOP Frontal MPDB'!$I$144-SUM($J$21:$J25)))</f>
        <v>999</v>
      </c>
      <c r="N25" s="636">
        <f>IF($J$20="Enter X-deformation",999,AVERAGEIFS('AOP Frontal MPDB'!$N$148:$N$1547,'AOP Frontal MPDB'!$L$148:$L$1547,"&gt;="&amp;'AOP Frontal MPDB'!$M$143+SUM($J$21:M$21),'AOP Frontal MPDB'!$L$148:$L$1547,"&lt;"&amp;'AOP Frontal MPDB'!$M$143+SUM($J$21:N$21),'AOP Frontal MPDB'!$K$148:$K$1547,"&lt;="&amp;'AOP Frontal MPDB'!$I$144-SUM($J$21:$J24),'AOP Frontal MPDB'!$K$148:$K$1547,"&gt;"&amp;'AOP Frontal MPDB'!$I$144-SUM($J$21:$J25)))</f>
        <v>999</v>
      </c>
      <c r="O25" s="636">
        <f>IF($J$20="Enter X-deformation",999,AVERAGEIFS('AOP Frontal MPDB'!$N$148:$N$1547,'AOP Frontal MPDB'!$L$148:$L$1547,"&gt;="&amp;'AOP Frontal MPDB'!$M$143+SUM($J$21:N$21),'AOP Frontal MPDB'!$L$148:$L$1547,"&lt;"&amp;'AOP Frontal MPDB'!$M$143+SUM($J$21:O$21),'AOP Frontal MPDB'!$K$148:$K$1547,"&lt;="&amp;'AOP Frontal MPDB'!$I$144-SUM($J$21:$J24),'AOP Frontal MPDB'!$K$148:$K$1547,"&gt;"&amp;'AOP Frontal MPDB'!$I$144-SUM($J$21:$J25)))</f>
        <v>999</v>
      </c>
      <c r="P25" s="637">
        <f>IF($J$20="Enter X-deformation",999,AVERAGEIFS('AOP Frontal MPDB'!$N$148:$N$1547,'AOP Frontal MPDB'!$L$148:$L$1547,"&gt;="&amp;'AOP Frontal MPDB'!$M$143+SUM($J$21:O$21),'AOP Frontal MPDB'!$L$148:$L$1547,"&lt;"&amp;'AOP Frontal MPDB'!$M$143+SUM($J$21:P$21),'AOP Frontal MPDB'!$K$148:$K$1547,"&lt;="&amp;'AOP Frontal MPDB'!$I$144-SUM($J$21:$J24),'AOP Frontal MPDB'!$K$148:$K$1547,"&gt;"&amp;'AOP Frontal MPDB'!$I$144-SUM($J$21:$J25)))</f>
        <v>999</v>
      </c>
      <c r="R25" t="s">
        <v>955</v>
      </c>
      <c r="S25" s="1020" t="str">
        <f t="shared" si="0"/>
        <v>Red</v>
      </c>
      <c r="T25" s="1020" t="str">
        <f t="shared" si="1"/>
        <v>Red</v>
      </c>
      <c r="U25" s="1020" t="str">
        <f t="shared" si="2"/>
        <v>Red</v>
      </c>
      <c r="V25" s="1020" t="str">
        <f t="shared" si="3"/>
        <v>Red</v>
      </c>
      <c r="W25" s="1020" t="str">
        <f t="shared" si="4"/>
        <v>Red</v>
      </c>
      <c r="X25" s="1020" t="str">
        <f t="shared" si="5"/>
        <v>Red</v>
      </c>
    </row>
    <row r="26" spans="2:26">
      <c r="B26" s="592" t="s">
        <v>393</v>
      </c>
      <c r="C26" s="567"/>
      <c r="D26" s="620" t="str">
        <f>IF('AOP Frontal MPDB'!E77=4,"Green",IF('AOP Frontal MPDB'!E77&gt;=2.67,"Yellow",IF('AOP Frontal MPDB'!E77&gt;=1.33,"Orange",IF('AOP Frontal MPDB'!E77&gt;0,"Brown","Red"))))</f>
        <v>Red</v>
      </c>
      <c r="E26" s="567"/>
      <c r="F26" s="567"/>
      <c r="I26" t="s">
        <v>956</v>
      </c>
      <c r="J26" s="586">
        <v>3</v>
      </c>
      <c r="K26" s="635">
        <f>IF(J20="Enter X-deformation",999,AVERAGEIFS('AOP Frontal MPDB'!$N$148:$N$1547,'AOP Frontal MPDB'!$L$148:$L$1547,"&gt;="&amp;'AOP Frontal MPDB'!$M$143,'AOP Frontal MPDB'!$L$148:$L$1547,"&lt;"&amp;'AOP Frontal MPDB'!$M$143+SUM($J$21:K$21),'AOP Frontal MPDB'!$K$148:$K$1547,"&lt;="&amp;'AOP Frontal MPDB'!$I$144-SUM($J$21:$J25),'AOP Frontal MPDB'!$K$148:$K$1547,"&gt;"&amp;'AOP Frontal MPDB'!$I$144-SUM($J$21:$J26)))</f>
        <v>999</v>
      </c>
      <c r="L26" s="636">
        <f>IF(J20="Enter X-deformation",999,AVERAGEIFS('AOP Frontal MPDB'!$N$148:$N$1547,'AOP Frontal MPDB'!$L$148:$L$1547,"&gt;="&amp;'AOP Frontal MPDB'!$M$143+SUM($J$21:K$21),'AOP Frontal MPDB'!$L$148:$L$1547,"&lt;"&amp;'AOP Frontal MPDB'!$M$143+SUM($J$21:L$21),'AOP Frontal MPDB'!$K$148:$K$1547,"&lt;="&amp;'AOP Frontal MPDB'!$I$144-SUM($J$21:$J25),'AOP Frontal MPDB'!$K$148:$K$1547,"&gt;"&amp;'AOP Frontal MPDB'!$I$144-SUM($J$21:$J26)))</f>
        <v>999</v>
      </c>
      <c r="M26" s="636">
        <f>IF($J$20="Enter X-deformation",999,AVERAGEIFS('AOP Frontal MPDB'!$N$148:$N$1547,'AOP Frontal MPDB'!$L$148:$L$1547,"&gt;="&amp;'AOP Frontal MPDB'!$M$143+SUM($J$21:L$21),'AOP Frontal MPDB'!$L$148:$L$1547,"&lt;"&amp;'AOP Frontal MPDB'!$M$143+SUM($J$21:M$21),'AOP Frontal MPDB'!$K$148:$K$1547,"&lt;="&amp;'AOP Frontal MPDB'!$I$144-SUM($J$21:$J25),'AOP Frontal MPDB'!$K$148:$K$1547,"&gt;"&amp;'AOP Frontal MPDB'!$I$144-SUM($J$21:$J26)))</f>
        <v>999</v>
      </c>
      <c r="N26" s="636">
        <f>IF($J$20="Enter X-deformation",999,AVERAGEIFS('AOP Frontal MPDB'!$N$148:$N$1547,'AOP Frontal MPDB'!$L$148:$L$1547,"&gt;="&amp;'AOP Frontal MPDB'!$M$143+SUM($J$21:M$21),'AOP Frontal MPDB'!$L$148:$L$1547,"&lt;"&amp;'AOP Frontal MPDB'!$M$143+SUM($J$21:N$21),'AOP Frontal MPDB'!$K$148:$K$1547,"&lt;="&amp;'AOP Frontal MPDB'!$I$144-SUM($J$21:$J25),'AOP Frontal MPDB'!$K$148:$K$1547,"&gt;"&amp;'AOP Frontal MPDB'!$I$144-SUM($J$21:$J26)))</f>
        <v>999</v>
      </c>
      <c r="O26" s="636">
        <f>IF($J$20="Enter X-deformation",999,AVERAGEIFS('AOP Frontal MPDB'!$N$148:$N$1547,'AOP Frontal MPDB'!$L$148:$L$1547,"&gt;="&amp;'AOP Frontal MPDB'!$M$143+SUM($J$21:N$21),'AOP Frontal MPDB'!$L$148:$L$1547,"&lt;"&amp;'AOP Frontal MPDB'!$M$143+SUM($J$21:O$21),'AOP Frontal MPDB'!$K$148:$K$1547,"&lt;="&amp;'AOP Frontal MPDB'!$I$144-SUM($J$21:$J25),'AOP Frontal MPDB'!$K$148:$K$1547,"&gt;"&amp;'AOP Frontal MPDB'!$I$144-SUM($J$21:$J26)))</f>
        <v>999</v>
      </c>
      <c r="P26" s="637">
        <f>IF($J$20="Enter X-deformation",999,AVERAGEIFS('AOP Frontal MPDB'!$N$148:$N$1547,'AOP Frontal MPDB'!$L$148:$L$1547,"&gt;="&amp;'AOP Frontal MPDB'!$M$143+SUM($J$21:O$21),'AOP Frontal MPDB'!$L$148:$L$1547,"&lt;"&amp;'AOP Frontal MPDB'!$M$143+SUM($J$21:P$21),'AOP Frontal MPDB'!$K$148:$K$1547,"&lt;="&amp;'AOP Frontal MPDB'!$I$144-SUM($J$21:$J25),'AOP Frontal MPDB'!$K$148:$K$1547,"&gt;"&amp;'AOP Frontal MPDB'!$I$144-SUM($J$21:$J26)))</f>
        <v>999</v>
      </c>
      <c r="R26" t="s">
        <v>956</v>
      </c>
      <c r="S26" s="1020" t="str">
        <f t="shared" si="0"/>
        <v>Red</v>
      </c>
      <c r="T26" s="1020" t="str">
        <f t="shared" si="1"/>
        <v>Red</v>
      </c>
      <c r="U26" s="1020" t="str">
        <f t="shared" si="2"/>
        <v>Red</v>
      </c>
      <c r="V26" s="1020" t="str">
        <f t="shared" si="3"/>
        <v>Red</v>
      </c>
      <c r="W26" s="1020" t="str">
        <f t="shared" si="4"/>
        <v>Red</v>
      </c>
      <c r="X26" s="1020" t="str">
        <f t="shared" si="5"/>
        <v>Red</v>
      </c>
    </row>
    <row r="27" spans="2:26">
      <c r="B27" s="592" t="s">
        <v>873</v>
      </c>
      <c r="C27" s="567"/>
      <c r="D27" s="620" t="str">
        <f>IF('AOP Frontal MPDB'!E66=4,"Green",IF('AOP Frontal MPDB'!E66&gt;=2.67,"Yellow",IF('AOP Frontal MPDB'!E66&gt;=1.33,"Orange",IF('AOP Frontal MPDB'!E66&gt;0,"Brown","Red"))))</f>
        <v>Red</v>
      </c>
      <c r="E27" s="567"/>
      <c r="F27" s="620" t="str">
        <f>IF('AOP Frontal MPDB'!G66=4,"Green",IF('AOP Frontal MPDB'!G66&gt;=2.67,"Yellow",IF('AOP Frontal MPDB'!G66&gt;=1.33,"Orange",IF('AOP Frontal MPDB'!G66&gt;0,"Brown","Red"))))</f>
        <v>Red</v>
      </c>
      <c r="I27" t="s">
        <v>957</v>
      </c>
      <c r="J27" s="586">
        <v>3</v>
      </c>
      <c r="K27" s="635">
        <f>IF(J20="Enter X-deformation",999,AVERAGEIFS('AOP Frontal MPDB'!$N$148:$N$1547,'AOP Frontal MPDB'!$L$148:$L$1547,"&gt;="&amp;'AOP Frontal MPDB'!$M$143,'AOP Frontal MPDB'!$L$148:$L$1547,"&lt;"&amp;'AOP Frontal MPDB'!$M$143+SUM($J$21:K$21),'AOP Frontal MPDB'!$K$148:$K$1547,"&lt;="&amp;'AOP Frontal MPDB'!$I$144-SUM($J$21:$J26),'AOP Frontal MPDB'!$K$148:$K$1547,"&gt;"&amp;'AOP Frontal MPDB'!$I$144-SUM($J$21:$J27)))</f>
        <v>999</v>
      </c>
      <c r="L27" s="636">
        <f>IF(J20="Enter X-deformation",999,AVERAGEIFS('AOP Frontal MPDB'!$N$148:$N$1547,'AOP Frontal MPDB'!$L$148:$L$1547,"&gt;="&amp;'AOP Frontal MPDB'!$M$143+SUM($J$21:K$21),'AOP Frontal MPDB'!$L$148:$L$1547,"&lt;"&amp;'AOP Frontal MPDB'!$M$143+SUM($J$21:L$21),'AOP Frontal MPDB'!$K$148:$K$1547,"&lt;="&amp;'AOP Frontal MPDB'!$I$144-SUM($J$21:$J26),'AOP Frontal MPDB'!$K$148:$K$1547,"&gt;"&amp;'AOP Frontal MPDB'!$I$144-SUM($J$21:$J27)))</f>
        <v>999</v>
      </c>
      <c r="M27" s="636">
        <f>IF($J$20="Enter X-deformation",999,AVERAGEIFS('AOP Frontal MPDB'!$N$148:$N$1547,'AOP Frontal MPDB'!$L$148:$L$1547,"&gt;="&amp;'AOP Frontal MPDB'!$M$143+SUM($J$21:L$21),'AOP Frontal MPDB'!$L$148:$L$1547,"&lt;"&amp;'AOP Frontal MPDB'!$M$143+SUM($J$21:M$21),'AOP Frontal MPDB'!$K$148:$K$1547,"&lt;="&amp;'AOP Frontal MPDB'!$I$144-SUM($J$21:$J26),'AOP Frontal MPDB'!$K$148:$K$1547,"&gt;"&amp;'AOP Frontal MPDB'!$I$144-SUM($J$21:$J27)))</f>
        <v>999</v>
      </c>
      <c r="N27" s="636">
        <f>IF($J$20="Enter X-deformation",999,AVERAGEIFS('AOP Frontal MPDB'!$N$148:$N$1547,'AOP Frontal MPDB'!$L$148:$L$1547,"&gt;="&amp;'AOP Frontal MPDB'!$M$143+SUM($J$21:M$21),'AOP Frontal MPDB'!$L$148:$L$1547,"&lt;"&amp;'AOP Frontal MPDB'!$M$143+SUM($J$21:N$21),'AOP Frontal MPDB'!$K$148:$K$1547,"&lt;="&amp;'AOP Frontal MPDB'!$I$144-SUM($J$21:$J26),'AOP Frontal MPDB'!$K$148:$K$1547,"&gt;"&amp;'AOP Frontal MPDB'!$I$144-SUM($J$21:$J27)))</f>
        <v>999</v>
      </c>
      <c r="O27" s="636">
        <f>IF($J$20="Enter X-deformation",999,AVERAGEIFS('AOP Frontal MPDB'!$N$148:$N$1547,'AOP Frontal MPDB'!$L$148:$L$1547,"&gt;="&amp;'AOP Frontal MPDB'!$M$143+SUM($J$21:N$21),'AOP Frontal MPDB'!$L$148:$L$1547,"&lt;"&amp;'AOP Frontal MPDB'!$M$143+SUM($J$21:O$21),'AOP Frontal MPDB'!$K$148:$K$1547,"&lt;="&amp;'AOP Frontal MPDB'!$I$144-SUM($J$21:$J26),'AOP Frontal MPDB'!$K$148:$K$1547,"&gt;"&amp;'AOP Frontal MPDB'!$I$144-SUM($J$21:$J27)))</f>
        <v>999</v>
      </c>
      <c r="P27" s="637">
        <f>IF($J$20="Enter X-deformation",999,AVERAGEIFS('AOP Frontal MPDB'!$N$148:$N$1547,'AOP Frontal MPDB'!$L$148:$L$1547,"&gt;="&amp;'AOP Frontal MPDB'!$M$143+SUM($J$21:O$21),'AOP Frontal MPDB'!$L$148:$L$1547,"&lt;"&amp;'AOP Frontal MPDB'!$M$143+SUM($J$21:P$21),'AOP Frontal MPDB'!$K$148:$K$1547,"&lt;="&amp;'AOP Frontal MPDB'!$I$144-SUM($J$21:$J26),'AOP Frontal MPDB'!$K$148:$K$1547,"&gt;"&amp;'AOP Frontal MPDB'!$I$144-SUM($J$21:$J27)))</f>
        <v>999</v>
      </c>
      <c r="R27" t="s">
        <v>957</v>
      </c>
      <c r="S27" s="1020" t="str">
        <f t="shared" si="0"/>
        <v>Red</v>
      </c>
      <c r="T27" s="1020" t="str">
        <f t="shared" si="1"/>
        <v>Red</v>
      </c>
      <c r="U27" s="1020" t="str">
        <f t="shared" si="2"/>
        <v>Red</v>
      </c>
      <c r="V27" s="1020" t="str">
        <f t="shared" si="3"/>
        <v>Red</v>
      </c>
      <c r="W27" s="1020" t="str">
        <f t="shared" si="4"/>
        <v>Red</v>
      </c>
      <c r="X27" s="1020" t="str">
        <f t="shared" si="5"/>
        <v>Red</v>
      </c>
    </row>
    <row r="28" spans="2:26" ht="13.5" thickBot="1">
      <c r="B28" s="592" t="s">
        <v>874</v>
      </c>
      <c r="C28" s="567" t="str">
        <f>IF(ABS('AOP Frontal MPDB'!D127)&lt;2,"benign",IF(ABS('AOP Frontal MPDB'!D127)&lt;4,"moderately benign",IF(ABS('AOP Frontal MPDB'!D127)&lt;6,"somewhat aggressive",IF(ABS('AOP Frontal MPDB'!D127)&lt;=8,"aggressive",""))))</f>
        <v>benign</v>
      </c>
      <c r="D28" s="620" t="str">
        <f>IF('AOP Frontal MPDB'!E73=4,"Green",IF('AOP Frontal MPDB'!E73&gt;=2.67,"Yellow",IF('AOP Frontal MPDB'!E73&gt;=1.33,"Orange",IF('AOP Frontal MPDB'!E73&gt;0,"Brown","Red"))))</f>
        <v>Red</v>
      </c>
      <c r="E28" s="567"/>
      <c r="F28" s="620" t="str">
        <f>IF('AOP Frontal MPDB'!G73=4,"Green",IF('AOP Frontal MPDB'!G73&gt;=2.67,"Yellow",IF('AOP Frontal MPDB'!G73&gt;=1.33,"Orange",IF('AOP Frontal MPDB'!G73&gt;0,"Brown","Red"))))</f>
        <v>Red</v>
      </c>
      <c r="I28" t="s">
        <v>958</v>
      </c>
      <c r="J28" s="217">
        <v>3</v>
      </c>
      <c r="K28" s="638">
        <f>IF(J20="Enter X-deformation",999,AVERAGEIFS('AOP Frontal MPDB'!$N$148:$N$1547,'AOP Frontal MPDB'!$L$148:$L$1547,"&gt;="&amp;'AOP Frontal MPDB'!$M$143,'AOP Frontal MPDB'!$L$148:$L$1547,"&lt;"&amp;'AOP Frontal MPDB'!$M$143+SUM($J$21:K$21),'AOP Frontal MPDB'!$K$148:$K$1547,"&lt;="&amp;'AOP Frontal MPDB'!$I$144-SUM($J$21:$J27),'AOP Frontal MPDB'!$K$148:$K$1547,"&gt;"&amp;'AOP Frontal MPDB'!$I$144-SUM($J$21:$J28)))</f>
        <v>999</v>
      </c>
      <c r="L28" s="639">
        <f>IF(J20="Enter X-deformation",999,AVERAGEIFS('AOP Frontal MPDB'!$N$148:$N$1547,'AOP Frontal MPDB'!$L$148:$L$1547,"&gt;="&amp;'AOP Frontal MPDB'!$M$143+SUM($J$21:K$21),'AOP Frontal MPDB'!$L$148:$L$1547,"&lt;"&amp;'AOP Frontal MPDB'!$M$143+SUM($J$21:L$21),'AOP Frontal MPDB'!$K$148:$K$1547,"&lt;="&amp;'AOP Frontal MPDB'!$I$144-SUM($J$21:$J27),'AOP Frontal MPDB'!$K$148:$K$1547,"&gt;"&amp;'AOP Frontal MPDB'!$I$144-SUM($J$21:$J28)))</f>
        <v>999</v>
      </c>
      <c r="M28" s="639">
        <f>IF($J$20="Enter X-deformation",999,AVERAGEIFS('AOP Frontal MPDB'!$N$148:$N$1547,'AOP Frontal MPDB'!$L$148:$L$1547,"&gt;="&amp;'AOP Frontal MPDB'!$M$143+SUM($J$21:L$21),'AOP Frontal MPDB'!$L$148:$L$1547,"&lt;"&amp;'AOP Frontal MPDB'!$M$143+SUM($J$21:M$21),'AOP Frontal MPDB'!$K$148:$K$1547,"&lt;="&amp;'AOP Frontal MPDB'!$I$144-SUM($J$21:$J27),'AOP Frontal MPDB'!$K$148:$K$1547,"&gt;"&amp;'AOP Frontal MPDB'!$I$144-SUM($J$21:$J28)))</f>
        <v>999</v>
      </c>
      <c r="N28" s="639">
        <f>IF($J$20="Enter X-deformation",999,AVERAGEIFS('AOP Frontal MPDB'!$N$148:$N$1547,'AOP Frontal MPDB'!$L$148:$L$1547,"&gt;="&amp;'AOP Frontal MPDB'!$M$143+SUM($J$21:M$21),'AOP Frontal MPDB'!$L$148:$L$1547,"&lt;"&amp;'AOP Frontal MPDB'!$M$143+SUM($J$21:N$21),'AOP Frontal MPDB'!$K$148:$K$1547,"&lt;="&amp;'AOP Frontal MPDB'!$I$144-SUM($J$21:$J27),'AOP Frontal MPDB'!$K$148:$K$1547,"&gt;"&amp;'AOP Frontal MPDB'!$I$144-SUM($J$21:$J28)))</f>
        <v>999</v>
      </c>
      <c r="O28" s="639">
        <f>IF($J$20="Enter X-deformation",999,AVERAGEIFS('AOP Frontal MPDB'!$N$148:$N$1547,'AOP Frontal MPDB'!$L$148:$L$1547,"&gt;="&amp;'AOP Frontal MPDB'!$M$143+SUM($J$21:N$21),'AOP Frontal MPDB'!$L$148:$L$1547,"&lt;"&amp;'AOP Frontal MPDB'!$M$143+SUM($J$21:O$21),'AOP Frontal MPDB'!$K$148:$K$1547,"&lt;="&amp;'AOP Frontal MPDB'!$I$144-SUM($J$21:$J27),'AOP Frontal MPDB'!$K$148:$K$1547,"&gt;"&amp;'AOP Frontal MPDB'!$I$144-SUM($J$21:$J28)))</f>
        <v>999</v>
      </c>
      <c r="P28" s="640">
        <f>IF($J$20="Enter X-deformation",999,AVERAGEIFS('AOP Frontal MPDB'!$N$148:$N$1547,'AOP Frontal MPDB'!$L$148:$L$1547,"&gt;="&amp;'AOP Frontal MPDB'!$M$143+SUM($J$21:O$21),'AOP Frontal MPDB'!$L$148:$L$1547,"&lt;"&amp;'AOP Frontal MPDB'!$M$143+SUM($J$21:P$21),'AOP Frontal MPDB'!$K$148:$K$1547,"&lt;="&amp;'AOP Frontal MPDB'!$I$144-SUM($J$21:$J27),'AOP Frontal MPDB'!$K$148:$K$1547,"&gt;"&amp;'AOP Frontal MPDB'!$I$144-SUM($J$21:$J28)))</f>
        <v>999</v>
      </c>
      <c r="R28" t="s">
        <v>958</v>
      </c>
      <c r="S28" s="1020" t="str">
        <f t="shared" si="0"/>
        <v>Red</v>
      </c>
      <c r="T28" s="1020" t="str">
        <f t="shared" si="1"/>
        <v>Red</v>
      </c>
      <c r="U28" s="1020" t="str">
        <f t="shared" si="2"/>
        <v>Red</v>
      </c>
      <c r="V28" s="1020" t="str">
        <f t="shared" si="3"/>
        <v>Red</v>
      </c>
      <c r="W28" s="1020" t="str">
        <f t="shared" si="4"/>
        <v>Red</v>
      </c>
      <c r="X28" s="1020" t="str">
        <f t="shared" si="5"/>
        <v>Red</v>
      </c>
    </row>
    <row r="29" spans="2:26">
      <c r="B29" s="592" t="s">
        <v>875</v>
      </c>
      <c r="C29" s="567"/>
      <c r="D29" s="620" t="str">
        <f>IF('AOP Frontal MPDB'!E89=4,"Green",IF('AOP Frontal MPDB'!E89&gt;=2.67,"Yellow",IF('AOP Frontal MPDB'!E89&gt;=1.33,"Orange",IF('AOP Frontal MPDB'!E89&gt;0,"Brown","Red"))))</f>
        <v>Red</v>
      </c>
      <c r="E29" s="567"/>
      <c r="F29" s="620" t="str">
        <f>IF('AOP Frontal MPDB'!G89=4,"Green",IF('AOP Frontal MPDB'!G89&gt;=2.67,"Yellow",IF('AOP Frontal MPDB'!G89&gt;=1.33,"Orange",IF('AOP Frontal MPDB'!G89&gt;0,"Brown","Red"))))</f>
        <v>Red</v>
      </c>
    </row>
    <row r="30" spans="2:26">
      <c r="B30" s="592" t="s">
        <v>876</v>
      </c>
      <c r="C30" s="567"/>
      <c r="D30" s="620" t="str">
        <f>IF('AOP Frontal MPDB'!E98=4,"Green",IF('AOP Frontal MPDB'!E98&gt;=2.67,"Yellow",IF('AOP Frontal MPDB'!E98&gt;=1.33,"Orange",IF('AOP Frontal MPDB'!E98&gt;0,"Brown","Red"))))</f>
        <v>Red</v>
      </c>
      <c r="E30" s="567"/>
      <c r="F30" s="620" t="str">
        <f>IF('AOP Frontal MPDB'!G98=4,"Green",IF('AOP Frontal MPDB'!G98&gt;=2.67,"Yellow",IF('AOP Frontal MPDB'!G98&gt;=1.33,"Orange",IF('AOP Frontal MPDB'!G98&gt;0,"Brown","Red"))))</f>
        <v>Red</v>
      </c>
    </row>
    <row r="31" spans="2:26">
      <c r="B31" s="591" t="s">
        <v>877</v>
      </c>
      <c r="C31" s="567"/>
      <c r="D31" s="620" t="str">
        <f>IF('AOP Frontal MPDB'!E107=4,"Green",IF('AOP Frontal MPDB'!E107&gt;=2.67,"Yellow",IF('AOP Frontal MPDB'!E107&gt;=1.33,"Orange",IF('AOP Frontal MPDB'!E107&gt;0,"Brown","Red"))))</f>
        <v>Red</v>
      </c>
      <c r="E31" s="567"/>
      <c r="F31" s="567"/>
    </row>
    <row r="32" spans="2:26">
      <c r="B32" s="591" t="s">
        <v>878</v>
      </c>
      <c r="C32" s="567">
        <f>ROUND('AOP Frontal MPDB'!D129,1)</f>
        <v>0</v>
      </c>
      <c r="D32" s="567"/>
      <c r="E32" s="567"/>
      <c r="F32" s="567"/>
    </row>
    <row r="33" spans="2:6">
      <c r="B33" s="591" t="s">
        <v>886</v>
      </c>
      <c r="C33" s="567">
        <v>8</v>
      </c>
      <c r="D33" s="567"/>
      <c r="E33" s="567"/>
      <c r="F33" s="567"/>
    </row>
    <row r="34" spans="2:6">
      <c r="B34" s="592"/>
      <c r="C34" s="567"/>
      <c r="D34" s="567"/>
      <c r="E34" s="567"/>
      <c r="F34" s="567"/>
    </row>
    <row r="35" spans="2:6">
      <c r="B35" s="595" t="s">
        <v>810</v>
      </c>
      <c r="C35" s="567"/>
      <c r="D35" s="567"/>
      <c r="E35" s="567"/>
      <c r="F35" s="567"/>
    </row>
    <row r="36" spans="2:6">
      <c r="B36" s="591" t="s">
        <v>870</v>
      </c>
      <c r="C36" s="560" t="b">
        <f t="array" ref="C36">IF(OR(D36:D41="Red",D36:D41="Brown",D36:D41="Orange",F36:F41="Red",F36:F41="Brown",F36:F41="Orange"),TRUE,FALSE)</f>
        <v>1</v>
      </c>
      <c r="D36" s="620" t="str">
        <f>IF('AOP Frontal FW'!D14=4,"Green",IF('AOP Frontal FW'!D14&gt;=2.67,"Yellow",IF('AOP Frontal FW'!D14&gt;=1.33,"Orange",IF('AOP Frontal FW'!D14&gt;0,"Brown","Red"))))</f>
        <v>Red</v>
      </c>
      <c r="E36" s="567"/>
      <c r="F36" s="620" t="str">
        <f>IF('AOP Frontal FW'!H14=4,"Green",IF('AOP Frontal FW'!H14&gt;=2.67,"Yellow",IF('AOP Frontal FW'!H14&gt;=1.33,"Orange",IF('AOP Frontal FW'!H14&gt;0,"Brown","Red"))))</f>
        <v>Red</v>
      </c>
    </row>
    <row r="37" spans="2:6">
      <c r="B37" s="591" t="s">
        <v>879</v>
      </c>
      <c r="C37" s="567" t="b" cm="1">
        <f t="array" ref="C37">IF(AND(D36:D41="Green",F36:F41="Green"),TRUE,FALSE)</f>
        <v>0</v>
      </c>
      <c r="D37" s="620" t="str">
        <f>IF('AOP Frontal FW'!D20=4,"Green",IF('AOP Frontal FW'!D20&gt;=2.67,"Yellow",IF('AOP Frontal FW'!D20&gt;=1.33,"Orange",IF('AOP Frontal FW'!D20&gt;0,"Brown","Red"))))</f>
        <v>Red</v>
      </c>
      <c r="E37" s="567"/>
      <c r="F37" s="620" t="str">
        <f>IF('AOP Frontal FW'!H20=4,"Green",IF('AOP Frontal FW'!H20&gt;=2.67,"Yellow",IF('AOP Frontal FW'!H20&gt;=1.33,"Orange",IF('AOP Frontal FW'!H20&gt;0,"Brown","Red"))))</f>
        <v>Red</v>
      </c>
    </row>
    <row r="38" spans="2:6">
      <c r="B38" s="591" t="s">
        <v>880</v>
      </c>
      <c r="C38" s="567"/>
      <c r="D38" s="620" t="str">
        <f>IF('AOP Frontal FW'!D28=4,"Green",IF('AOP Frontal FW'!D28&gt;=2.67,"Yellow",IF('AOP Frontal FW'!D28&gt;=1.33,"Orange",IF('AOP Frontal FW'!D28&gt;0,"Brown","Red"))))</f>
        <v>Red</v>
      </c>
      <c r="E38" s="567"/>
      <c r="F38" s="620" t="str">
        <f>IF('AOP Frontal FW'!H28=4,"Green",IF('AOP Frontal FW'!H28&gt;=2.67,"Yellow",IF('AOP Frontal FW'!H28&gt;=1.33,"Orange",IF('AOP Frontal FW'!H28&gt;0,"Brown","Red"))))</f>
        <v>Red</v>
      </c>
    </row>
    <row r="39" spans="2:6">
      <c r="B39" s="591" t="s">
        <v>902</v>
      </c>
      <c r="C39" s="567"/>
      <c r="D39" s="1029" t="str">
        <f>IF('AOP Frontal FW'!E34=4,"Green",IF('AOP Frontal FW'!E34&gt;=2.67,"Yellow",IF('AOP Frontal FW'!E34&gt;=1.33,"Orange",IF('AOP Frontal FW'!E34&gt;0,"Brown","Red"))))</f>
        <v>Red</v>
      </c>
      <c r="E39" s="567"/>
      <c r="F39" s="1029" t="str">
        <f>IF('AOP Frontal FW'!I34=4,"Green",IF('AOP Frontal FW'!I34&gt;=2.67,"Yellow",IF('AOP Frontal FW'!I34&gt;=1.33,"Orange",IF('AOP Frontal FW'!I34&gt;0,"Brown","Red"))))</f>
        <v>Red</v>
      </c>
    </row>
    <row r="40" spans="2:6">
      <c r="B40" s="591" t="s">
        <v>903</v>
      </c>
      <c r="C40" s="567"/>
      <c r="D40" s="1029" t="str">
        <f>IF('AOP Frontal FW'!E38=4,"Green",IF('AOP Frontal FW'!E38&gt;=2.67,"Yellow",IF('AOP Frontal FW'!E38&gt;=1.33,"Orange",IF('AOP Frontal FW'!E38&gt;0,"Brown","Red"))))</f>
        <v>Red</v>
      </c>
      <c r="E40" s="567"/>
      <c r="F40" s="1029" t="str">
        <f>IF('AOP Frontal FW'!I38=4,"Green",IF('AOP Frontal FW'!I38&gt;=2.67,"Yellow",IF('AOP Frontal FW'!I38&gt;=1.33,"Orange",IF('AOP Frontal FW'!I38&gt;0,"Brown","Red"))))</f>
        <v>Red</v>
      </c>
    </row>
    <row r="41" spans="2:6">
      <c r="B41" s="591" t="s">
        <v>904</v>
      </c>
      <c r="C41" s="567"/>
      <c r="D41" s="620" t="str">
        <f>IF('AOP Frontal FW'!E41=0,"Green",IF('AOP Frontal FW'!E41=-4,"Red"))</f>
        <v>Green</v>
      </c>
      <c r="E41" s="567"/>
      <c r="F41" s="620" t="str">
        <f>IF('AOP Frontal FW'!I41=0,"Green",IF('AOP Frontal FW'!I41=-4,"Red"))</f>
        <v>Green</v>
      </c>
    </row>
    <row r="42" spans="2:6">
      <c r="B42" s="591" t="s">
        <v>878</v>
      </c>
      <c r="C42" s="567">
        <f>ROUND('AOP Frontal FW'!D63,1)</f>
        <v>0</v>
      </c>
      <c r="D42" s="567"/>
      <c r="E42" s="567"/>
      <c r="F42" s="567"/>
    </row>
    <row r="43" spans="2:6">
      <c r="B43" s="591" t="s">
        <v>886</v>
      </c>
      <c r="C43" s="567">
        <v>8</v>
      </c>
      <c r="D43" s="567"/>
      <c r="E43" s="567"/>
      <c r="F43" s="567"/>
    </row>
    <row r="44" spans="2:6">
      <c r="B44" s="592"/>
      <c r="C44" s="567"/>
      <c r="D44" s="567"/>
      <c r="E44" s="567"/>
      <c r="F44" s="567"/>
    </row>
    <row r="45" spans="2:6">
      <c r="B45" s="595" t="s">
        <v>678</v>
      </c>
      <c r="C45" s="567"/>
      <c r="D45" s="567"/>
      <c r="E45" s="567"/>
      <c r="F45" s="567"/>
    </row>
    <row r="46" spans="2:6">
      <c r="B46" s="591" t="s">
        <v>870</v>
      </c>
      <c r="C46" s="567"/>
      <c r="D46" s="620" t="str">
        <f>IF('AOP Side MDB'!D10=4,"Green",IF('AOP Side MDB'!D10&gt;=2.67,"Yellow",IF('AOP Side MDB'!D10&gt;=1.33,"Orange",IF('AOP Side MDB'!D10&gt;0,"Brown","Red"))))</f>
        <v>Red</v>
      </c>
      <c r="E46" s="567"/>
      <c r="F46" s="567"/>
    </row>
    <row r="47" spans="2:6">
      <c r="B47" s="591" t="s">
        <v>880</v>
      </c>
      <c r="C47" s="567"/>
      <c r="D47" s="620" t="str">
        <f>IF('AOP Side MDB'!D26=4,"Green",IF('AOP Side MDB'!D26&gt;=2.67,"Yellow",IF('AOP Side MDB'!D26&gt;=1.33,"Orange",IF('AOP Side MDB'!D26&gt;0,"Brown","Red"))))</f>
        <v>Red</v>
      </c>
      <c r="E47" s="567"/>
      <c r="F47" s="567"/>
    </row>
    <row r="48" spans="2:6">
      <c r="B48" s="591" t="s">
        <v>409</v>
      </c>
      <c r="C48" s="567"/>
      <c r="D48" s="620" t="str">
        <f>IF('AOP Side MDB'!D37=4,"Green",IF('AOP Side MDB'!D37&gt;=2.67,"Yellow",IF('AOP Side MDB'!D37&gt;=1.33,"Orange",IF('AOP Side MDB'!D37&gt;0,"Brown","Red"))))</f>
        <v>Red</v>
      </c>
      <c r="E48" s="567"/>
      <c r="F48" s="567"/>
    </row>
    <row r="49" spans="2:10">
      <c r="B49" s="591" t="s">
        <v>393</v>
      </c>
      <c r="C49" s="567"/>
      <c r="D49" s="620" t="str">
        <f>IF('AOP Side MDB'!D42=4,"Green",IF('AOP Side MDB'!D42&gt;=2.67,"Yellow",IF('AOP Side MDB'!D42&gt;=1.33,"Orange",IF('AOP Side MDB'!D42&gt;0,"Brown","Red"))))</f>
        <v>Red</v>
      </c>
      <c r="E49" s="567"/>
      <c r="F49" s="567"/>
    </row>
    <row r="50" spans="2:10">
      <c r="B50" s="591" t="s">
        <v>878</v>
      </c>
      <c r="C50" s="567">
        <f>ROUND('AOP Side MDB'!D53,1)</f>
        <v>0</v>
      </c>
      <c r="D50" s="567"/>
      <c r="E50" s="567"/>
      <c r="F50" s="567"/>
    </row>
    <row r="51" spans="2:10">
      <c r="B51" s="591" t="s">
        <v>886</v>
      </c>
      <c r="C51" s="567">
        <v>6</v>
      </c>
      <c r="D51" s="567"/>
      <c r="E51" s="567"/>
      <c r="F51" s="567"/>
    </row>
    <row r="52" spans="2:10">
      <c r="B52" s="592"/>
      <c r="C52" s="567"/>
      <c r="D52" s="567"/>
      <c r="E52" s="567"/>
      <c r="F52" s="567"/>
    </row>
    <row r="53" spans="2:10">
      <c r="B53" s="595" t="s">
        <v>6</v>
      </c>
      <c r="C53" s="567"/>
      <c r="D53" s="567"/>
      <c r="E53" s="567"/>
      <c r="F53" s="567"/>
      <c r="I53" s="589"/>
    </row>
    <row r="54" spans="2:10">
      <c r="B54" s="591" t="s">
        <v>870</v>
      </c>
      <c r="C54" s="567"/>
      <c r="D54" s="620" t="str">
        <f>IF('AOP Side Pole'!D11=4,"Green",IF('AOP Side Pole'!D11&gt;=2.67,"Yellow",IF('AOP Side Pole'!D11&gt;=1.33,"Orange",IF('AOP Side Pole'!D11&gt;0,"Brown","Red"))))</f>
        <v>Red</v>
      </c>
      <c r="E54" s="567"/>
      <c r="F54" s="567"/>
    </row>
    <row r="55" spans="2:10">
      <c r="B55" s="591" t="s">
        <v>880</v>
      </c>
      <c r="C55" s="567"/>
      <c r="D55" s="620" t="str">
        <f>IF('AOP Side Pole'!D26=4,"Green",IF('AOP Side Pole'!D26&gt;=2.67,"Yellow",IF('AOP Side Pole'!D26&gt;=1.33,"Orange",IF('AOP Side Pole'!D26&gt;0,"Brown","Red"))))</f>
        <v>Red</v>
      </c>
      <c r="E55" s="567"/>
      <c r="F55" s="567"/>
    </row>
    <row r="56" spans="2:10">
      <c r="B56" s="591" t="s">
        <v>409</v>
      </c>
      <c r="C56" s="567"/>
      <c r="D56" s="620" t="str">
        <f>IF('AOP Side Pole'!D37=4,"Green",IF('AOP Side Pole'!D37&gt;=2.67,"Yellow",IF('AOP Side Pole'!D37&gt;=1.33,"Orange",IF('AOP Side Pole'!D37&gt;0,"Brown","Red"))))</f>
        <v>Red</v>
      </c>
      <c r="E56" s="567"/>
      <c r="F56" s="567"/>
    </row>
    <row r="57" spans="2:10">
      <c r="B57" s="591" t="s">
        <v>393</v>
      </c>
      <c r="C57" s="567"/>
      <c r="D57" s="620" t="str">
        <f>IF('AOP Side Pole'!D42=4,"Green",IF('AOP Side Pole'!D42&gt;=2.67,"Yellow",IF('AOP Side Pole'!D42&gt;=1.33,"Orange",IF('AOP Side Pole'!D42&gt;0,"Brown","Red"))))</f>
        <v>Red</v>
      </c>
      <c r="E57" s="567"/>
      <c r="F57" s="567"/>
    </row>
    <row r="58" spans="2:10">
      <c r="B58" s="591" t="s">
        <v>878</v>
      </c>
      <c r="C58" s="567">
        <f>ROUND('AOP Side Pole'!D72,1)</f>
        <v>0</v>
      </c>
      <c r="D58" s="567"/>
      <c r="E58" s="567"/>
      <c r="F58" s="567"/>
    </row>
    <row r="59" spans="2:10">
      <c r="B59" s="591" t="s">
        <v>886</v>
      </c>
      <c r="C59" s="567">
        <v>6</v>
      </c>
      <c r="D59" s="567"/>
      <c r="E59" s="567"/>
      <c r="F59" s="567"/>
    </row>
    <row r="60" spans="2:10">
      <c r="B60" s="592"/>
      <c r="C60" s="567"/>
      <c r="D60" s="567"/>
      <c r="E60" s="567"/>
      <c r="F60" s="567"/>
    </row>
    <row r="61" spans="2:10">
      <c r="B61" s="595" t="s">
        <v>881</v>
      </c>
      <c r="C61" s="567"/>
      <c r="D61" s="567" t="s">
        <v>882</v>
      </c>
      <c r="E61" s="567"/>
      <c r="F61" s="567" t="s">
        <v>679</v>
      </c>
    </row>
    <row r="62" spans="2:10">
      <c r="B62" s="591" t="s">
        <v>968</v>
      </c>
      <c r="C62" s="620">
        <f>IF(D67&lt;F67,IF(AND('AOP Farside'!D10="Red",'AOP Farside'!D11="Yes"),"Brown",'AOP Farside'!D10),IF(AND('AOP Farside'!F10="Red",'AOP Farside'!F11="Yes"),"Brown",'AOP Farside'!F10))</f>
        <v>0</v>
      </c>
      <c r="D62" s="567"/>
      <c r="E62" s="567"/>
      <c r="F62" s="567"/>
      <c r="I62" t="s">
        <v>146</v>
      </c>
      <c r="J62" t="s">
        <v>2431</v>
      </c>
    </row>
    <row r="63" spans="2:10">
      <c r="B63" s="591" t="s">
        <v>870</v>
      </c>
      <c r="C63" s="620" t="str">
        <f>IF($D$67&lt;$F$67,D63,F63)</f>
        <v>Grey</v>
      </c>
      <c r="D63" s="620" t="str">
        <f>IF(OR('AOP Farside'!D16&gt;700,'AOP Farside'!D17&gt;80,'AOP Farside'!D10="Capping"),"Red","Grey")</f>
        <v>Grey</v>
      </c>
      <c r="E63" s="567"/>
      <c r="F63" s="620" t="str">
        <f>IF(OR('AOP Farside'!F16&gt;700,'AOP Farside'!F17&gt;80,'AOP Farside'!F10="Capping"),"Red","Grey")</f>
        <v>Grey</v>
      </c>
      <c r="I63" t="s">
        <v>147</v>
      </c>
      <c r="J63" t="s">
        <v>2432</v>
      </c>
    </row>
    <row r="64" spans="2:10">
      <c r="B64" s="591" t="s">
        <v>879</v>
      </c>
      <c r="C64" s="620" t="str">
        <f>IF($D$67&lt;$F$67,D64,F64)</f>
        <v>Grey</v>
      </c>
      <c r="D64" s="620" t="str">
        <f>"Grey"</f>
        <v>Grey</v>
      </c>
      <c r="E64" s="567"/>
      <c r="F64" s="620" t="str">
        <f>"Grey"</f>
        <v>Grey</v>
      </c>
      <c r="I64" t="s">
        <v>148</v>
      </c>
      <c r="J64" t="s">
        <v>2433</v>
      </c>
    </row>
    <row r="65" spans="2:10">
      <c r="B65" s="591" t="s">
        <v>883</v>
      </c>
      <c r="C65" s="620" t="str">
        <f>IF($D$67&lt;$F$67,D65,F65)</f>
        <v>Grey</v>
      </c>
      <c r="D65" s="620" t="str">
        <f>IF(OR(MAX('AOP Farside'!D34:D36)&gt;50,MAX('AOP Farside'!D39:D40)&gt;65),"Red","Grey")</f>
        <v>Grey</v>
      </c>
      <c r="E65" s="567"/>
      <c r="F65" s="620" t="str">
        <f>IF(OR(MAX('AOP Farside'!F34:F36)&gt;50,MAX('AOP Farside'!F39:F40)&gt;65),"Red","Grey")</f>
        <v>Grey</v>
      </c>
      <c r="I65" t="s">
        <v>149</v>
      </c>
      <c r="J65" t="s">
        <v>2434</v>
      </c>
    </row>
    <row r="66" spans="2:10">
      <c r="B66" s="591" t="s">
        <v>393</v>
      </c>
      <c r="C66" s="620" t="str">
        <f>IF($D$67&lt;$F$67,D66,F66)</f>
        <v>Grey</v>
      </c>
      <c r="D66" s="620" t="str">
        <f>IF('AOP Farside'!D50=-4,"Red","Grey")</f>
        <v>Grey</v>
      </c>
      <c r="E66" s="567"/>
      <c r="F66" s="620" t="str">
        <f>IF('AOP Farside'!F50=-4,"Red","Grey")</f>
        <v>Grey</v>
      </c>
      <c r="I66" t="s">
        <v>150</v>
      </c>
      <c r="J66" t="s">
        <v>2435</v>
      </c>
    </row>
    <row r="67" spans="2:10">
      <c r="B67" s="591" t="s">
        <v>884</v>
      </c>
      <c r="C67" s="567"/>
      <c r="D67" s="567">
        <f>ROUND('AOP Farside'!D59,1)</f>
        <v>0</v>
      </c>
      <c r="E67" s="567"/>
      <c r="F67" s="567">
        <f>ROUND('AOP Farside'!F59,1)</f>
        <v>0</v>
      </c>
    </row>
    <row r="68" spans="2:10">
      <c r="B68" s="591" t="s">
        <v>878</v>
      </c>
      <c r="C68" s="567">
        <f>ROUND('AOP Farside'!D69,1)</f>
        <v>0</v>
      </c>
      <c r="D68" s="567"/>
      <c r="E68" s="567"/>
      <c r="F68" s="567"/>
    </row>
    <row r="69" spans="2:10">
      <c r="B69" s="591" t="s">
        <v>886</v>
      </c>
      <c r="C69" s="567">
        <v>4</v>
      </c>
      <c r="D69" s="567"/>
      <c r="E69" s="567"/>
      <c r="F69" s="567"/>
    </row>
    <row r="70" spans="2:10">
      <c r="B70" s="591" t="s">
        <v>967</v>
      </c>
      <c r="C70" s="567"/>
      <c r="D70" s="620" t="str">
        <f>IF(AND('AOP Farside'!F62="",'AOP Farside'!D62=""),"Grey",IF('AOP Farside'!D67=0,"Green",IF('AOP Farside'!D67&lt;0,"Red","VALUE!")))</f>
        <v>Grey</v>
      </c>
      <c r="E70" s="567"/>
      <c r="F70" s="567"/>
    </row>
    <row r="71" spans="2:10">
      <c r="B71" s="595" t="s">
        <v>573</v>
      </c>
      <c r="C71" s="567"/>
      <c r="D71" s="567"/>
      <c r="E71" s="567"/>
      <c r="F71" s="567"/>
    </row>
    <row r="72" spans="2:10">
      <c r="B72" s="591" t="s">
        <v>888</v>
      </c>
      <c r="C72" s="567">
        <f>ROUND('AOP Whiplash'!D76,1)</f>
        <v>0</v>
      </c>
      <c r="D72" s="567"/>
      <c r="E72" s="567"/>
      <c r="F72" s="567"/>
    </row>
    <row r="73" spans="2:10">
      <c r="B73" s="591" t="s">
        <v>907</v>
      </c>
      <c r="C73" s="567">
        <v>4</v>
      </c>
      <c r="D73" s="567"/>
      <c r="E73" s="567"/>
      <c r="F73" s="567"/>
    </row>
    <row r="74" spans="2:10">
      <c r="B74" s="591" t="s">
        <v>908</v>
      </c>
      <c r="C74" s="567">
        <f>ROUND('AOP Whiplash'!D23,1)</f>
        <v>0</v>
      </c>
      <c r="D74" s="567"/>
      <c r="E74" s="567"/>
      <c r="F74" s="567"/>
    </row>
    <row r="75" spans="2:10">
      <c r="B75" s="591" t="s">
        <v>909</v>
      </c>
      <c r="C75" s="567">
        <f>ROUND('AOP Whiplash'!D40,1)</f>
        <v>0</v>
      </c>
      <c r="D75" s="567"/>
      <c r="E75" s="567"/>
      <c r="F75" s="567"/>
    </row>
    <row r="76" spans="2:10">
      <c r="B76" s="591" t="s">
        <v>910</v>
      </c>
      <c r="C76" s="567">
        <f>ROUND('AOP Whiplash'!F40,1)</f>
        <v>0</v>
      </c>
      <c r="D76" s="567"/>
      <c r="E76" s="567"/>
      <c r="F76" s="567"/>
    </row>
    <row r="77" spans="2:10">
      <c r="B77" s="591"/>
      <c r="C77" s="567"/>
      <c r="D77" s="560" t="s">
        <v>999</v>
      </c>
      <c r="E77" s="560"/>
      <c r="F77" s="560"/>
    </row>
    <row r="78" spans="2:10">
      <c r="B78" s="591" t="s">
        <v>905</v>
      </c>
      <c r="C78" s="1029" t="str">
        <f>IF(D78&gt;=2.25,"Green",IF(D78&gt;1.125,"Orange","Red"))</f>
        <v>Red</v>
      </c>
      <c r="D78" s="560">
        <f>'AOP Whiplash'!D73</f>
        <v>0</v>
      </c>
      <c r="E78" s="560" t="str">
        <f>IF(C78="Red","poor",IF(C78="Orange","marginal",IF(C78="Green","good","????")))</f>
        <v>poor</v>
      </c>
      <c r="F78" s="567"/>
    </row>
    <row r="79" spans="2:10">
      <c r="B79" s="591" t="s">
        <v>906</v>
      </c>
      <c r="C79" s="1029" t="str">
        <f>IF(D79&gt;=0.667,"Green",IF(D79&gt;0.333,"Orange","Red"))</f>
        <v>Red</v>
      </c>
      <c r="D79" s="560">
        <f>'AOP Whiplash'!D74</f>
        <v>0</v>
      </c>
      <c r="E79" s="560" t="str">
        <f>IF(C79="Red","poor",IF(C79="Orange","marginal",IF(C79="Green","good","????")))</f>
        <v>poor</v>
      </c>
      <c r="F79" s="567"/>
    </row>
    <row r="80" spans="2:10">
      <c r="B80" s="592"/>
      <c r="C80" s="567"/>
      <c r="D80" s="567"/>
      <c r="E80" s="567" t="str">
        <f>IF(E78=E79,"also ","")</f>
        <v xml:space="preserve">also </v>
      </c>
      <c r="F80" s="567"/>
      <c r="G80" s="596"/>
    </row>
    <row r="81" spans="1:9">
      <c r="B81" s="595" t="s">
        <v>827</v>
      </c>
      <c r="C81" s="567"/>
      <c r="D81" s="567"/>
      <c r="E81" s="567"/>
      <c r="F81" s="567"/>
      <c r="G81" s="596"/>
    </row>
    <row r="82" spans="1:9">
      <c r="B82" s="591" t="s">
        <v>969</v>
      </c>
      <c r="C82" s="620" t="str">
        <f>CONCATENATE(D82,E82)</f>
        <v>Not available in some countries, not ISO compliant</v>
      </c>
      <c r="D82" s="567" t="str">
        <f t="array" ref="D82">IF(AND('AOP Rescue'!D7:D8="PASS"),"Available","Not available in some countries")</f>
        <v>Not available in some countries</v>
      </c>
      <c r="E82" s="567" t="str">
        <f t="array" ref="E82">IF(AND('AOP Rescue'!H7:H8="PASS"),", ISO compliant",", not ISO compliant")</f>
        <v>, not ISO compliant</v>
      </c>
      <c r="F82" s="567"/>
      <c r="G82" s="596"/>
    </row>
    <row r="83" spans="1:9">
      <c r="B83" s="591" t="s">
        <v>970</v>
      </c>
      <c r="C83" s="620" t="str">
        <f>IF(OR('General Overview'!E35="Standard",'General Overview'!E35="Optional meeting fitment"),"Available","Not available")</f>
        <v>Not available</v>
      </c>
      <c r="D83" s="567"/>
      <c r="E83" s="567"/>
      <c r="F83" s="567"/>
    </row>
    <row r="84" spans="1:9">
      <c r="B84" s="591" t="s">
        <v>971</v>
      </c>
      <c r="C84" s="620" t="str">
        <f>IF(OR('General Overview'!E36="Standard",'General Overview'!E36="Optional meeting fitment"),"Available","Not available")</f>
        <v>Not available</v>
      </c>
      <c r="D84" s="567"/>
      <c r="E84" s="567"/>
      <c r="F84" s="567"/>
    </row>
    <row r="85" spans="1:9">
      <c r="B85" s="591" t="s">
        <v>2771</v>
      </c>
      <c r="C85" s="1175" t="str" cm="1">
        <f t="array" ref="C85">IF(AND('AOP Rescue'!D56:D57="Pass"),"Compliant",IF(OR('AOP Rescue'!D56:D57="Fail"),"Non-compliant","-"))</f>
        <v>-</v>
      </c>
      <c r="D85" s="567"/>
      <c r="E85" s="567"/>
      <c r="F85" s="560"/>
    </row>
    <row r="86" spans="1:9">
      <c r="B86" s="591" t="s">
        <v>911</v>
      </c>
      <c r="C86" s="567">
        <f>ROUND('AOP Rescue'!D70,1)</f>
        <v>0</v>
      </c>
      <c r="D86" s="567" t="str">
        <f t="array" ref="D86">IF(AND('AOP Rescue'!D7:D8="PASS",'AOP Rescue'!H7:H8="PASS"),"GREEN",IF(AND('AOP Rescue'!D7:D8="PASS"),"ORANGE","RED"))</f>
        <v>RED</v>
      </c>
      <c r="E86" s="567"/>
      <c r="F86" s="567"/>
    </row>
    <row r="87" spans="1:9">
      <c r="B87" s="591" t="s">
        <v>912</v>
      </c>
      <c r="C87" s="567">
        <f>ROUND('AOP Rescue'!D71,1)</f>
        <v>-1</v>
      </c>
      <c r="D87" s="567"/>
      <c r="E87" s="567"/>
      <c r="F87" s="567"/>
    </row>
    <row r="88" spans="1:9">
      <c r="B88" s="591" t="s">
        <v>913</v>
      </c>
      <c r="C88" s="567">
        <f>ROUND('AOP Rescue'!D72,1)</f>
        <v>0</v>
      </c>
      <c r="D88" s="567" t="str">
        <f>IF('AOP Rescue'!D67=2,"GREEN",IF('AOP Rescue'!D67&gt;0,"ORANGE","RED"))</f>
        <v>RED</v>
      </c>
      <c r="E88" s="567"/>
      <c r="F88" s="567"/>
    </row>
    <row r="89" spans="1:9">
      <c r="B89" s="592" t="s">
        <v>878</v>
      </c>
      <c r="C89" s="567">
        <f>ROUND('AOP Rescue'!D74,1)</f>
        <v>-1</v>
      </c>
      <c r="D89" s="567"/>
      <c r="E89" s="567"/>
      <c r="F89" s="567"/>
    </row>
    <row r="90" spans="1:9">
      <c r="B90" s="597" t="s">
        <v>886</v>
      </c>
      <c r="C90" s="1029" t="s">
        <v>2922</v>
      </c>
      <c r="D90" s="567"/>
      <c r="E90" s="567"/>
      <c r="F90" s="567"/>
      <c r="G90" s="594"/>
    </row>
    <row r="91" spans="1:9">
      <c r="A91" s="660" t="s">
        <v>2419</v>
      </c>
      <c r="B91" s="598" t="s">
        <v>992</v>
      </c>
      <c r="C91" s="1021"/>
      <c r="D91" s="567"/>
      <c r="E91" s="567"/>
      <c r="F91" s="567"/>
      <c r="G91" s="594"/>
    </row>
    <row r="92" spans="1:9">
      <c r="A92" s="660" t="s">
        <v>2419</v>
      </c>
      <c r="B92" s="598" t="s">
        <v>993</v>
      </c>
      <c r="C92" s="659"/>
      <c r="D92" s="567"/>
      <c r="E92" s="567"/>
      <c r="F92" s="567"/>
      <c r="G92" s="594"/>
    </row>
    <row r="93" spans="1:9">
      <c r="A93" s="660" t="s">
        <v>2419</v>
      </c>
      <c r="B93" s="598" t="s">
        <v>994</v>
      </c>
      <c r="C93" s="659"/>
      <c r="D93" s="567"/>
      <c r="E93" s="567"/>
      <c r="F93" s="567"/>
      <c r="G93" s="594"/>
    </row>
    <row r="94" spans="1:9" ht="13.5" thickBot="1">
      <c r="A94" s="660" t="s">
        <v>2419</v>
      </c>
      <c r="B94" s="599" t="s">
        <v>995</v>
      </c>
      <c r="C94" s="659"/>
      <c r="D94" s="567"/>
      <c r="E94" s="567"/>
      <c r="F94" s="567"/>
      <c r="G94" s="594"/>
    </row>
    <row r="95" spans="1:9" ht="14.25" thickTop="1" thickBot="1"/>
    <row r="96" spans="1:9" ht="13.5" thickTop="1">
      <c r="B96" s="600"/>
      <c r="C96" s="601"/>
      <c r="D96" s="601"/>
      <c r="E96" s="601"/>
      <c r="F96" s="601"/>
      <c r="G96" s="601"/>
      <c r="H96" s="601"/>
      <c r="I96" s="602"/>
    </row>
    <row r="97" spans="1:9">
      <c r="B97" s="603" t="s">
        <v>885</v>
      </c>
      <c r="C97" s="604"/>
      <c r="D97" s="604" t="s">
        <v>555</v>
      </c>
      <c r="E97" s="604"/>
      <c r="F97" s="604" t="s">
        <v>556</v>
      </c>
      <c r="G97" s="529"/>
      <c r="H97" s="529"/>
      <c r="I97" s="605"/>
    </row>
    <row r="98" spans="1:9">
      <c r="B98" s="528" t="s">
        <v>887</v>
      </c>
      <c r="C98" s="529"/>
      <c r="D98" s="658" t="str">
        <f>IF('COP Dynamic'!D9="Highback booster","b","a")</f>
        <v>a</v>
      </c>
      <c r="E98" s="529"/>
      <c r="F98" s="606" t="s">
        <v>893</v>
      </c>
      <c r="G98" s="529"/>
      <c r="H98" s="529"/>
      <c r="I98" s="605"/>
    </row>
    <row r="99" spans="1:9">
      <c r="B99" s="528" t="s">
        <v>595</v>
      </c>
      <c r="C99" s="567">
        <f>'COP Dynamic'!D54+'COP Dynamic'!F54</f>
        <v>0</v>
      </c>
      <c r="D99" s="567">
        <f>ROUND(C99,1)</f>
        <v>0</v>
      </c>
      <c r="E99" s="567"/>
      <c r="F99" s="567"/>
      <c r="G99" s="567"/>
      <c r="H99" s="567"/>
      <c r="I99" s="567"/>
    </row>
    <row r="100" spans="1:9">
      <c r="B100" s="530" t="s">
        <v>363</v>
      </c>
      <c r="C100" s="567"/>
      <c r="D100" s="620" t="str">
        <f>IF('COP Dynamic'!E22=4,"Green",IF('COP Dynamic'!E22&gt;=2.667,"Yellow",IF('COP Dynamic'!E22&gt;=1.333,"Orange",IF('COP Dynamic'!E22&gt;0,"Brown","Red"))))</f>
        <v>Red</v>
      </c>
      <c r="E100" s="567"/>
      <c r="F100" s="620" t="str">
        <f>IF('COP Dynamic'!G22=4,"Green",IF('COP Dynamic'!G22&gt;=2.667,"Yellow",IF('COP Dynamic'!G22&gt;=1.333,"Orange",IF('COP Dynamic'!G22&gt;0,"Brown","Red"))))</f>
        <v>Red</v>
      </c>
      <c r="G100" s="567"/>
      <c r="H100" s="567"/>
      <c r="I100" s="567"/>
    </row>
    <row r="101" spans="1:9">
      <c r="B101" s="530" t="s">
        <v>354</v>
      </c>
      <c r="C101" s="567"/>
      <c r="D101" s="620" t="str">
        <f>IF('COP Dynamic'!E28=2,"Green",IF('COP Dynamic'!E28&gt;=1.335,"Yellow",IF('COP Dynamic'!E28&gt;=0.667,"Orange",IF('COP Dynamic'!E28&gt;0,"Brown","Red"))))</f>
        <v>Red</v>
      </c>
      <c r="E101" s="567"/>
      <c r="F101" s="620" t="str">
        <f>IF('COP Dynamic'!G28=2,"Green",IF('COP Dynamic'!G28&gt;=1.335,"Yellow",IF('COP Dynamic'!G28&gt;=0.667,"Orange",IF('COP Dynamic'!G28&gt;0,"Brown","Red"))))</f>
        <v>Red</v>
      </c>
      <c r="G101" s="567"/>
      <c r="H101" s="567"/>
      <c r="I101" s="567"/>
    </row>
    <row r="102" spans="1:9">
      <c r="B102" s="530" t="s">
        <v>391</v>
      </c>
      <c r="C102" s="567"/>
      <c r="D102" s="620" t="str">
        <f>IF('COP Dynamic'!E35=2,"Green",IF('COP Dynamic'!E35&gt;=1.335,"Yellow",IF('COP Dynamic'!E35&gt;=0.667,"Orange",IF('COP Dynamic'!E35&gt;0,"Brown","Red"))))</f>
        <v>Red</v>
      </c>
      <c r="E102" s="567"/>
      <c r="F102" s="620" t="str">
        <f>IF('COP Dynamic'!G35=2,"Green",IF('COP Dynamic'!G35&gt;=1.335,"Yellow",IF('COP Dynamic'!G35&gt;=0.667,"Orange",IF('COP Dynamic'!G35&gt;0,"Brown","Red"))))</f>
        <v>Red</v>
      </c>
      <c r="G102" s="567"/>
      <c r="H102" s="567"/>
      <c r="I102" s="567"/>
    </row>
    <row r="103" spans="1:9">
      <c r="B103" s="528" t="s">
        <v>594</v>
      </c>
      <c r="C103" s="567">
        <f>'COP Dynamic'!D55+'COP Dynamic'!F55</f>
        <v>0</v>
      </c>
      <c r="D103" s="567">
        <f>ROUND(C103,1)</f>
        <v>0</v>
      </c>
      <c r="E103" s="567"/>
      <c r="F103" s="567"/>
      <c r="G103" s="567"/>
      <c r="H103" s="567"/>
      <c r="I103" s="567"/>
    </row>
    <row r="104" spans="1:9">
      <c r="B104" s="530" t="s">
        <v>363</v>
      </c>
      <c r="C104" s="567"/>
      <c r="D104" s="620" t="str">
        <f>IF('COP Dynamic'!E45=2,"Green",IF('COP Dynamic'!E45&gt;=1.335,"Yellow",IF('COP Dynamic'!E45&gt;=0.667,"Orange",IF('COP Dynamic'!E45&gt;0,"Brown","Red"))))</f>
        <v>Red</v>
      </c>
      <c r="E104" s="567"/>
      <c r="F104" s="620" t="str">
        <f>IF('COP Dynamic'!G45=2,"Green",IF('COP Dynamic'!G45&gt;=1.335,"Yellow",IF('COP Dynamic'!G45&gt;=0.667,"Orange",IF('COP Dynamic'!G45&gt;0,"Brown","Red"))))</f>
        <v>Red</v>
      </c>
      <c r="G104" s="567"/>
      <c r="H104" s="567"/>
      <c r="I104" s="567"/>
    </row>
    <row r="105" spans="1:9">
      <c r="B105" s="530" t="s">
        <v>354</v>
      </c>
      <c r="C105" s="567"/>
      <c r="D105" s="620" t="str">
        <f>IF('COP Dynamic'!E48=1,"Green",IF('COP Dynamic'!E48&gt;=0.667,"Yellow",IF('COP Dynamic'!E48&gt;=0.333,"Orange",IF('COP Dynamic'!E48&gt;0,"Brown","Red"))))</f>
        <v>Red</v>
      </c>
      <c r="E105" s="567"/>
      <c r="F105" s="620" t="str">
        <f>IF('COP Dynamic'!G48=1,"Green",IF('COP Dynamic'!G48&gt;=0.667,"Yellow",IF('COP Dynamic'!G48&gt;=0.333,"Orange",IF('COP Dynamic'!G48&gt;0,"Brown","Red"))))</f>
        <v>Red</v>
      </c>
      <c r="G105" s="567"/>
      <c r="H105" s="567"/>
      <c r="I105" s="567"/>
    </row>
    <row r="106" spans="1:9">
      <c r="B106" s="530" t="s">
        <v>391</v>
      </c>
      <c r="C106" s="567"/>
      <c r="D106" s="620" t="str">
        <f>IF('COP Dynamic'!E50=1,"Green",IF('COP Dynamic'!E50&gt;=0.667,"Yellow",IF('COP Dynamic'!E50&gt;=0.333,"Orange",IF('COP Dynamic'!E50&gt;0,"Brown","Red"))))</f>
        <v>Red</v>
      </c>
      <c r="E106" s="567"/>
      <c r="F106" s="620" t="str">
        <f>IF('COP Dynamic'!G50=1,"Green",IF('COP Dynamic'!G50&gt;=0.667,"Yellow",IF('COP Dynamic'!G50&gt;=0.333,"Orange",IF('COP Dynamic'!G50&gt;0,"Brown","Red"))))</f>
        <v>Red</v>
      </c>
      <c r="G106" s="567"/>
      <c r="H106" s="567"/>
      <c r="I106" s="567"/>
    </row>
    <row r="107" spans="1:9">
      <c r="B107" s="530" t="s">
        <v>888</v>
      </c>
      <c r="C107" s="567">
        <f>ROUND('COP Dynamic'!D59,1)</f>
        <v>0</v>
      </c>
      <c r="D107" s="567"/>
      <c r="E107" s="567"/>
      <c r="F107" s="567"/>
      <c r="G107" s="567"/>
      <c r="H107" s="567"/>
      <c r="I107" s="567"/>
    </row>
    <row r="108" spans="1:9">
      <c r="B108" s="531" t="s">
        <v>914</v>
      </c>
      <c r="C108" s="567">
        <v>24</v>
      </c>
      <c r="D108" s="567"/>
      <c r="E108" s="567"/>
      <c r="F108" s="567"/>
      <c r="G108" s="567"/>
      <c r="H108" s="567"/>
      <c r="I108" s="567"/>
    </row>
    <row r="109" spans="1:9" ht="12.75" customHeight="1">
      <c r="B109" s="559" t="s">
        <v>889</v>
      </c>
      <c r="C109" s="567"/>
      <c r="D109" s="567"/>
      <c r="E109" s="567"/>
      <c r="F109" s="567"/>
      <c r="G109" s="567"/>
      <c r="H109" s="567"/>
      <c r="I109" s="567"/>
    </row>
    <row r="110" spans="1:9">
      <c r="B110" s="532" t="s">
        <v>890</v>
      </c>
      <c r="C110" s="567"/>
      <c r="D110" s="567" t="s">
        <v>467</v>
      </c>
      <c r="E110" s="567" t="s">
        <v>478</v>
      </c>
      <c r="F110" s="567" t="s">
        <v>479</v>
      </c>
      <c r="G110" s="567" t="s">
        <v>480</v>
      </c>
      <c r="H110" s="567" t="s">
        <v>481</v>
      </c>
      <c r="I110" s="567"/>
    </row>
    <row r="111" spans="1:9">
      <c r="B111" s="607"/>
      <c r="C111" s="567"/>
      <c r="D111" s="567"/>
      <c r="E111" s="567"/>
      <c r="F111" s="567"/>
      <c r="G111" s="567"/>
      <c r="H111" s="567"/>
      <c r="I111" s="567"/>
    </row>
    <row r="112" spans="1:9">
      <c r="A112" s="660" t="s">
        <v>2419</v>
      </c>
      <c r="B112" s="607"/>
      <c r="C112" s="567" t="s">
        <v>168</v>
      </c>
      <c r="D112" s="1021"/>
      <c r="E112" s="1021"/>
      <c r="F112" s="1021"/>
      <c r="G112" s="1021"/>
      <c r="H112" s="1021"/>
      <c r="I112" s="567" t="s">
        <v>892</v>
      </c>
    </row>
    <row r="113" spans="1:32">
      <c r="A113" s="660" t="s">
        <v>2419</v>
      </c>
      <c r="B113" s="607"/>
      <c r="C113" s="567" t="s">
        <v>576</v>
      </c>
      <c r="D113" s="1021"/>
      <c r="E113" s="1021"/>
      <c r="F113" s="1021"/>
      <c r="G113" s="1021"/>
      <c r="H113" s="1021"/>
      <c r="I113" s="567"/>
      <c r="J113" s="594"/>
      <c r="K113" s="589"/>
    </row>
    <row r="114" spans="1:32">
      <c r="A114" s="660"/>
      <c r="B114" s="607"/>
      <c r="C114" s="560" t="s">
        <v>2921</v>
      </c>
      <c r="D114" s="1021"/>
      <c r="E114" s="1021"/>
      <c r="F114" s="1021"/>
      <c r="G114" s="1021"/>
      <c r="H114" s="1021"/>
      <c r="I114" s="567"/>
      <c r="J114" s="594"/>
      <c r="K114" s="589"/>
    </row>
    <row r="115" spans="1:32">
      <c r="A115" s="660"/>
      <c r="B115" s="607"/>
      <c r="C115" s="560" t="s">
        <v>2770</v>
      </c>
      <c r="D115" s="1021"/>
      <c r="E115" s="1021"/>
      <c r="F115" s="1021"/>
      <c r="G115" s="1021"/>
      <c r="H115" s="1021"/>
      <c r="I115" s="567"/>
      <c r="J115" s="594"/>
      <c r="K115" s="589"/>
    </row>
    <row r="116" spans="1:32">
      <c r="A116" s="660" t="s">
        <v>2419</v>
      </c>
      <c r="B116" s="607"/>
      <c r="C116" s="567" t="s">
        <v>131</v>
      </c>
      <c r="D116" s="1021"/>
      <c r="E116" s="1021"/>
      <c r="F116" s="1021"/>
      <c r="G116" s="1021"/>
      <c r="H116" s="1021"/>
      <c r="I116" s="567"/>
      <c r="J116" s="589"/>
    </row>
    <row r="117" spans="1:32">
      <c r="B117" s="528" t="s">
        <v>888</v>
      </c>
      <c r="C117" s="620">
        <f>ROUND('COP Vehicle Based'!D45,1)</f>
        <v>0</v>
      </c>
      <c r="D117" s="567"/>
      <c r="E117" s="567"/>
      <c r="F117" s="567"/>
      <c r="G117" s="567"/>
      <c r="H117" s="567"/>
      <c r="I117" s="567"/>
      <c r="J117" s="589"/>
    </row>
    <row r="118" spans="1:32" ht="13.5" customHeight="1">
      <c r="B118" s="528" t="s">
        <v>899</v>
      </c>
      <c r="C118" s="567">
        <v>13</v>
      </c>
      <c r="D118" s="567"/>
      <c r="E118" s="567"/>
      <c r="F118" s="567"/>
      <c r="G118" s="567"/>
      <c r="H118" s="567"/>
      <c r="I118" s="567"/>
    </row>
    <row r="119" spans="1:32">
      <c r="B119" s="603" t="s">
        <v>891</v>
      </c>
      <c r="C119" s="567"/>
      <c r="D119" s="567"/>
      <c r="E119" s="567"/>
      <c r="F119" s="567"/>
      <c r="G119" s="567"/>
      <c r="H119" s="567"/>
      <c r="I119" s="567"/>
    </row>
    <row r="120" spans="1:32">
      <c r="B120" s="603" t="s">
        <v>915</v>
      </c>
      <c r="C120" s="1030" t="str">
        <f>CONCATENATE('General Overview'!C16,'General Overview'!C17,'General Overview'!C18)</f>
        <v/>
      </c>
      <c r="D120" s="567"/>
      <c r="E120" s="567"/>
      <c r="F120" s="567"/>
      <c r="G120" s="567"/>
      <c r="H120" s="567"/>
      <c r="I120" s="567"/>
    </row>
    <row r="121" spans="1:32">
      <c r="B121" s="528" t="s">
        <v>898</v>
      </c>
      <c r="C121" s="567">
        <f>ROUND('COP CRS Installation'!H25,1)</f>
        <v>0</v>
      </c>
      <c r="D121" s="567"/>
      <c r="E121" s="567"/>
      <c r="F121" s="567"/>
      <c r="G121" s="567"/>
      <c r="H121" s="567"/>
      <c r="I121" s="567"/>
      <c r="J121" s="589"/>
    </row>
    <row r="122" spans="1:32" ht="13.5" thickBot="1">
      <c r="B122" s="608" t="s">
        <v>899</v>
      </c>
      <c r="C122" s="567">
        <v>12</v>
      </c>
      <c r="D122" s="567"/>
      <c r="E122" s="567"/>
      <c r="F122" s="567"/>
      <c r="G122" s="567"/>
      <c r="H122" s="567"/>
      <c r="I122" s="567"/>
      <c r="J122" s="589"/>
    </row>
    <row r="123" spans="1:32" ht="14.25" thickTop="1" thickBot="1">
      <c r="J123" s="610"/>
      <c r="K123" s="610"/>
      <c r="L123" s="610"/>
      <c r="M123" s="610"/>
      <c r="N123" s="610"/>
      <c r="O123" s="610"/>
      <c r="P123" s="610"/>
      <c r="Q123" s="610"/>
      <c r="R123" s="610"/>
      <c r="S123" s="610"/>
      <c r="T123" s="610"/>
      <c r="U123" s="610"/>
      <c r="V123" s="610"/>
      <c r="W123" s="610"/>
      <c r="X123" s="610"/>
      <c r="Y123" s="610"/>
      <c r="Z123" s="610"/>
      <c r="AA123" s="610"/>
      <c r="AB123" s="610"/>
      <c r="AC123" s="610"/>
      <c r="AD123" s="610"/>
      <c r="AE123" s="610"/>
      <c r="AF123" s="611"/>
    </row>
    <row r="124" spans="1:32" ht="13.5" thickTop="1">
      <c r="B124" s="609" t="s">
        <v>894</v>
      </c>
      <c r="C124" s="610"/>
      <c r="D124" s="610"/>
      <c r="E124" s="610"/>
      <c r="F124" s="610"/>
      <c r="G124" s="610"/>
      <c r="H124" s="610"/>
      <c r="I124" s="610"/>
      <c r="J124" s="613"/>
      <c r="K124" s="613"/>
      <c r="L124" s="613"/>
      <c r="M124" s="613"/>
      <c r="N124" s="613"/>
      <c r="O124" s="613"/>
      <c r="P124" s="613"/>
      <c r="Q124" s="613"/>
      <c r="R124" s="613"/>
      <c r="S124" s="613"/>
      <c r="T124" s="613"/>
      <c r="U124" s="613"/>
      <c r="V124" s="613"/>
      <c r="W124" s="613"/>
      <c r="X124" s="613"/>
      <c r="Y124" s="613"/>
      <c r="Z124" s="613"/>
      <c r="AA124" s="613"/>
      <c r="AB124" s="613"/>
      <c r="AC124" s="613"/>
      <c r="AD124" s="613"/>
      <c r="AE124" s="613"/>
      <c r="AF124" s="614"/>
    </row>
    <row r="125" spans="1:32">
      <c r="B125" s="612" t="s">
        <v>895</v>
      </c>
      <c r="C125" s="613"/>
      <c r="D125" s="613"/>
      <c r="E125" s="613"/>
      <c r="F125" s="613"/>
      <c r="G125" s="613"/>
      <c r="H125" s="613"/>
      <c r="I125" s="613"/>
      <c r="J125" s="567"/>
      <c r="K125" s="567"/>
      <c r="L125" s="567"/>
      <c r="M125" s="567"/>
      <c r="N125" s="567"/>
      <c r="O125" s="567"/>
      <c r="P125" s="567"/>
      <c r="Q125" s="567"/>
      <c r="R125" s="567"/>
      <c r="S125" s="567"/>
      <c r="T125" s="567"/>
      <c r="U125" s="567"/>
      <c r="V125" s="567"/>
      <c r="W125" s="567"/>
      <c r="X125" s="567"/>
      <c r="Y125" s="567"/>
      <c r="Z125" s="567"/>
      <c r="AA125" s="567"/>
      <c r="AB125" s="567"/>
      <c r="AC125" s="567"/>
      <c r="AD125" s="567"/>
      <c r="AE125" s="567"/>
      <c r="AF125" s="567"/>
    </row>
    <row r="126" spans="1:32">
      <c r="A126" s="660" t="s">
        <v>2419</v>
      </c>
      <c r="B126" s="615" t="s">
        <v>896</v>
      </c>
      <c r="C126" s="659">
        <v>15</v>
      </c>
      <c r="D126" s="567">
        <f>C126</f>
        <v>15</v>
      </c>
      <c r="E126" s="567"/>
      <c r="F126" s="567"/>
      <c r="G126" s="567"/>
      <c r="H126" s="567"/>
      <c r="I126" s="567"/>
      <c r="J126" s="567"/>
      <c r="K126" s="567"/>
      <c r="L126" s="567"/>
      <c r="M126" s="567"/>
      <c r="N126" s="567"/>
      <c r="O126" s="567"/>
      <c r="P126" s="567"/>
      <c r="Q126" s="567"/>
      <c r="R126" s="567"/>
      <c r="S126" s="567"/>
      <c r="T126" s="567"/>
      <c r="U126" s="567"/>
      <c r="V126" s="567"/>
      <c r="W126" s="567"/>
      <c r="X126" s="567"/>
      <c r="Y126" s="567"/>
      <c r="Z126" s="567"/>
      <c r="AA126" s="567"/>
      <c r="AB126" s="567"/>
      <c r="AC126" s="567"/>
      <c r="AD126" s="567"/>
      <c r="AE126" s="567"/>
      <c r="AF126" s="567"/>
    </row>
    <row r="127" spans="1:32">
      <c r="B127" s="615" t="s">
        <v>916</v>
      </c>
      <c r="C127" s="620">
        <f>'General Overview'!C19</f>
        <v>0</v>
      </c>
      <c r="D127" s="620" t="str">
        <f>IF(OR(C127="Supermini",C127="Small Family Car",C127="Large Family Car",C127="Executive",C127="Roadster sports"),"Normal car",IF(OR(C127="Small Off-Road 4x4",C127="Large Off-Road 4x4",C127="Pick-up"),"Off road",IF(OR(C127="Small MPV",C127="Large MPV"),"MPV",IF(C127="Business and Family Vans","Van",""))))</f>
        <v/>
      </c>
      <c r="E127" s="567"/>
      <c r="F127" s="567"/>
      <c r="G127" s="567"/>
      <c r="H127" s="567"/>
      <c r="I127" s="567"/>
      <c r="J127" s="567"/>
      <c r="K127" s="567"/>
      <c r="L127" s="567"/>
      <c r="M127" s="567"/>
      <c r="N127" s="567"/>
      <c r="O127" s="567"/>
      <c r="P127" s="567"/>
      <c r="Q127" s="567"/>
      <c r="R127" s="567"/>
      <c r="S127" s="567"/>
      <c r="T127" s="567"/>
      <c r="U127" s="567"/>
      <c r="V127" s="567"/>
      <c r="W127" s="567"/>
      <c r="X127" s="567"/>
      <c r="Y127" s="567"/>
      <c r="Z127" s="567"/>
      <c r="AA127" s="567"/>
      <c r="AB127" s="567"/>
      <c r="AC127" s="567"/>
      <c r="AD127" s="567"/>
      <c r="AE127" s="567"/>
      <c r="AF127" s="567"/>
    </row>
    <row r="128" spans="1:32">
      <c r="B128" s="615"/>
      <c r="C128" s="567">
        <v>18</v>
      </c>
      <c r="D128" s="620">
        <f>IF(NOT('VRU Headform'!E5="Blue"),IF(OR('VRU Headform'!E5="Red",'VRU Headform'!E5="D Red"),"Red",IF(OR('VRU Headform'!E5="Green",'VRU Headform'!E5="D Green"),"Green",'VRU Headform'!E5)))</f>
        <v>0</v>
      </c>
      <c r="E128" s="620">
        <f>IF(NOT('VRU Headform'!F5="Blue"),IF(OR('VRU Headform'!F5="Red",'VRU Headform'!F5="D Red"),"Red",IF(OR('VRU Headform'!F5="Green",'VRU Headform'!F5="D Green"),"Green",'VRU Headform'!F5)))</f>
        <v>0</v>
      </c>
      <c r="F128" s="620">
        <f>IF(NOT('VRU Headform'!G5="Blue"),IF(OR('VRU Headform'!G5="Red",'VRU Headform'!G5="D Red"),"Red",IF(OR('VRU Headform'!G5="Green",'VRU Headform'!G5="D Green"),"Green",'VRU Headform'!G5)))</f>
        <v>0</v>
      </c>
      <c r="G128" s="620">
        <f>IF(NOT('VRU Headform'!H5="Blue"),IF(OR('VRU Headform'!H5="Red",'VRU Headform'!H5="D Red"),"Red",IF(OR('VRU Headform'!H5="Green",'VRU Headform'!H5="D Green"),"Green",'VRU Headform'!H5)))</f>
        <v>0</v>
      </c>
      <c r="H128" s="620">
        <f>IF(NOT('VRU Headform'!I5="Blue"),IF(OR('VRU Headform'!I5="Red",'VRU Headform'!I5="D Red"),"Red",IF(OR('VRU Headform'!I5="Green",'VRU Headform'!I5="D Green"),"Green",'VRU Headform'!I5)))</f>
        <v>0</v>
      </c>
      <c r="I128" s="620">
        <f>IF(NOT('VRU Headform'!J5="Blue"),IF(OR('VRU Headform'!J5="Red",'VRU Headform'!J5="D Red"),"Red",IF(OR('VRU Headform'!J5="Green",'VRU Headform'!J5="D Green"),"Green",'VRU Headform'!J5)))</f>
        <v>0</v>
      </c>
      <c r="J128" s="620">
        <f>IF(NOT('VRU Headform'!K5="Blue"),IF(OR('VRU Headform'!K5="Red",'VRU Headform'!K5="D Red"),"Red",IF(OR('VRU Headform'!K5="Green",'VRU Headform'!K5="D Green"),"Green",'VRU Headform'!K5)))</f>
        <v>0</v>
      </c>
      <c r="K128" s="620">
        <f>IF(NOT('VRU Headform'!L5="Blue"),IF(OR('VRU Headform'!L5="Red",'VRU Headform'!L5="D Red"),"Red",IF(OR('VRU Headform'!L5="Green",'VRU Headform'!L5="D Green"),"Green",'VRU Headform'!L5)))</f>
        <v>0</v>
      </c>
      <c r="L128" s="620">
        <f>IF(NOT('VRU Headform'!M5="Blue"),IF(OR('VRU Headform'!M5="Red",'VRU Headform'!M5="D Red"),"Red",IF(OR('VRU Headform'!M5="Green",'VRU Headform'!M5="D Green"),"Green",'VRU Headform'!M5)))</f>
        <v>0</v>
      </c>
      <c r="M128" s="620">
        <f>IF(NOT('VRU Headform'!N5="Blue"),IF(OR('VRU Headform'!N5="Red",'VRU Headform'!N5="D Red"),"Red",IF(OR('VRU Headform'!N5="Green",'VRU Headform'!N5="D Green"),"Green",'VRU Headform'!N5)))</f>
        <v>0</v>
      </c>
      <c r="N128" s="620">
        <f>IF(NOT('VRU Headform'!O5="Blue"),IF(OR('VRU Headform'!O5="Red",'VRU Headform'!O5="D Red"),"Red",IF(OR('VRU Headform'!O5="Green",'VRU Headform'!O5="D Green"),"Green",'VRU Headform'!O5)))</f>
        <v>0</v>
      </c>
      <c r="O128" s="620">
        <f>IF(NOT('VRU Headform'!P5="Blue"),IF(OR('VRU Headform'!P5="Red",'VRU Headform'!P5="D Red"),"Red",IF(OR('VRU Headform'!P5="Green",'VRU Headform'!P5="D Green"),"Green",'VRU Headform'!P5)))</f>
        <v>0</v>
      </c>
      <c r="P128" s="620">
        <f>IF(NOT('VRU Headform'!Q5="Blue"),IF(OR('VRU Headform'!Q5="Red",'VRU Headform'!Q5="D Red"),"Red",IF(OR('VRU Headform'!Q5="Green",'VRU Headform'!Q5="D Green"),"Green",'VRU Headform'!Q5)))</f>
        <v>0</v>
      </c>
      <c r="Q128" s="620">
        <f>IF(NOT('VRU Headform'!R5="Blue"),IF(OR('VRU Headform'!R5="Red",'VRU Headform'!R5="D Red"),"Red",IF(OR('VRU Headform'!R5="Green",'VRU Headform'!R5="D Green"),"Green",'VRU Headform'!R5)))</f>
        <v>0</v>
      </c>
      <c r="R128" s="620">
        <f>IF(NOT('VRU Headform'!S5="Blue"),IF(OR('VRU Headform'!S5="Red",'VRU Headform'!S5="D Red"),"Red",IF(OR('VRU Headform'!S5="Green",'VRU Headform'!S5="D Green"),"Green",'VRU Headform'!S5)))</f>
        <v>0</v>
      </c>
      <c r="S128" s="620">
        <f>IF(NOT('VRU Headform'!T5="Blue"),IF(OR('VRU Headform'!T5="Red",'VRU Headform'!T5="D Red"),"Red",IF(OR('VRU Headform'!T5="Green",'VRU Headform'!T5="D Green"),"Green",'VRU Headform'!T5)))</f>
        <v>0</v>
      </c>
      <c r="T128" s="620">
        <f>IF(NOT('VRU Headform'!U5="Blue"),IF(OR('VRU Headform'!U5="Red",'VRU Headform'!U5="D Red"),"Red",IF(OR('VRU Headform'!U5="Green",'VRU Headform'!U5="D Green"),"Green",'VRU Headform'!U5)))</f>
        <v>0</v>
      </c>
      <c r="U128" s="620">
        <f>IF(NOT('VRU Headform'!V5="Blue"),IF(OR('VRU Headform'!V5="Red",'VRU Headform'!V5="D Red"),"Red",IF(OR('VRU Headform'!V5="Green",'VRU Headform'!V5="D Green"),"Green",'VRU Headform'!V5)))</f>
        <v>0</v>
      </c>
      <c r="V128" s="620">
        <f>IF(NOT('VRU Headform'!W5="Blue"),IF(OR('VRU Headform'!W5="Red",'VRU Headform'!W5="D Red"),"Red",IF(OR('VRU Headform'!W5="Green",'VRU Headform'!W5="D Green"),"Green",'VRU Headform'!W5)))</f>
        <v>0</v>
      </c>
      <c r="W128" s="620">
        <f>IF(NOT('VRU Headform'!X5="Blue"),IF(OR('VRU Headform'!X5="Red",'VRU Headform'!X5="D Red"),"Red",IF(OR('VRU Headform'!X5="Green",'VRU Headform'!X5="D Green"),"Green",'VRU Headform'!X5)))</f>
        <v>0</v>
      </c>
      <c r="X128" s="620">
        <f>IF(NOT('VRU Headform'!Y5="Blue"),IF(OR('VRU Headform'!Y5="Red",'VRU Headform'!Y5="D Red"),"Red",IF(OR('VRU Headform'!Y5="Green",'VRU Headform'!Y5="D Green"),"Green",'VRU Headform'!Y5)))</f>
        <v>0</v>
      </c>
      <c r="Y128" s="620" t="str">
        <f t="shared" ref="Y128:Y132" si="6">IF(C128=$C$126,"Yes","No")</f>
        <v>No</v>
      </c>
      <c r="Z128" s="567"/>
      <c r="AA128" s="567"/>
      <c r="AB128" s="567"/>
      <c r="AC128" s="567"/>
      <c r="AD128" s="567"/>
      <c r="AE128" s="567"/>
      <c r="AF128" s="567"/>
    </row>
    <row r="129" spans="2:32">
      <c r="B129" s="615"/>
      <c r="C129" s="567">
        <v>17</v>
      </c>
      <c r="D129" s="620">
        <f>IF(NOT('VRU Headform'!E6="Blue"),IF(OR('VRU Headform'!E6="Red",'VRU Headform'!E6="D Red"),"Red",IF(OR('VRU Headform'!E6="Green",'VRU Headform'!E6="D Green"),"Green",'VRU Headform'!E6)))</f>
        <v>0</v>
      </c>
      <c r="E129" s="620">
        <f>IF(NOT('VRU Headform'!F6="Blue"),IF(OR('VRU Headform'!F6="Red",'VRU Headform'!F6="D Red"),"Red",IF(OR('VRU Headform'!F6="Green",'VRU Headform'!F6="D Green"),"Green",'VRU Headform'!F6)))</f>
        <v>0</v>
      </c>
      <c r="F129" s="620">
        <f>IF(NOT('VRU Headform'!G6="Blue"),IF(OR('VRU Headform'!G6="Red",'VRU Headform'!G6="D Red"),"Red",IF(OR('VRU Headform'!G6="Green",'VRU Headform'!G6="D Green"),"Green",'VRU Headform'!G6)))</f>
        <v>0</v>
      </c>
      <c r="G129" s="620">
        <f>IF(NOT('VRU Headform'!H6="Blue"),IF(OR('VRU Headform'!H6="Red",'VRU Headform'!H6="D Red"),"Red",IF(OR('VRU Headform'!H6="Green",'VRU Headform'!H6="D Green"),"Green",'VRU Headform'!H6)))</f>
        <v>0</v>
      </c>
      <c r="H129" s="620">
        <f>IF(NOT('VRU Headform'!I6="Blue"),IF(OR('VRU Headform'!I6="Red",'VRU Headform'!I6="D Red"),"Red",IF(OR('VRU Headform'!I6="Green",'VRU Headform'!I6="D Green"),"Green",'VRU Headform'!I6)))</f>
        <v>0</v>
      </c>
      <c r="I129" s="620">
        <f>IF(NOT('VRU Headform'!J6="Blue"),IF(OR('VRU Headform'!J6="Red",'VRU Headform'!J6="D Red"),"Red",IF(OR('VRU Headform'!J6="Green",'VRU Headform'!J6="D Green"),"Green",'VRU Headform'!J6)))</f>
        <v>0</v>
      </c>
      <c r="J129" s="620">
        <f>IF(NOT('VRU Headform'!K6="Blue"),IF(OR('VRU Headform'!K6="Red",'VRU Headform'!K6="D Red"),"Red",IF(OR('VRU Headform'!K6="Green",'VRU Headform'!K6="D Green"),"Green",'VRU Headform'!K6)))</f>
        <v>0</v>
      </c>
      <c r="K129" s="620">
        <f>IF(NOT('VRU Headform'!L6="Blue"),IF(OR('VRU Headform'!L6="Red",'VRU Headform'!L6="D Red"),"Red",IF(OR('VRU Headform'!L6="Green",'VRU Headform'!L6="D Green"),"Green",'VRU Headform'!L6)))</f>
        <v>0</v>
      </c>
      <c r="L129" s="620">
        <f>IF(NOT('VRU Headform'!M6="Blue"),IF(OR('VRU Headform'!M6="Red",'VRU Headform'!M6="D Red"),"Red",IF(OR('VRU Headform'!M6="Green",'VRU Headform'!M6="D Green"),"Green",'VRU Headform'!M6)))</f>
        <v>0</v>
      </c>
      <c r="M129" s="620">
        <f>IF(NOT('VRU Headform'!N6="Blue"),IF(OR('VRU Headform'!N6="Red",'VRU Headform'!N6="D Red"),"Red",IF(OR('VRU Headform'!N6="Green",'VRU Headform'!N6="D Green"),"Green",'VRU Headform'!N6)))</f>
        <v>0</v>
      </c>
      <c r="N129" s="620">
        <f>IF(NOT('VRU Headform'!O6="Blue"),IF(OR('VRU Headform'!O6="Red",'VRU Headform'!O6="D Red"),"Red",IF(OR('VRU Headform'!O6="Green",'VRU Headform'!O6="D Green"),"Green",'VRU Headform'!O6)))</f>
        <v>0</v>
      </c>
      <c r="O129" s="620">
        <f>IF(NOT('VRU Headform'!P6="Blue"),IF(OR('VRU Headform'!P6="Red",'VRU Headform'!P6="D Red"),"Red",IF(OR('VRU Headform'!P6="Green",'VRU Headform'!P6="D Green"),"Green",'VRU Headform'!P6)))</f>
        <v>0</v>
      </c>
      <c r="P129" s="620">
        <f>IF(NOT('VRU Headform'!Q6="Blue"),IF(OR('VRU Headform'!Q6="Red",'VRU Headform'!Q6="D Red"),"Red",IF(OR('VRU Headform'!Q6="Green",'VRU Headform'!Q6="D Green"),"Green",'VRU Headform'!Q6)))</f>
        <v>0</v>
      </c>
      <c r="Q129" s="620">
        <f>IF(NOT('VRU Headform'!R6="Blue"),IF(OR('VRU Headform'!R6="Red",'VRU Headform'!R6="D Red"),"Red",IF(OR('VRU Headform'!R6="Green",'VRU Headform'!R6="D Green"),"Green",'VRU Headform'!R6)))</f>
        <v>0</v>
      </c>
      <c r="R129" s="620">
        <f>IF(NOT('VRU Headform'!S6="Blue"),IF(OR('VRU Headform'!S6="Red",'VRU Headform'!S6="D Red"),"Red",IF(OR('VRU Headform'!S6="Green",'VRU Headform'!S6="D Green"),"Green",'VRU Headform'!S6)))</f>
        <v>0</v>
      </c>
      <c r="S129" s="620">
        <f>IF(NOT('VRU Headform'!T6="Blue"),IF(OR('VRU Headform'!T6="Red",'VRU Headform'!T6="D Red"),"Red",IF(OR('VRU Headform'!T6="Green",'VRU Headform'!T6="D Green"),"Green",'VRU Headform'!T6)))</f>
        <v>0</v>
      </c>
      <c r="T129" s="620">
        <f>IF(NOT('VRU Headform'!U6="Blue"),IF(OR('VRU Headform'!U6="Red",'VRU Headform'!U6="D Red"),"Red",IF(OR('VRU Headform'!U6="Green",'VRU Headform'!U6="D Green"),"Green",'VRU Headform'!U6)))</f>
        <v>0</v>
      </c>
      <c r="U129" s="620">
        <f>IF(NOT('VRU Headform'!V6="Blue"),IF(OR('VRU Headform'!V6="Red",'VRU Headform'!V6="D Red"),"Red",IF(OR('VRU Headform'!V6="Green",'VRU Headform'!V6="D Green"),"Green",'VRU Headform'!V6)))</f>
        <v>0</v>
      </c>
      <c r="V129" s="620">
        <f>IF(NOT('VRU Headform'!W6="Blue"),IF(OR('VRU Headform'!W6="Red",'VRU Headform'!W6="D Red"),"Red",IF(OR('VRU Headform'!W6="Green",'VRU Headform'!W6="D Green"),"Green",'VRU Headform'!W6)))</f>
        <v>0</v>
      </c>
      <c r="W129" s="620">
        <f>IF(NOT('VRU Headform'!X6="Blue"),IF(OR('VRU Headform'!X6="Red",'VRU Headform'!X6="D Red"),"Red",IF(OR('VRU Headform'!X6="Green",'VRU Headform'!X6="D Green"),"Green",'VRU Headform'!X6)))</f>
        <v>0</v>
      </c>
      <c r="X129" s="620">
        <f>IF(NOT('VRU Headform'!Y6="Blue"),IF(OR('VRU Headform'!Y6="Red",'VRU Headform'!Y6="D Red"),"Red",IF(OR('VRU Headform'!Y6="Green",'VRU Headform'!Y6="D Green"),"Green",'VRU Headform'!Y6)))</f>
        <v>0</v>
      </c>
      <c r="Y129" s="620" t="str">
        <f t="shared" si="6"/>
        <v>No</v>
      </c>
      <c r="Z129" s="567"/>
      <c r="AA129" s="567"/>
      <c r="AB129" s="567"/>
      <c r="AC129" s="567"/>
      <c r="AD129" s="567"/>
      <c r="AE129" s="567"/>
      <c r="AF129" s="567"/>
    </row>
    <row r="130" spans="2:32">
      <c r="B130" s="615"/>
      <c r="C130" s="567">
        <v>16</v>
      </c>
      <c r="D130" s="620">
        <f>IF(NOT('VRU Headform'!E7="Blue"),IF(OR('VRU Headform'!E7="Red",'VRU Headform'!E7="D Red"),"Red",IF(OR('VRU Headform'!E7="Green",'VRU Headform'!E7="D Green"),"Green",'VRU Headform'!E7)))</f>
        <v>0</v>
      </c>
      <c r="E130" s="620">
        <f>IF(NOT('VRU Headform'!F7="Blue"),IF(OR('VRU Headform'!F7="Red",'VRU Headform'!F7="D Red"),"Red",IF(OR('VRU Headform'!F7="Green",'VRU Headform'!F7="D Green"),"Green",'VRU Headform'!F7)))</f>
        <v>0</v>
      </c>
      <c r="F130" s="620">
        <f>IF(NOT('VRU Headform'!G7="Blue"),IF(OR('VRU Headform'!G7="Red",'VRU Headform'!G7="D Red"),"Red",IF(OR('VRU Headform'!G7="Green",'VRU Headform'!G7="D Green"),"Green",'VRU Headform'!G7)))</f>
        <v>0</v>
      </c>
      <c r="G130" s="620">
        <f>IF(NOT('VRU Headform'!H7="Blue"),IF(OR('VRU Headform'!H7="Red",'VRU Headform'!H7="D Red"),"Red",IF(OR('VRU Headform'!H7="Green",'VRU Headform'!H7="D Green"),"Green",'VRU Headform'!H7)))</f>
        <v>0</v>
      </c>
      <c r="H130" s="620">
        <f>IF(NOT('VRU Headform'!I7="Blue"),IF(OR('VRU Headform'!I7="Red",'VRU Headform'!I7="D Red"),"Red",IF(OR('VRU Headform'!I7="Green",'VRU Headform'!I7="D Green"),"Green",'VRU Headform'!I7)))</f>
        <v>0</v>
      </c>
      <c r="I130" s="620">
        <f>IF(NOT('VRU Headform'!J7="Blue"),IF(OR('VRU Headform'!J7="Red",'VRU Headform'!J7="D Red"),"Red",IF(OR('VRU Headform'!J7="Green",'VRU Headform'!J7="D Green"),"Green",'VRU Headform'!J7)))</f>
        <v>0</v>
      </c>
      <c r="J130" s="620">
        <f>IF(NOT('VRU Headform'!K7="Blue"),IF(OR('VRU Headform'!K7="Red",'VRU Headform'!K7="D Red"),"Red",IF(OR('VRU Headform'!K7="Green",'VRU Headform'!K7="D Green"),"Green",'VRU Headform'!K7)))</f>
        <v>0</v>
      </c>
      <c r="K130" s="620">
        <f>IF(NOT('VRU Headform'!L7="Blue"),IF(OR('VRU Headform'!L7="Red",'VRU Headform'!L7="D Red"),"Red",IF(OR('VRU Headform'!L7="Green",'VRU Headform'!L7="D Green"),"Green",'VRU Headform'!L7)))</f>
        <v>0</v>
      </c>
      <c r="L130" s="620">
        <f>IF(NOT('VRU Headform'!M7="Blue"),IF(OR('VRU Headform'!M7="Red",'VRU Headform'!M7="D Red"),"Red",IF(OR('VRU Headform'!M7="Green",'VRU Headform'!M7="D Green"),"Green",'VRU Headform'!M7)))</f>
        <v>0</v>
      </c>
      <c r="M130" s="620">
        <f>IF(NOT('VRU Headform'!N7="Blue"),IF(OR('VRU Headform'!N7="Red",'VRU Headform'!N7="D Red"),"Red",IF(OR('VRU Headform'!N7="Green",'VRU Headform'!N7="D Green"),"Green",'VRU Headform'!N7)))</f>
        <v>0</v>
      </c>
      <c r="N130" s="620">
        <f>IF(NOT('VRU Headform'!O7="Blue"),IF(OR('VRU Headform'!O7="Red",'VRU Headform'!O7="D Red"),"Red",IF(OR('VRU Headform'!O7="Green",'VRU Headform'!O7="D Green"),"Green",'VRU Headform'!O7)))</f>
        <v>0</v>
      </c>
      <c r="O130" s="620">
        <f>IF(NOT('VRU Headform'!P7="Blue"),IF(OR('VRU Headform'!P7="Red",'VRU Headform'!P7="D Red"),"Red",IF(OR('VRU Headform'!P7="Green",'VRU Headform'!P7="D Green"),"Green",'VRU Headform'!P7)))</f>
        <v>0</v>
      </c>
      <c r="P130" s="620">
        <f>IF(NOT('VRU Headform'!Q7="Blue"),IF(OR('VRU Headform'!Q7="Red",'VRU Headform'!Q7="D Red"),"Red",IF(OR('VRU Headform'!Q7="Green",'VRU Headform'!Q7="D Green"),"Green",'VRU Headform'!Q7)))</f>
        <v>0</v>
      </c>
      <c r="Q130" s="620">
        <f>IF(NOT('VRU Headform'!R7="Blue"),IF(OR('VRU Headform'!R7="Red",'VRU Headform'!R7="D Red"),"Red",IF(OR('VRU Headform'!R7="Green",'VRU Headform'!R7="D Green"),"Green",'VRU Headform'!R7)))</f>
        <v>0</v>
      </c>
      <c r="R130" s="620">
        <f>IF(NOT('VRU Headform'!S7="Blue"),IF(OR('VRU Headform'!S7="Red",'VRU Headform'!S7="D Red"),"Red",IF(OR('VRU Headform'!S7="Green",'VRU Headform'!S7="D Green"),"Green",'VRU Headform'!S7)))</f>
        <v>0</v>
      </c>
      <c r="S130" s="620">
        <f>IF(NOT('VRU Headform'!T7="Blue"),IF(OR('VRU Headform'!T7="Red",'VRU Headform'!T7="D Red"),"Red",IF(OR('VRU Headform'!T7="Green",'VRU Headform'!T7="D Green"),"Green",'VRU Headform'!T7)))</f>
        <v>0</v>
      </c>
      <c r="T130" s="620">
        <f>IF(NOT('VRU Headform'!U7="Blue"),IF(OR('VRU Headform'!U7="Red",'VRU Headform'!U7="D Red"),"Red",IF(OR('VRU Headform'!U7="Green",'VRU Headform'!U7="D Green"),"Green",'VRU Headform'!U7)))</f>
        <v>0</v>
      </c>
      <c r="U130" s="620">
        <f>IF(NOT('VRU Headform'!V7="Blue"),IF(OR('VRU Headform'!V7="Red",'VRU Headform'!V7="D Red"),"Red",IF(OR('VRU Headform'!V7="Green",'VRU Headform'!V7="D Green"),"Green",'VRU Headform'!V7)))</f>
        <v>0</v>
      </c>
      <c r="V130" s="620">
        <f>IF(NOT('VRU Headform'!W7="Blue"),IF(OR('VRU Headform'!W7="Red",'VRU Headform'!W7="D Red"),"Red",IF(OR('VRU Headform'!W7="Green",'VRU Headform'!W7="D Green"),"Green",'VRU Headform'!W7)))</f>
        <v>0</v>
      </c>
      <c r="W130" s="620">
        <f>IF(NOT('VRU Headform'!X7="Blue"),IF(OR('VRU Headform'!X7="Red",'VRU Headform'!X7="D Red"),"Red",IF(OR('VRU Headform'!X7="Green",'VRU Headform'!X7="D Green"),"Green",'VRU Headform'!X7)))</f>
        <v>0</v>
      </c>
      <c r="X130" s="620">
        <f>IF(NOT('VRU Headform'!Y7="Blue"),IF(OR('VRU Headform'!Y7="Red",'VRU Headform'!Y7="D Red"),"Red",IF(OR('VRU Headform'!Y7="Green",'VRU Headform'!Y7="D Green"),"Green",'VRU Headform'!Y7)))</f>
        <v>0</v>
      </c>
      <c r="Y130" s="620" t="str">
        <f t="shared" si="6"/>
        <v>No</v>
      </c>
      <c r="Z130" s="567"/>
      <c r="AA130" s="567"/>
      <c r="AB130" s="567"/>
      <c r="AC130" s="567"/>
      <c r="AD130" s="567"/>
      <c r="AE130" s="567"/>
      <c r="AF130" s="567"/>
    </row>
    <row r="131" spans="2:32">
      <c r="B131" s="615"/>
      <c r="C131" s="567">
        <v>15</v>
      </c>
      <c r="D131" s="620">
        <f>IF(NOT('VRU Headform'!E8="Blue"),IF(OR('VRU Headform'!E8="Red",'VRU Headform'!E8="D Red"),"Red",IF(OR('VRU Headform'!E8="Green",'VRU Headform'!E8="D Green"),"Green",'VRU Headform'!E8)))</f>
        <v>0</v>
      </c>
      <c r="E131" s="620">
        <f>IF(NOT('VRU Headform'!F8="Blue"),IF(OR('VRU Headform'!F8="Red",'VRU Headform'!F8="D Red"),"Red",IF(OR('VRU Headform'!F8="Green",'VRU Headform'!F8="D Green"),"Green",'VRU Headform'!F8)))</f>
        <v>0</v>
      </c>
      <c r="F131" s="620">
        <f>IF(NOT('VRU Headform'!G8="Blue"),IF(OR('VRU Headform'!G8="Red",'VRU Headform'!G8="D Red"),"Red",IF(OR('VRU Headform'!G8="Green",'VRU Headform'!G8="D Green"),"Green",'VRU Headform'!G8)))</f>
        <v>0</v>
      </c>
      <c r="G131" s="620">
        <f>IF(NOT('VRU Headform'!H8="Blue"),IF(OR('VRU Headform'!H8="Red",'VRU Headform'!H8="D Red"),"Red",IF(OR('VRU Headform'!H8="Green",'VRU Headform'!H8="D Green"),"Green",'VRU Headform'!H8)))</f>
        <v>0</v>
      </c>
      <c r="H131" s="620">
        <f>IF(NOT('VRU Headform'!I8="Blue"),IF(OR('VRU Headform'!I8="Red",'VRU Headform'!I8="D Red"),"Red",IF(OR('VRU Headform'!I8="Green",'VRU Headform'!I8="D Green"),"Green",'VRU Headform'!I8)))</f>
        <v>0</v>
      </c>
      <c r="I131" s="620">
        <f>IF(NOT('VRU Headform'!J8="Blue"),IF(OR('VRU Headform'!J8="Red",'VRU Headform'!J8="D Red"),"Red",IF(OR('VRU Headform'!J8="Green",'VRU Headform'!J8="D Green"),"Green",'VRU Headform'!J8)))</f>
        <v>0</v>
      </c>
      <c r="J131" s="620">
        <f>IF(NOT('VRU Headform'!K8="Blue"),IF(OR('VRU Headform'!K8="Red",'VRU Headform'!K8="D Red"),"Red",IF(OR('VRU Headform'!K8="Green",'VRU Headform'!K8="D Green"),"Green",'VRU Headform'!K8)))</f>
        <v>0</v>
      </c>
      <c r="K131" s="620">
        <f>IF(NOT('VRU Headform'!L8="Blue"),IF(OR('VRU Headform'!L8="Red",'VRU Headform'!L8="D Red"),"Red",IF(OR('VRU Headform'!L8="Green",'VRU Headform'!L8="D Green"),"Green",'VRU Headform'!L8)))</f>
        <v>0</v>
      </c>
      <c r="L131" s="620">
        <f>IF(NOT('VRU Headform'!M8="Blue"),IF(OR('VRU Headform'!M8="Red",'VRU Headform'!M8="D Red"),"Red",IF(OR('VRU Headform'!M8="Green",'VRU Headform'!M8="D Green"),"Green",'VRU Headform'!M8)))</f>
        <v>0</v>
      </c>
      <c r="M131" s="620">
        <f>IF(NOT('VRU Headform'!N8="Blue"),IF(OR('VRU Headform'!N8="Red",'VRU Headform'!N8="D Red"),"Red",IF(OR('VRU Headform'!N8="Green",'VRU Headform'!N8="D Green"),"Green",'VRU Headform'!N8)))</f>
        <v>0</v>
      </c>
      <c r="N131" s="620">
        <f>IF(NOT('VRU Headform'!O8="Blue"),IF(OR('VRU Headform'!O8="Red",'VRU Headform'!O8="D Red"),"Red",IF(OR('VRU Headform'!O8="Green",'VRU Headform'!O8="D Green"),"Green",'VRU Headform'!O8)))</f>
        <v>0</v>
      </c>
      <c r="O131" s="620">
        <f>IF(NOT('VRU Headform'!P8="Blue"),IF(OR('VRU Headform'!P8="Red",'VRU Headform'!P8="D Red"),"Red",IF(OR('VRU Headform'!P8="Green",'VRU Headform'!P8="D Green"),"Green",'VRU Headform'!P8)))</f>
        <v>0</v>
      </c>
      <c r="P131" s="620">
        <f>IF(NOT('VRU Headform'!Q8="Blue"),IF(OR('VRU Headform'!Q8="Red",'VRU Headform'!Q8="D Red"),"Red",IF(OR('VRU Headform'!Q8="Green",'VRU Headform'!Q8="D Green"),"Green",'VRU Headform'!Q8)))</f>
        <v>0</v>
      </c>
      <c r="Q131" s="620">
        <f>IF(NOT('VRU Headform'!R8="Blue"),IF(OR('VRU Headform'!R8="Red",'VRU Headform'!R8="D Red"),"Red",IF(OR('VRU Headform'!R8="Green",'VRU Headform'!R8="D Green"),"Green",'VRU Headform'!R8)))</f>
        <v>0</v>
      </c>
      <c r="R131" s="620">
        <f>IF(NOT('VRU Headform'!S8="Blue"),IF(OR('VRU Headform'!S8="Red",'VRU Headform'!S8="D Red"),"Red",IF(OR('VRU Headform'!S8="Green",'VRU Headform'!S8="D Green"),"Green",'VRU Headform'!S8)))</f>
        <v>0</v>
      </c>
      <c r="S131" s="620">
        <f>IF(NOT('VRU Headform'!T8="Blue"),IF(OR('VRU Headform'!T8="Red",'VRU Headform'!T8="D Red"),"Red",IF(OR('VRU Headform'!T8="Green",'VRU Headform'!T8="D Green"),"Green",'VRU Headform'!T8)))</f>
        <v>0</v>
      </c>
      <c r="T131" s="620">
        <f>IF(NOT('VRU Headform'!U8="Blue"),IF(OR('VRU Headform'!U8="Red",'VRU Headform'!U8="D Red"),"Red",IF(OR('VRU Headform'!U8="Green",'VRU Headform'!U8="D Green"),"Green",'VRU Headform'!U8)))</f>
        <v>0</v>
      </c>
      <c r="U131" s="620">
        <f>IF(NOT('VRU Headform'!V8="Blue"),IF(OR('VRU Headform'!V8="Red",'VRU Headform'!V8="D Red"),"Red",IF(OR('VRU Headform'!V8="Green",'VRU Headform'!V8="D Green"),"Green",'VRU Headform'!V8)))</f>
        <v>0</v>
      </c>
      <c r="V131" s="620">
        <f>IF(NOT('VRU Headform'!W8="Blue"),IF(OR('VRU Headform'!W8="Red",'VRU Headform'!W8="D Red"),"Red",IF(OR('VRU Headform'!W8="Green",'VRU Headform'!W8="D Green"),"Green",'VRU Headform'!W8)))</f>
        <v>0</v>
      </c>
      <c r="W131" s="620">
        <f>IF(NOT('VRU Headform'!X8="Blue"),IF(OR('VRU Headform'!X8="Red",'VRU Headform'!X8="D Red"),"Red",IF(OR('VRU Headform'!X8="Green",'VRU Headform'!X8="D Green"),"Green",'VRU Headform'!X8)))</f>
        <v>0</v>
      </c>
      <c r="X131" s="620">
        <f>IF(NOT('VRU Headform'!Y8="Blue"),IF(OR('VRU Headform'!Y8="Red",'VRU Headform'!Y8="D Red"),"Red",IF(OR('VRU Headform'!Y8="Green",'VRU Headform'!Y8="D Green"),"Green",'VRU Headform'!Y8)))</f>
        <v>0</v>
      </c>
      <c r="Y131" s="620" t="str">
        <f t="shared" si="6"/>
        <v>Yes</v>
      </c>
      <c r="Z131" s="567"/>
      <c r="AA131" s="567"/>
      <c r="AB131" s="567"/>
      <c r="AC131" s="567"/>
      <c r="AD131" s="567"/>
      <c r="AE131" s="567"/>
      <c r="AF131" s="567"/>
    </row>
    <row r="132" spans="2:32">
      <c r="B132" s="616"/>
      <c r="C132" s="567">
        <v>14</v>
      </c>
      <c r="D132" s="620">
        <f>IF(NOT('VRU Headform'!E9="Blue"),IF(OR('VRU Headform'!E9="Red",'VRU Headform'!E9="D Red"),"Red",IF(OR('VRU Headform'!E9="Green",'VRU Headform'!E9="D Green"),"Green",'VRU Headform'!E9)))</f>
        <v>0</v>
      </c>
      <c r="E132" s="620">
        <f>IF(NOT('VRU Headform'!F9="Blue"),IF(OR('VRU Headform'!F9="Red",'VRU Headform'!F9="D Red"),"Red",IF(OR('VRU Headform'!F9="Green",'VRU Headform'!F9="D Green"),"Green",'VRU Headform'!F9)))</f>
        <v>0</v>
      </c>
      <c r="F132" s="620">
        <f>IF(NOT('VRU Headform'!G9="Blue"),IF(OR('VRU Headform'!G9="Red",'VRU Headform'!G9="D Red"),"Red",IF(OR('VRU Headform'!G9="Green",'VRU Headform'!G9="D Green"),"Green",'VRU Headform'!G9)))</f>
        <v>0</v>
      </c>
      <c r="G132" s="620">
        <f>IF(NOT('VRU Headform'!H9="Blue"),IF(OR('VRU Headform'!H9="Red",'VRU Headform'!H9="D Red"),"Red",IF(OR('VRU Headform'!H9="Green",'VRU Headform'!H9="D Green"),"Green",'VRU Headform'!H9)))</f>
        <v>0</v>
      </c>
      <c r="H132" s="620">
        <f>IF(NOT('VRU Headform'!I9="Blue"),IF(OR('VRU Headform'!I9="Red",'VRU Headform'!I9="D Red"),"Red",IF(OR('VRU Headform'!I9="Green",'VRU Headform'!I9="D Green"),"Green",'VRU Headform'!I9)))</f>
        <v>0</v>
      </c>
      <c r="I132" s="620">
        <f>IF(NOT('VRU Headform'!J9="Blue"),IF(OR('VRU Headform'!J9="Red",'VRU Headform'!J9="D Red"),"Red",IF(OR('VRU Headform'!J9="Green",'VRU Headform'!J9="D Green"),"Green",'VRU Headform'!J9)))</f>
        <v>0</v>
      </c>
      <c r="J132" s="620">
        <f>IF(NOT('VRU Headform'!K9="Blue"),IF(OR('VRU Headform'!K9="Red",'VRU Headform'!K9="D Red"),"Red",IF(OR('VRU Headform'!K9="Green",'VRU Headform'!K9="D Green"),"Green",'VRU Headform'!K9)))</f>
        <v>0</v>
      </c>
      <c r="K132" s="620">
        <f>IF(NOT('VRU Headform'!L9="Blue"),IF(OR('VRU Headform'!L9="Red",'VRU Headform'!L9="D Red"),"Red",IF(OR('VRU Headform'!L9="Green",'VRU Headform'!L9="D Green"),"Green",'VRU Headform'!L9)))</f>
        <v>0</v>
      </c>
      <c r="L132" s="620">
        <f>IF(NOT('VRU Headform'!M9="Blue"),IF(OR('VRU Headform'!M9="Red",'VRU Headform'!M9="D Red"),"Red",IF(OR('VRU Headform'!M9="Green",'VRU Headform'!M9="D Green"),"Green",'VRU Headform'!M9)))</f>
        <v>0</v>
      </c>
      <c r="M132" s="620">
        <f>IF(NOT('VRU Headform'!N9="Blue"),IF(OR('VRU Headform'!N9="Red",'VRU Headform'!N9="D Red"),"Red",IF(OR('VRU Headform'!N9="Green",'VRU Headform'!N9="D Green"),"Green",'VRU Headform'!N9)))</f>
        <v>0</v>
      </c>
      <c r="N132" s="620">
        <f>IF(NOT('VRU Headform'!O9="Blue"),IF(OR('VRU Headform'!O9="Red",'VRU Headform'!O9="D Red"),"Red",IF(OR('VRU Headform'!O9="Green",'VRU Headform'!O9="D Green"),"Green",'VRU Headform'!O9)))</f>
        <v>0</v>
      </c>
      <c r="O132" s="620">
        <f>IF(NOT('VRU Headform'!P9="Blue"),IF(OR('VRU Headform'!P9="Red",'VRU Headform'!P9="D Red"),"Red",IF(OR('VRU Headform'!P9="Green",'VRU Headform'!P9="D Green"),"Green",'VRU Headform'!P9)))</f>
        <v>0</v>
      </c>
      <c r="P132" s="620">
        <f>IF(NOT('VRU Headform'!Q9="Blue"),IF(OR('VRU Headform'!Q9="Red",'VRU Headform'!Q9="D Red"),"Red",IF(OR('VRU Headform'!Q9="Green",'VRU Headform'!Q9="D Green"),"Green",'VRU Headform'!Q9)))</f>
        <v>0</v>
      </c>
      <c r="Q132" s="620">
        <f>IF(NOT('VRU Headform'!R9="Blue"),IF(OR('VRU Headform'!R9="Red",'VRU Headform'!R9="D Red"),"Red",IF(OR('VRU Headform'!R9="Green",'VRU Headform'!R9="D Green"),"Green",'VRU Headform'!R9)))</f>
        <v>0</v>
      </c>
      <c r="R132" s="620">
        <f>IF(NOT('VRU Headform'!S9="Blue"),IF(OR('VRU Headform'!S9="Red",'VRU Headform'!S9="D Red"),"Red",IF(OR('VRU Headform'!S9="Green",'VRU Headform'!S9="D Green"),"Green",'VRU Headform'!S9)))</f>
        <v>0</v>
      </c>
      <c r="S132" s="620">
        <f>IF(NOT('VRU Headform'!T9="Blue"),IF(OR('VRU Headform'!T9="Red",'VRU Headform'!T9="D Red"),"Red",IF(OR('VRU Headform'!T9="Green",'VRU Headform'!T9="D Green"),"Green",'VRU Headform'!T9)))</f>
        <v>0</v>
      </c>
      <c r="T132" s="620">
        <f>IF(NOT('VRU Headform'!U9="Blue"),IF(OR('VRU Headform'!U9="Red",'VRU Headform'!U9="D Red"),"Red",IF(OR('VRU Headform'!U9="Green",'VRU Headform'!U9="D Green"),"Green",'VRU Headform'!U9)))</f>
        <v>0</v>
      </c>
      <c r="U132" s="620">
        <f>IF(NOT('VRU Headform'!V9="Blue"),IF(OR('VRU Headform'!V9="Red",'VRU Headform'!V9="D Red"),"Red",IF(OR('VRU Headform'!V9="Green",'VRU Headform'!V9="D Green"),"Green",'VRU Headform'!V9)))</f>
        <v>0</v>
      </c>
      <c r="V132" s="620">
        <f>IF(NOT('VRU Headform'!W9="Blue"),IF(OR('VRU Headform'!W9="Red",'VRU Headform'!W9="D Red"),"Red",IF(OR('VRU Headform'!W9="Green",'VRU Headform'!W9="D Green"),"Green",'VRU Headform'!W9)))</f>
        <v>0</v>
      </c>
      <c r="W132" s="620">
        <f>IF(NOT('VRU Headform'!X9="Blue"),IF(OR('VRU Headform'!X9="Red",'VRU Headform'!X9="D Red"),"Red",IF(OR('VRU Headform'!X9="Green",'VRU Headform'!X9="D Green"),"Green",'VRU Headform'!X9)))</f>
        <v>0</v>
      </c>
      <c r="X132" s="620">
        <f>IF(NOT('VRU Headform'!Y9="Blue"),IF(OR('VRU Headform'!Y9="Red",'VRU Headform'!Y9="D Red"),"Red",IF(OR('VRU Headform'!Y9="Green",'VRU Headform'!Y9="D Green"),"Green",'VRU Headform'!Y9)))</f>
        <v>0</v>
      </c>
      <c r="Y132" s="620" t="str">
        <f t="shared" si="6"/>
        <v>No</v>
      </c>
      <c r="Z132" s="567"/>
      <c r="AA132" s="567"/>
      <c r="AB132" s="567"/>
      <c r="AC132" s="567"/>
      <c r="AD132" s="567"/>
      <c r="AE132" s="567"/>
      <c r="AF132" s="567"/>
    </row>
    <row r="133" spans="2:32">
      <c r="B133" s="616"/>
      <c r="C133" s="567">
        <v>13</v>
      </c>
      <c r="D133" s="620">
        <f>IF(NOT('VRU Headform'!E10="Blue"),IF(OR('VRU Headform'!E10="Red",'VRU Headform'!E10="D Red"),"Red",IF(OR('VRU Headform'!E10="Green",'VRU Headform'!E10="D Green"),"Green",'VRU Headform'!E10)))</f>
        <v>0</v>
      </c>
      <c r="E133" s="620">
        <f>IF(NOT('VRU Headform'!F10="Blue"),IF(OR('VRU Headform'!F10="Red",'VRU Headform'!F10="D Red"),"Red",IF(OR('VRU Headform'!F10="Green",'VRU Headform'!F10="D Green"),"Green",'VRU Headform'!F10)))</f>
        <v>0</v>
      </c>
      <c r="F133" s="620">
        <f>IF(NOT('VRU Headform'!G10="Blue"),IF(OR('VRU Headform'!G10="Red",'VRU Headform'!G10="D Red"),"Red",IF(OR('VRU Headform'!G10="Green",'VRU Headform'!G10="D Green"),"Green",'VRU Headform'!G10)))</f>
        <v>0</v>
      </c>
      <c r="G133" s="620">
        <f>IF(NOT('VRU Headform'!H10="Blue"),IF(OR('VRU Headform'!H10="Red",'VRU Headform'!H10="D Red"),"Red",IF(OR('VRU Headform'!H10="Green",'VRU Headform'!H10="D Green"),"Green",'VRU Headform'!H10)))</f>
        <v>0</v>
      </c>
      <c r="H133" s="620">
        <f>IF(NOT('VRU Headform'!I10="Blue"),IF(OR('VRU Headform'!I10="Red",'VRU Headform'!I10="D Red"),"Red",IF(OR('VRU Headform'!I10="Green",'VRU Headform'!I10="D Green"),"Green",'VRU Headform'!I10)))</f>
        <v>0</v>
      </c>
      <c r="I133" s="620">
        <f>IF(NOT('VRU Headform'!J10="Blue"),IF(OR('VRU Headform'!J10="Red",'VRU Headform'!J10="D Red"),"Red",IF(OR('VRU Headform'!J10="Green",'VRU Headform'!J10="D Green"),"Green",'VRU Headform'!J10)))</f>
        <v>0</v>
      </c>
      <c r="J133" s="620">
        <f>IF(NOT('VRU Headform'!K10="Blue"),IF(OR('VRU Headform'!K10="Red",'VRU Headform'!K10="D Red"),"Red",IF(OR('VRU Headform'!K10="Green",'VRU Headform'!K10="D Green"),"Green",'VRU Headform'!K10)))</f>
        <v>0</v>
      </c>
      <c r="K133" s="620">
        <f>IF(NOT('VRU Headform'!L10="Blue"),IF(OR('VRU Headform'!L10="Red",'VRU Headform'!L10="D Red"),"Red",IF(OR('VRU Headform'!L10="Green",'VRU Headform'!L10="D Green"),"Green",'VRU Headform'!L10)))</f>
        <v>0</v>
      </c>
      <c r="L133" s="620">
        <f>IF(NOT('VRU Headform'!M10="Blue"),IF(OR('VRU Headform'!M10="Red",'VRU Headform'!M10="D Red"),"Red",IF(OR('VRU Headform'!M10="Green",'VRU Headform'!M10="D Green"),"Green",'VRU Headform'!M10)))</f>
        <v>0</v>
      </c>
      <c r="M133" s="620">
        <f>IF(NOT('VRU Headform'!N10="Blue"),IF(OR('VRU Headform'!N10="Red",'VRU Headform'!N10="D Red"),"Red",IF(OR('VRU Headform'!N10="Green",'VRU Headform'!N10="D Green"),"Green",'VRU Headform'!N10)))</f>
        <v>0</v>
      </c>
      <c r="N133" s="620">
        <f>IF(NOT('VRU Headform'!O10="Blue"),IF(OR('VRU Headform'!O10="Red",'VRU Headform'!O10="D Red"),"Red",IF(OR('VRU Headform'!O10="Green",'VRU Headform'!O10="D Green"),"Green",'VRU Headform'!O10)))</f>
        <v>0</v>
      </c>
      <c r="O133" s="620">
        <f>IF(NOT('VRU Headform'!P10="Blue"),IF(OR('VRU Headform'!P10="Red",'VRU Headform'!P10="D Red"),"Red",IF(OR('VRU Headform'!P10="Green",'VRU Headform'!P10="D Green"),"Green",'VRU Headform'!P10)))</f>
        <v>0</v>
      </c>
      <c r="P133" s="620">
        <f>IF(NOT('VRU Headform'!Q10="Blue"),IF(OR('VRU Headform'!Q10="Red",'VRU Headform'!Q10="D Red"),"Red",IF(OR('VRU Headform'!Q10="Green",'VRU Headform'!Q10="D Green"),"Green",'VRU Headform'!Q10)))</f>
        <v>0</v>
      </c>
      <c r="Q133" s="620">
        <f>IF(NOT('VRU Headform'!R10="Blue"),IF(OR('VRU Headform'!R10="Red",'VRU Headform'!R10="D Red"),"Red",IF(OR('VRU Headform'!R10="Green",'VRU Headform'!R10="D Green"),"Green",'VRU Headform'!R10)))</f>
        <v>0</v>
      </c>
      <c r="R133" s="620">
        <f>IF(NOT('VRU Headform'!S10="Blue"),IF(OR('VRU Headform'!S10="Red",'VRU Headform'!S10="D Red"),"Red",IF(OR('VRU Headform'!S10="Green",'VRU Headform'!S10="D Green"),"Green",'VRU Headform'!S10)))</f>
        <v>0</v>
      </c>
      <c r="S133" s="620">
        <f>IF(NOT('VRU Headform'!T10="Blue"),IF(OR('VRU Headform'!T10="Red",'VRU Headform'!T10="D Red"),"Red",IF(OR('VRU Headform'!T10="Green",'VRU Headform'!T10="D Green"),"Green",'VRU Headform'!T10)))</f>
        <v>0</v>
      </c>
      <c r="T133" s="620">
        <f>IF(NOT('VRU Headform'!U10="Blue"),IF(OR('VRU Headform'!U10="Red",'VRU Headform'!U10="D Red"),"Red",IF(OR('VRU Headform'!U10="Green",'VRU Headform'!U10="D Green"),"Green",'VRU Headform'!U10)))</f>
        <v>0</v>
      </c>
      <c r="U133" s="620">
        <f>IF(NOT('VRU Headform'!V10="Blue"),IF(OR('VRU Headform'!V10="Red",'VRU Headform'!V10="D Red"),"Red",IF(OR('VRU Headform'!V10="Green",'VRU Headform'!V10="D Green"),"Green",'VRU Headform'!V10)))</f>
        <v>0</v>
      </c>
      <c r="V133" s="620">
        <f>IF(NOT('VRU Headform'!W10="Blue"),IF(OR('VRU Headform'!W10="Red",'VRU Headform'!W10="D Red"),"Red",IF(OR('VRU Headform'!W10="Green",'VRU Headform'!W10="D Green"),"Green",'VRU Headform'!W10)))</f>
        <v>0</v>
      </c>
      <c r="W133" s="620">
        <f>IF(NOT('VRU Headform'!X10="Blue"),IF(OR('VRU Headform'!X10="Red",'VRU Headform'!X10="D Red"),"Red",IF(OR('VRU Headform'!X10="Green",'VRU Headform'!X10="D Green"),"Green",'VRU Headform'!X10)))</f>
        <v>0</v>
      </c>
      <c r="X133" s="620">
        <f>IF(NOT('VRU Headform'!Y10="Blue"),IF(OR('VRU Headform'!Y10="Red",'VRU Headform'!Y10="D Red"),"Red",IF(OR('VRU Headform'!Y10="Green",'VRU Headform'!Y10="D Green"),"Green",'VRU Headform'!Y10)))</f>
        <v>0</v>
      </c>
      <c r="Y133" s="620" t="str">
        <f t="shared" ref="Y133:Y145" si="7">IF(C133=$C$126,"Yes","No")</f>
        <v>No</v>
      </c>
      <c r="Z133" s="567"/>
      <c r="AA133" s="567"/>
      <c r="AB133" s="567"/>
      <c r="AC133" s="567"/>
      <c r="AD133" s="567"/>
      <c r="AE133" s="567"/>
      <c r="AF133" s="567"/>
    </row>
    <row r="134" spans="2:32">
      <c r="B134" s="617" t="str">
        <f t="array" ref="B134">IF(OR(D128:X146=0),"COLOUR MISSING","ALL OK")</f>
        <v>COLOUR MISSING</v>
      </c>
      <c r="C134" s="567">
        <v>12</v>
      </c>
      <c r="D134" s="620">
        <f>IF(NOT('VRU Headform'!E11="Blue"),IF(OR('VRU Headform'!E11="Red",'VRU Headform'!E11="D Red"),"Red",IF(OR('VRU Headform'!E11="Green",'VRU Headform'!E11="D Green"),"Green",'VRU Headform'!E11)))</f>
        <v>0</v>
      </c>
      <c r="E134" s="620">
        <f>IF(NOT('VRU Headform'!F11="Blue"),IF(OR('VRU Headform'!F11="Red",'VRU Headform'!F11="D Red"),"Red",IF(OR('VRU Headform'!F11="Green",'VRU Headform'!F11="D Green"),"Green",'VRU Headform'!F11)))</f>
        <v>0</v>
      </c>
      <c r="F134" s="620">
        <f>IF(NOT('VRU Headform'!G11="Blue"),IF(OR('VRU Headform'!G11="Red",'VRU Headform'!G11="D Red"),"Red",IF(OR('VRU Headform'!G11="Green",'VRU Headform'!G11="D Green"),"Green",'VRU Headform'!G11)))</f>
        <v>0</v>
      </c>
      <c r="G134" s="620">
        <f>IF(NOT('VRU Headform'!H11="Blue"),IF(OR('VRU Headform'!H11="Red",'VRU Headform'!H11="D Red"),"Red",IF(OR('VRU Headform'!H11="Green",'VRU Headform'!H11="D Green"),"Green",'VRU Headform'!H11)))</f>
        <v>0</v>
      </c>
      <c r="H134" s="620">
        <f>IF(NOT('VRU Headform'!I11="Blue"),IF(OR('VRU Headform'!I11="Red",'VRU Headform'!I11="D Red"),"Red",IF(OR('VRU Headform'!I11="Green",'VRU Headform'!I11="D Green"),"Green",'VRU Headform'!I11)))</f>
        <v>0</v>
      </c>
      <c r="I134" s="620">
        <f>IF(NOT('VRU Headform'!J11="Blue"),IF(OR('VRU Headform'!J11="Red",'VRU Headform'!J11="D Red"),"Red",IF(OR('VRU Headform'!J11="Green",'VRU Headform'!J11="D Green"),"Green",'VRU Headform'!J11)))</f>
        <v>0</v>
      </c>
      <c r="J134" s="620">
        <f>IF(NOT('VRU Headform'!K11="Blue"),IF(OR('VRU Headform'!K11="Red",'VRU Headform'!K11="D Red"),"Red",IF(OR('VRU Headform'!K11="Green",'VRU Headform'!K11="D Green"),"Green",'VRU Headform'!K11)))</f>
        <v>0</v>
      </c>
      <c r="K134" s="620">
        <f>IF(NOT('VRU Headform'!L11="Blue"),IF(OR('VRU Headform'!L11="Red",'VRU Headform'!L11="D Red"),"Red",IF(OR('VRU Headform'!L11="Green",'VRU Headform'!L11="D Green"),"Green",'VRU Headform'!L11)))</f>
        <v>0</v>
      </c>
      <c r="L134" s="620">
        <f>IF(NOT('VRU Headform'!M11="Blue"),IF(OR('VRU Headform'!M11="Red",'VRU Headform'!M11="D Red"),"Red",IF(OR('VRU Headform'!M11="Green",'VRU Headform'!M11="D Green"),"Green",'VRU Headform'!M11)))</f>
        <v>0</v>
      </c>
      <c r="M134" s="620">
        <f>IF(NOT('VRU Headform'!N11="Blue"),IF(OR('VRU Headform'!N11="Red",'VRU Headform'!N11="D Red"),"Red",IF(OR('VRU Headform'!N11="Green",'VRU Headform'!N11="D Green"),"Green",'VRU Headform'!N11)))</f>
        <v>0</v>
      </c>
      <c r="N134" s="620">
        <f>IF(NOT('VRU Headform'!O11="Blue"),IF(OR('VRU Headform'!O11="Red",'VRU Headform'!O11="D Red"),"Red",IF(OR('VRU Headform'!O11="Green",'VRU Headform'!O11="D Green"),"Green",'VRU Headform'!O11)))</f>
        <v>0</v>
      </c>
      <c r="O134" s="620">
        <f>IF(NOT('VRU Headform'!P11="Blue"),IF(OR('VRU Headform'!P11="Red",'VRU Headform'!P11="D Red"),"Red",IF(OR('VRU Headform'!P11="Green",'VRU Headform'!P11="D Green"),"Green",'VRU Headform'!P11)))</f>
        <v>0</v>
      </c>
      <c r="P134" s="620">
        <f>IF(NOT('VRU Headform'!Q11="Blue"),IF(OR('VRU Headform'!Q11="Red",'VRU Headform'!Q11="D Red"),"Red",IF(OR('VRU Headform'!Q11="Green",'VRU Headform'!Q11="D Green"),"Green",'VRU Headform'!Q11)))</f>
        <v>0</v>
      </c>
      <c r="Q134" s="620">
        <f>IF(NOT('VRU Headform'!R11="Blue"),IF(OR('VRU Headform'!R11="Red",'VRU Headform'!R11="D Red"),"Red",IF(OR('VRU Headform'!R11="Green",'VRU Headform'!R11="D Green"),"Green",'VRU Headform'!R11)))</f>
        <v>0</v>
      </c>
      <c r="R134" s="620">
        <f>IF(NOT('VRU Headform'!S11="Blue"),IF(OR('VRU Headform'!S11="Red",'VRU Headform'!S11="D Red"),"Red",IF(OR('VRU Headform'!S11="Green",'VRU Headform'!S11="D Green"),"Green",'VRU Headform'!S11)))</f>
        <v>0</v>
      </c>
      <c r="S134" s="620">
        <f>IF(NOT('VRU Headform'!T11="Blue"),IF(OR('VRU Headform'!T11="Red",'VRU Headform'!T11="D Red"),"Red",IF(OR('VRU Headform'!T11="Green",'VRU Headform'!T11="D Green"),"Green",'VRU Headform'!T11)))</f>
        <v>0</v>
      </c>
      <c r="T134" s="620">
        <f>IF(NOT('VRU Headform'!U11="Blue"),IF(OR('VRU Headform'!U11="Red",'VRU Headform'!U11="D Red"),"Red",IF(OR('VRU Headform'!U11="Green",'VRU Headform'!U11="D Green"),"Green",'VRU Headform'!U11)))</f>
        <v>0</v>
      </c>
      <c r="U134" s="620">
        <f>IF(NOT('VRU Headform'!V11="Blue"),IF(OR('VRU Headform'!V11="Red",'VRU Headform'!V11="D Red"),"Red",IF(OR('VRU Headform'!V11="Green",'VRU Headform'!V11="D Green"),"Green",'VRU Headform'!V11)))</f>
        <v>0</v>
      </c>
      <c r="V134" s="620">
        <f>IF(NOT('VRU Headform'!W11="Blue"),IF(OR('VRU Headform'!W11="Red",'VRU Headform'!W11="D Red"),"Red",IF(OR('VRU Headform'!W11="Green",'VRU Headform'!W11="D Green"),"Green",'VRU Headform'!W11)))</f>
        <v>0</v>
      </c>
      <c r="W134" s="620">
        <f>IF(NOT('VRU Headform'!X11="Blue"),IF(OR('VRU Headform'!X11="Red",'VRU Headform'!X11="D Red"),"Red",IF(OR('VRU Headform'!X11="Green",'VRU Headform'!X11="D Green"),"Green",'VRU Headform'!X11)))</f>
        <v>0</v>
      </c>
      <c r="X134" s="620">
        <f>IF(NOT('VRU Headform'!Y11="Blue"),IF(OR('VRU Headform'!Y11="Red",'VRU Headform'!Y11="D Red"),"Red",IF(OR('VRU Headform'!Y11="Green",'VRU Headform'!Y11="D Green"),"Green",'VRU Headform'!Y11)))</f>
        <v>0</v>
      </c>
      <c r="Y134" s="620" t="str">
        <f t="shared" si="7"/>
        <v>No</v>
      </c>
      <c r="Z134" s="567"/>
      <c r="AA134" s="567"/>
      <c r="AB134" s="567"/>
      <c r="AC134" s="567"/>
      <c r="AD134" s="567"/>
      <c r="AE134" s="567"/>
      <c r="AF134" s="567"/>
    </row>
    <row r="135" spans="2:32">
      <c r="B135" s="616"/>
      <c r="C135" s="567">
        <v>11</v>
      </c>
      <c r="D135" s="620">
        <f>IF(NOT('VRU Headform'!E12="Blue"),IF(OR('VRU Headform'!E12="Red",'VRU Headform'!E12="D Red"),"Red",IF(OR('VRU Headform'!E12="Green",'VRU Headform'!E12="D Green"),"Green",'VRU Headform'!E12)))</f>
        <v>0</v>
      </c>
      <c r="E135" s="620">
        <f>IF(NOT('VRU Headform'!F12="Blue"),IF(OR('VRU Headform'!F12="Red",'VRU Headform'!F12="D Red"),"Red",IF(OR('VRU Headform'!F12="Green",'VRU Headform'!F12="D Green"),"Green",'VRU Headform'!F12)))</f>
        <v>0</v>
      </c>
      <c r="F135" s="620">
        <f>IF(NOT('VRU Headform'!G12="Blue"),IF(OR('VRU Headform'!G12="Red",'VRU Headform'!G12="D Red"),"Red",IF(OR('VRU Headform'!G12="Green",'VRU Headform'!G12="D Green"),"Green",'VRU Headform'!G12)))</f>
        <v>0</v>
      </c>
      <c r="G135" s="620">
        <f>IF(NOT('VRU Headform'!H12="Blue"),IF(OR('VRU Headform'!H12="Red",'VRU Headform'!H12="D Red"),"Red",IF(OR('VRU Headform'!H12="Green",'VRU Headform'!H12="D Green"),"Green",'VRU Headform'!H12)))</f>
        <v>0</v>
      </c>
      <c r="H135" s="620">
        <f>IF(NOT('VRU Headform'!I12="Blue"),IF(OR('VRU Headform'!I12="Red",'VRU Headform'!I12="D Red"),"Red",IF(OR('VRU Headform'!I12="Green",'VRU Headform'!I12="D Green"),"Green",'VRU Headform'!I12)))</f>
        <v>0</v>
      </c>
      <c r="I135" s="620">
        <f>IF(NOT('VRU Headform'!J12="Blue"),IF(OR('VRU Headform'!J12="Red",'VRU Headform'!J12="D Red"),"Red",IF(OR('VRU Headform'!J12="Green",'VRU Headform'!J12="D Green"),"Green",'VRU Headform'!J12)))</f>
        <v>0</v>
      </c>
      <c r="J135" s="620">
        <f>IF(NOT('VRU Headform'!K12="Blue"),IF(OR('VRU Headform'!K12="Red",'VRU Headform'!K12="D Red"),"Red",IF(OR('VRU Headform'!K12="Green",'VRU Headform'!K12="D Green"),"Green",'VRU Headform'!K12)))</f>
        <v>0</v>
      </c>
      <c r="K135" s="620">
        <f>IF(NOT('VRU Headform'!L12="Blue"),IF(OR('VRU Headform'!L12="Red",'VRU Headform'!L12="D Red"),"Red",IF(OR('VRU Headform'!L12="Green",'VRU Headform'!L12="D Green"),"Green",'VRU Headform'!L12)))</f>
        <v>0</v>
      </c>
      <c r="L135" s="620">
        <f>IF(NOT('VRU Headform'!M12="Blue"),IF(OR('VRU Headform'!M12="Red",'VRU Headform'!M12="D Red"),"Red",IF(OR('VRU Headform'!M12="Green",'VRU Headform'!M12="D Green"),"Green",'VRU Headform'!M12)))</f>
        <v>0</v>
      </c>
      <c r="M135" s="620">
        <f>IF(NOT('VRU Headform'!N12="Blue"),IF(OR('VRU Headform'!N12="Red",'VRU Headform'!N12="D Red"),"Red",IF(OR('VRU Headform'!N12="Green",'VRU Headform'!N12="D Green"),"Green",'VRU Headform'!N12)))</f>
        <v>0</v>
      </c>
      <c r="N135" s="620">
        <f>IF(NOT('VRU Headform'!O12="Blue"),IF(OR('VRU Headform'!O12="Red",'VRU Headform'!O12="D Red"),"Red",IF(OR('VRU Headform'!O12="Green",'VRU Headform'!O12="D Green"),"Green",'VRU Headform'!O12)))</f>
        <v>0</v>
      </c>
      <c r="O135" s="620">
        <f>IF(NOT('VRU Headform'!P12="Blue"),IF(OR('VRU Headform'!P12="Red",'VRU Headform'!P12="D Red"),"Red",IF(OR('VRU Headform'!P12="Green",'VRU Headform'!P12="D Green"),"Green",'VRU Headform'!P12)))</f>
        <v>0</v>
      </c>
      <c r="P135" s="620">
        <f>IF(NOT('VRU Headform'!Q12="Blue"),IF(OR('VRU Headform'!Q12="Red",'VRU Headform'!Q12="D Red"),"Red",IF(OR('VRU Headform'!Q12="Green",'VRU Headform'!Q12="D Green"),"Green",'VRU Headform'!Q12)))</f>
        <v>0</v>
      </c>
      <c r="Q135" s="620">
        <f>IF(NOT('VRU Headform'!R12="Blue"),IF(OR('VRU Headform'!R12="Red",'VRU Headform'!R12="D Red"),"Red",IF(OR('VRU Headform'!R12="Green",'VRU Headform'!R12="D Green"),"Green",'VRU Headform'!R12)))</f>
        <v>0</v>
      </c>
      <c r="R135" s="620">
        <f>IF(NOT('VRU Headform'!S12="Blue"),IF(OR('VRU Headform'!S12="Red",'VRU Headform'!S12="D Red"),"Red",IF(OR('VRU Headform'!S12="Green",'VRU Headform'!S12="D Green"),"Green",'VRU Headform'!S12)))</f>
        <v>0</v>
      </c>
      <c r="S135" s="620">
        <f>IF(NOT('VRU Headform'!T12="Blue"),IF(OR('VRU Headform'!T12="Red",'VRU Headform'!T12="D Red"),"Red",IF(OR('VRU Headform'!T12="Green",'VRU Headform'!T12="D Green"),"Green",'VRU Headform'!T12)))</f>
        <v>0</v>
      </c>
      <c r="T135" s="620">
        <f>IF(NOT('VRU Headform'!U12="Blue"),IF(OR('VRU Headform'!U12="Red",'VRU Headform'!U12="D Red"),"Red",IF(OR('VRU Headform'!U12="Green",'VRU Headform'!U12="D Green"),"Green",'VRU Headform'!U12)))</f>
        <v>0</v>
      </c>
      <c r="U135" s="620">
        <f>IF(NOT('VRU Headform'!V12="Blue"),IF(OR('VRU Headform'!V12="Red",'VRU Headform'!V12="D Red"),"Red",IF(OR('VRU Headform'!V12="Green",'VRU Headform'!V12="D Green"),"Green",'VRU Headform'!V12)))</f>
        <v>0</v>
      </c>
      <c r="V135" s="620">
        <f>IF(NOT('VRU Headform'!W12="Blue"),IF(OR('VRU Headform'!W12="Red",'VRU Headform'!W12="D Red"),"Red",IF(OR('VRU Headform'!W12="Green",'VRU Headform'!W12="D Green"),"Green",'VRU Headform'!W12)))</f>
        <v>0</v>
      </c>
      <c r="W135" s="620">
        <f>IF(NOT('VRU Headform'!X12="Blue"),IF(OR('VRU Headform'!X12="Red",'VRU Headform'!X12="D Red"),"Red",IF(OR('VRU Headform'!X12="Green",'VRU Headform'!X12="D Green"),"Green",'VRU Headform'!X12)))</f>
        <v>0</v>
      </c>
      <c r="X135" s="620">
        <f>IF(NOT('VRU Headform'!Y12="Blue"),IF(OR('VRU Headform'!Y12="Red",'VRU Headform'!Y12="D Red"),"Red",IF(OR('VRU Headform'!Y12="Green",'VRU Headform'!Y12="D Green"),"Green",'VRU Headform'!Y12)))</f>
        <v>0</v>
      </c>
      <c r="Y135" s="620" t="str">
        <f t="shared" si="7"/>
        <v>No</v>
      </c>
      <c r="Z135" s="567"/>
      <c r="AA135" s="567"/>
      <c r="AB135" s="567"/>
      <c r="AC135" s="567"/>
      <c r="AD135" s="567"/>
      <c r="AE135" s="567"/>
      <c r="AF135" s="567"/>
    </row>
    <row r="136" spans="2:32">
      <c r="B136" s="616"/>
      <c r="C136" s="567">
        <v>10</v>
      </c>
      <c r="D136" s="620">
        <f>IF(NOT('VRU Headform'!E13="Blue"),IF(OR('VRU Headform'!E13="Red",'VRU Headform'!E13="D Red"),"Red",IF(OR('VRU Headform'!E13="Green",'VRU Headform'!E13="D Green"),"Green",'VRU Headform'!E13)))</f>
        <v>0</v>
      </c>
      <c r="E136" s="620">
        <f>IF(NOT('VRU Headform'!F13="Blue"),IF(OR('VRU Headform'!F13="Red",'VRU Headform'!F13="D Red"),"Red",IF(OR('VRU Headform'!F13="Green",'VRU Headform'!F13="D Green"),"Green",'VRU Headform'!F13)))</f>
        <v>0</v>
      </c>
      <c r="F136" s="620">
        <f>IF(NOT('VRU Headform'!G13="Blue"),IF(OR('VRU Headform'!G13="Red",'VRU Headform'!G13="D Red"),"Red",IF(OR('VRU Headform'!G13="Green",'VRU Headform'!G13="D Green"),"Green",'VRU Headform'!G13)))</f>
        <v>0</v>
      </c>
      <c r="G136" s="620">
        <f>IF(NOT('VRU Headform'!H13="Blue"),IF(OR('VRU Headform'!H13="Red",'VRU Headform'!H13="D Red"),"Red",IF(OR('VRU Headform'!H13="Green",'VRU Headform'!H13="D Green"),"Green",'VRU Headform'!H13)))</f>
        <v>0</v>
      </c>
      <c r="H136" s="620">
        <f>IF(NOT('VRU Headform'!I13="Blue"),IF(OR('VRU Headform'!I13="Red",'VRU Headform'!I13="D Red"),"Red",IF(OR('VRU Headform'!I13="Green",'VRU Headform'!I13="D Green"),"Green",'VRU Headform'!I13)))</f>
        <v>0</v>
      </c>
      <c r="I136" s="620">
        <f>IF(NOT('VRU Headform'!J13="Blue"),IF(OR('VRU Headform'!J13="Red",'VRU Headform'!J13="D Red"),"Red",IF(OR('VRU Headform'!J13="Green",'VRU Headform'!J13="D Green"),"Green",'VRU Headform'!J13)))</f>
        <v>0</v>
      </c>
      <c r="J136" s="620">
        <f>IF(NOT('VRU Headform'!K13="Blue"),IF(OR('VRU Headform'!K13="Red",'VRU Headform'!K13="D Red"),"Red",IF(OR('VRU Headform'!K13="Green",'VRU Headform'!K13="D Green"),"Green",'VRU Headform'!K13)))</f>
        <v>0</v>
      </c>
      <c r="K136" s="620">
        <f>IF(NOT('VRU Headform'!L13="Blue"),IF(OR('VRU Headform'!L13="Red",'VRU Headform'!L13="D Red"),"Red",IF(OR('VRU Headform'!L13="Green",'VRU Headform'!L13="D Green"),"Green",'VRU Headform'!L13)))</f>
        <v>0</v>
      </c>
      <c r="L136" s="620">
        <f>IF(NOT('VRU Headform'!M13="Blue"),IF(OR('VRU Headform'!M13="Red",'VRU Headform'!M13="D Red"),"Red",IF(OR('VRU Headform'!M13="Green",'VRU Headform'!M13="D Green"),"Green",'VRU Headform'!M13)))</f>
        <v>0</v>
      </c>
      <c r="M136" s="620">
        <f>IF(NOT('VRU Headform'!N13="Blue"),IF(OR('VRU Headform'!N13="Red",'VRU Headform'!N13="D Red"),"Red",IF(OR('VRU Headform'!N13="Green",'VRU Headform'!N13="D Green"),"Green",'VRU Headform'!N13)))</f>
        <v>0</v>
      </c>
      <c r="N136" s="620">
        <f>IF(NOT('VRU Headform'!O13="Blue"),IF(OR('VRU Headform'!O13="Red",'VRU Headform'!O13="D Red"),"Red",IF(OR('VRU Headform'!O13="Green",'VRU Headform'!O13="D Green"),"Green",'VRU Headform'!O13)))</f>
        <v>0</v>
      </c>
      <c r="O136" s="620">
        <f>IF(NOT('VRU Headform'!P13="Blue"),IF(OR('VRU Headform'!P13="Red",'VRU Headform'!P13="D Red"),"Red",IF(OR('VRU Headform'!P13="Green",'VRU Headform'!P13="D Green"),"Green",'VRU Headform'!P13)))</f>
        <v>0</v>
      </c>
      <c r="P136" s="620">
        <f>IF(NOT('VRU Headform'!Q13="Blue"),IF(OR('VRU Headform'!Q13="Red",'VRU Headform'!Q13="D Red"),"Red",IF(OR('VRU Headform'!Q13="Green",'VRU Headform'!Q13="D Green"),"Green",'VRU Headform'!Q13)))</f>
        <v>0</v>
      </c>
      <c r="Q136" s="620">
        <f>IF(NOT('VRU Headform'!R13="Blue"),IF(OR('VRU Headform'!R13="Red",'VRU Headform'!R13="D Red"),"Red",IF(OR('VRU Headform'!R13="Green",'VRU Headform'!R13="D Green"),"Green",'VRU Headform'!R13)))</f>
        <v>0</v>
      </c>
      <c r="R136" s="620">
        <f>IF(NOT('VRU Headform'!S13="Blue"),IF(OR('VRU Headform'!S13="Red",'VRU Headform'!S13="D Red"),"Red",IF(OR('VRU Headform'!S13="Green",'VRU Headform'!S13="D Green"),"Green",'VRU Headform'!S13)))</f>
        <v>0</v>
      </c>
      <c r="S136" s="620">
        <f>IF(NOT('VRU Headform'!T13="Blue"),IF(OR('VRU Headform'!T13="Red",'VRU Headform'!T13="D Red"),"Red",IF(OR('VRU Headform'!T13="Green",'VRU Headform'!T13="D Green"),"Green",'VRU Headform'!T13)))</f>
        <v>0</v>
      </c>
      <c r="T136" s="620">
        <f>IF(NOT('VRU Headform'!U13="Blue"),IF(OR('VRU Headform'!U13="Red",'VRU Headform'!U13="D Red"),"Red",IF(OR('VRU Headform'!U13="Green",'VRU Headform'!U13="D Green"),"Green",'VRU Headform'!U13)))</f>
        <v>0</v>
      </c>
      <c r="U136" s="620">
        <f>IF(NOT('VRU Headform'!V13="Blue"),IF(OR('VRU Headform'!V13="Red",'VRU Headform'!V13="D Red"),"Red",IF(OR('VRU Headform'!V13="Green",'VRU Headform'!V13="D Green"),"Green",'VRU Headform'!V13)))</f>
        <v>0</v>
      </c>
      <c r="V136" s="620">
        <f>IF(NOT('VRU Headform'!W13="Blue"),IF(OR('VRU Headform'!W13="Red",'VRU Headform'!W13="D Red"),"Red",IF(OR('VRU Headform'!W13="Green",'VRU Headform'!W13="D Green"),"Green",'VRU Headform'!W13)))</f>
        <v>0</v>
      </c>
      <c r="W136" s="620">
        <f>IF(NOT('VRU Headform'!X13="Blue"),IF(OR('VRU Headform'!X13="Red",'VRU Headform'!X13="D Red"),"Red",IF(OR('VRU Headform'!X13="Green",'VRU Headform'!X13="D Green"),"Green",'VRU Headform'!X13)))</f>
        <v>0</v>
      </c>
      <c r="X136" s="620">
        <f>IF(NOT('VRU Headform'!Y13="Blue"),IF(OR('VRU Headform'!Y13="Red",'VRU Headform'!Y13="D Red"),"Red",IF(OR('VRU Headform'!Y13="Green",'VRU Headform'!Y13="D Green"),"Green",'VRU Headform'!Y13)))</f>
        <v>0</v>
      </c>
      <c r="Y136" s="620" t="str">
        <f t="shared" si="7"/>
        <v>No</v>
      </c>
      <c r="Z136" s="567"/>
      <c r="AA136" s="567"/>
      <c r="AB136" s="567"/>
      <c r="AC136" s="567"/>
      <c r="AD136" s="567"/>
      <c r="AE136" s="567"/>
      <c r="AF136" s="567"/>
    </row>
    <row r="137" spans="2:32">
      <c r="B137" s="616"/>
      <c r="C137" s="567">
        <v>9</v>
      </c>
      <c r="D137" s="620">
        <f>IF(NOT('VRU Headform'!E14="Blue"),IF(OR('VRU Headform'!E14="Red",'VRU Headform'!E14="D Red"),"Red",IF(OR('VRU Headform'!E14="Green",'VRU Headform'!E14="D Green"),"Green",'VRU Headform'!E14)))</f>
        <v>0</v>
      </c>
      <c r="E137" s="620">
        <f>IF(NOT('VRU Headform'!F14="Blue"),IF(OR('VRU Headform'!F14="Red",'VRU Headform'!F14="D Red"),"Red",IF(OR('VRU Headform'!F14="Green",'VRU Headform'!F14="D Green"),"Green",'VRU Headform'!F14)))</f>
        <v>0</v>
      </c>
      <c r="F137" s="620">
        <f>IF(NOT('VRU Headform'!G14="Blue"),IF(OR('VRU Headform'!G14="Red",'VRU Headform'!G14="D Red"),"Red",IF(OR('VRU Headform'!G14="Green",'VRU Headform'!G14="D Green"),"Green",'VRU Headform'!G14)))</f>
        <v>0</v>
      </c>
      <c r="G137" s="620">
        <f>IF(NOT('VRU Headform'!H14="Blue"),IF(OR('VRU Headform'!H14="Red",'VRU Headform'!H14="D Red"),"Red",IF(OR('VRU Headform'!H14="Green",'VRU Headform'!H14="D Green"),"Green",'VRU Headform'!H14)))</f>
        <v>0</v>
      </c>
      <c r="H137" s="620">
        <f>IF(NOT('VRU Headform'!I14="Blue"),IF(OR('VRU Headform'!I14="Red",'VRU Headform'!I14="D Red"),"Red",IF(OR('VRU Headform'!I14="Green",'VRU Headform'!I14="D Green"),"Green",'VRU Headform'!I14)))</f>
        <v>0</v>
      </c>
      <c r="I137" s="620">
        <f>IF(NOT('VRU Headform'!J14="Blue"),IF(OR('VRU Headform'!J14="Red",'VRU Headform'!J14="D Red"),"Red",IF(OR('VRU Headform'!J14="Green",'VRU Headform'!J14="D Green"),"Green",'VRU Headform'!J14)))</f>
        <v>0</v>
      </c>
      <c r="J137" s="620">
        <f>IF(NOT('VRU Headform'!K14="Blue"),IF(OR('VRU Headform'!K14="Red",'VRU Headform'!K14="D Red"),"Red",IF(OR('VRU Headform'!K14="Green",'VRU Headform'!K14="D Green"),"Green",'VRU Headform'!K14)))</f>
        <v>0</v>
      </c>
      <c r="K137" s="620">
        <f>IF(NOT('VRU Headform'!L14="Blue"),IF(OR('VRU Headform'!L14="Red",'VRU Headform'!L14="D Red"),"Red",IF(OR('VRU Headform'!L14="Green",'VRU Headform'!L14="D Green"),"Green",'VRU Headform'!L14)))</f>
        <v>0</v>
      </c>
      <c r="L137" s="620">
        <f>IF(NOT('VRU Headform'!M14="Blue"),IF(OR('VRU Headform'!M14="Red",'VRU Headform'!M14="D Red"),"Red",IF(OR('VRU Headform'!M14="Green",'VRU Headform'!M14="D Green"),"Green",'VRU Headform'!M14)))</f>
        <v>0</v>
      </c>
      <c r="M137" s="620">
        <f>IF(NOT('VRU Headform'!N14="Blue"),IF(OR('VRU Headform'!N14="Red",'VRU Headform'!N14="D Red"),"Red",IF(OR('VRU Headform'!N14="Green",'VRU Headform'!N14="D Green"),"Green",'VRU Headform'!N14)))</f>
        <v>0</v>
      </c>
      <c r="N137" s="620">
        <f>IF(NOT('VRU Headform'!O14="Blue"),IF(OR('VRU Headform'!O14="Red",'VRU Headform'!O14="D Red"),"Red",IF(OR('VRU Headform'!O14="Green",'VRU Headform'!O14="D Green"),"Green",'VRU Headform'!O14)))</f>
        <v>0</v>
      </c>
      <c r="O137" s="620">
        <f>IF(NOT('VRU Headform'!P14="Blue"),IF(OR('VRU Headform'!P14="Red",'VRU Headform'!P14="D Red"),"Red",IF(OR('VRU Headform'!P14="Green",'VRU Headform'!P14="D Green"),"Green",'VRU Headform'!P14)))</f>
        <v>0</v>
      </c>
      <c r="P137" s="620">
        <f>IF(NOT('VRU Headform'!Q14="Blue"),IF(OR('VRU Headform'!Q14="Red",'VRU Headform'!Q14="D Red"),"Red",IF(OR('VRU Headform'!Q14="Green",'VRU Headform'!Q14="D Green"),"Green",'VRU Headform'!Q14)))</f>
        <v>0</v>
      </c>
      <c r="Q137" s="620">
        <f>IF(NOT('VRU Headform'!R14="Blue"),IF(OR('VRU Headform'!R14="Red",'VRU Headform'!R14="D Red"),"Red",IF(OR('VRU Headform'!R14="Green",'VRU Headform'!R14="D Green"),"Green",'VRU Headform'!R14)))</f>
        <v>0</v>
      </c>
      <c r="R137" s="620">
        <f>IF(NOT('VRU Headform'!S14="Blue"),IF(OR('VRU Headform'!S14="Red",'VRU Headform'!S14="D Red"),"Red",IF(OR('VRU Headform'!S14="Green",'VRU Headform'!S14="D Green"),"Green",'VRU Headform'!S14)))</f>
        <v>0</v>
      </c>
      <c r="S137" s="620">
        <f>IF(NOT('VRU Headform'!T14="Blue"),IF(OR('VRU Headform'!T14="Red",'VRU Headform'!T14="D Red"),"Red",IF(OR('VRU Headform'!T14="Green",'VRU Headform'!T14="D Green"),"Green",'VRU Headform'!T14)))</f>
        <v>0</v>
      </c>
      <c r="T137" s="620">
        <f>IF(NOT('VRU Headform'!U14="Blue"),IF(OR('VRU Headform'!U14="Red",'VRU Headform'!U14="D Red"),"Red",IF(OR('VRU Headform'!U14="Green",'VRU Headform'!U14="D Green"),"Green",'VRU Headform'!U14)))</f>
        <v>0</v>
      </c>
      <c r="U137" s="620">
        <f>IF(NOT('VRU Headform'!V14="Blue"),IF(OR('VRU Headform'!V14="Red",'VRU Headform'!V14="D Red"),"Red",IF(OR('VRU Headform'!V14="Green",'VRU Headform'!V14="D Green"),"Green",'VRU Headform'!V14)))</f>
        <v>0</v>
      </c>
      <c r="V137" s="620">
        <f>IF(NOT('VRU Headform'!W14="Blue"),IF(OR('VRU Headform'!W14="Red",'VRU Headform'!W14="D Red"),"Red",IF(OR('VRU Headform'!W14="Green",'VRU Headform'!W14="D Green"),"Green",'VRU Headform'!W14)))</f>
        <v>0</v>
      </c>
      <c r="W137" s="620">
        <f>IF(NOT('VRU Headform'!X14="Blue"),IF(OR('VRU Headform'!X14="Red",'VRU Headform'!X14="D Red"),"Red",IF(OR('VRU Headform'!X14="Green",'VRU Headform'!X14="D Green"),"Green",'VRU Headform'!X14)))</f>
        <v>0</v>
      </c>
      <c r="X137" s="620">
        <f>IF(NOT('VRU Headform'!Y14="Blue"),IF(OR('VRU Headform'!Y14="Red",'VRU Headform'!Y14="D Red"),"Red",IF(OR('VRU Headform'!Y14="Green",'VRU Headform'!Y14="D Green"),"Green",'VRU Headform'!Y14)))</f>
        <v>0</v>
      </c>
      <c r="Y137" s="620" t="str">
        <f t="shared" si="7"/>
        <v>No</v>
      </c>
      <c r="Z137" s="567"/>
      <c r="AA137" s="567"/>
      <c r="AB137" s="567"/>
      <c r="AC137" s="567"/>
      <c r="AD137" s="567"/>
      <c r="AE137" s="567"/>
      <c r="AF137" s="567"/>
    </row>
    <row r="138" spans="2:32">
      <c r="B138" s="616"/>
      <c r="C138" s="567">
        <v>8</v>
      </c>
      <c r="D138" s="620">
        <f>IF(NOT('VRU Headform'!E15="Blue"),IF(OR('VRU Headform'!E15="Red",'VRU Headform'!E15="D Red"),"Red",IF(OR('VRU Headform'!E15="Green",'VRU Headform'!E15="D Green"),"Green",'VRU Headform'!E15)))</f>
        <v>0</v>
      </c>
      <c r="E138" s="620">
        <f>IF(NOT('VRU Headform'!F15="Blue"),IF(OR('VRU Headform'!F15="Red",'VRU Headform'!F15="D Red"),"Red",IF(OR('VRU Headform'!F15="Green",'VRU Headform'!F15="D Green"),"Green",'VRU Headform'!F15)))</f>
        <v>0</v>
      </c>
      <c r="F138" s="620">
        <f>IF(NOT('VRU Headform'!G15="Blue"),IF(OR('VRU Headform'!G15="Red",'VRU Headform'!G15="D Red"),"Red",IF(OR('VRU Headform'!G15="Green",'VRU Headform'!G15="D Green"),"Green",'VRU Headform'!G15)))</f>
        <v>0</v>
      </c>
      <c r="G138" s="620">
        <f>IF(NOT('VRU Headform'!H15="Blue"),IF(OR('VRU Headform'!H15="Red",'VRU Headform'!H15="D Red"),"Red",IF(OR('VRU Headform'!H15="Green",'VRU Headform'!H15="D Green"),"Green",'VRU Headform'!H15)))</f>
        <v>0</v>
      </c>
      <c r="H138" s="620">
        <f>IF(NOT('VRU Headform'!I15="Blue"),IF(OR('VRU Headform'!I15="Red",'VRU Headform'!I15="D Red"),"Red",IF(OR('VRU Headform'!I15="Green",'VRU Headform'!I15="D Green"),"Green",'VRU Headform'!I15)))</f>
        <v>0</v>
      </c>
      <c r="I138" s="620">
        <f>IF(NOT('VRU Headform'!J15="Blue"),IF(OR('VRU Headform'!J15="Red",'VRU Headform'!J15="D Red"),"Red",IF(OR('VRU Headform'!J15="Green",'VRU Headform'!J15="D Green"),"Green",'VRU Headform'!J15)))</f>
        <v>0</v>
      </c>
      <c r="J138" s="620">
        <f>IF(NOT('VRU Headform'!K15="Blue"),IF(OR('VRU Headform'!K15="Red",'VRU Headform'!K15="D Red"),"Red",IF(OR('VRU Headform'!K15="Green",'VRU Headform'!K15="D Green"),"Green",'VRU Headform'!K15)))</f>
        <v>0</v>
      </c>
      <c r="K138" s="620">
        <f>IF(NOT('VRU Headform'!L15="Blue"),IF(OR('VRU Headform'!L15="Red",'VRU Headform'!L15="D Red"),"Red",IF(OR('VRU Headform'!L15="Green",'VRU Headform'!L15="D Green"),"Green",'VRU Headform'!L15)))</f>
        <v>0</v>
      </c>
      <c r="L138" s="620">
        <f>IF(NOT('VRU Headform'!M15="Blue"),IF(OR('VRU Headform'!M15="Red",'VRU Headform'!M15="D Red"),"Red",IF(OR('VRU Headform'!M15="Green",'VRU Headform'!M15="D Green"),"Green",'VRU Headform'!M15)))</f>
        <v>0</v>
      </c>
      <c r="M138" s="620">
        <f>IF(NOT('VRU Headform'!N15="Blue"),IF(OR('VRU Headform'!N15="Red",'VRU Headform'!N15="D Red"),"Red",IF(OR('VRU Headform'!N15="Green",'VRU Headform'!N15="D Green"),"Green",'VRU Headform'!N15)))</f>
        <v>0</v>
      </c>
      <c r="N138" s="620">
        <f>IF(NOT('VRU Headform'!O15="Blue"),IF(OR('VRU Headform'!O15="Red",'VRU Headform'!O15="D Red"),"Red",IF(OR('VRU Headform'!O15="Green",'VRU Headform'!O15="D Green"),"Green",'VRU Headform'!O15)))</f>
        <v>0</v>
      </c>
      <c r="O138" s="620">
        <f>IF(NOT('VRU Headform'!P15="Blue"),IF(OR('VRU Headform'!P15="Red",'VRU Headform'!P15="D Red"),"Red",IF(OR('VRU Headform'!P15="Green",'VRU Headform'!P15="D Green"),"Green",'VRU Headform'!P15)))</f>
        <v>0</v>
      </c>
      <c r="P138" s="620">
        <f>IF(NOT('VRU Headform'!Q15="Blue"),IF(OR('VRU Headform'!Q15="Red",'VRU Headform'!Q15="D Red"),"Red",IF(OR('VRU Headform'!Q15="Green",'VRU Headform'!Q15="D Green"),"Green",'VRU Headform'!Q15)))</f>
        <v>0</v>
      </c>
      <c r="Q138" s="620">
        <f>IF(NOT('VRU Headform'!R15="Blue"),IF(OR('VRU Headform'!R15="Red",'VRU Headform'!R15="D Red"),"Red",IF(OR('VRU Headform'!R15="Green",'VRU Headform'!R15="D Green"),"Green",'VRU Headform'!R15)))</f>
        <v>0</v>
      </c>
      <c r="R138" s="620">
        <f>IF(NOT('VRU Headform'!S15="Blue"),IF(OR('VRU Headform'!S15="Red",'VRU Headform'!S15="D Red"),"Red",IF(OR('VRU Headform'!S15="Green",'VRU Headform'!S15="D Green"),"Green",'VRU Headform'!S15)))</f>
        <v>0</v>
      </c>
      <c r="S138" s="620">
        <f>IF(NOT('VRU Headform'!T15="Blue"),IF(OR('VRU Headform'!T15="Red",'VRU Headform'!T15="D Red"),"Red",IF(OR('VRU Headform'!T15="Green",'VRU Headform'!T15="D Green"),"Green",'VRU Headform'!T15)))</f>
        <v>0</v>
      </c>
      <c r="T138" s="620">
        <f>IF(NOT('VRU Headform'!U15="Blue"),IF(OR('VRU Headform'!U15="Red",'VRU Headform'!U15="D Red"),"Red",IF(OR('VRU Headform'!U15="Green",'VRU Headform'!U15="D Green"),"Green",'VRU Headform'!U15)))</f>
        <v>0</v>
      </c>
      <c r="U138" s="620">
        <f>IF(NOT('VRU Headform'!V15="Blue"),IF(OR('VRU Headform'!V15="Red",'VRU Headform'!V15="D Red"),"Red",IF(OR('VRU Headform'!V15="Green",'VRU Headform'!V15="D Green"),"Green",'VRU Headform'!V15)))</f>
        <v>0</v>
      </c>
      <c r="V138" s="620">
        <f>IF(NOT('VRU Headform'!W15="Blue"),IF(OR('VRU Headform'!W15="Red",'VRU Headform'!W15="D Red"),"Red",IF(OR('VRU Headform'!W15="Green",'VRU Headform'!W15="D Green"),"Green",'VRU Headform'!W15)))</f>
        <v>0</v>
      </c>
      <c r="W138" s="620">
        <f>IF(NOT('VRU Headform'!X15="Blue"),IF(OR('VRU Headform'!X15="Red",'VRU Headform'!X15="D Red"),"Red",IF(OR('VRU Headform'!X15="Green",'VRU Headform'!X15="D Green"),"Green",'VRU Headform'!X15)))</f>
        <v>0</v>
      </c>
      <c r="X138" s="620">
        <f>IF(NOT('VRU Headform'!Y15="Blue"),IF(OR('VRU Headform'!Y15="Red",'VRU Headform'!Y15="D Red"),"Red",IF(OR('VRU Headform'!Y15="Green",'VRU Headform'!Y15="D Green"),"Green",'VRU Headform'!Y15)))</f>
        <v>0</v>
      </c>
      <c r="Y138" s="620" t="str">
        <f t="shared" si="7"/>
        <v>No</v>
      </c>
      <c r="Z138" s="567"/>
      <c r="AA138" s="567"/>
      <c r="AB138" s="567"/>
      <c r="AC138" s="567"/>
      <c r="AD138" s="567"/>
      <c r="AE138" s="567"/>
      <c r="AF138" s="567"/>
    </row>
    <row r="139" spans="2:32">
      <c r="B139" s="616"/>
      <c r="C139" s="567">
        <v>7</v>
      </c>
      <c r="D139" s="620">
        <f>IF(NOT('VRU Headform'!E16="Blue"),IF(OR('VRU Headform'!E16="Red",'VRU Headform'!E16="D Red"),"Red",IF(OR('VRU Headform'!E16="Green",'VRU Headform'!E16="D Green"),"Green",'VRU Headform'!E16)))</f>
        <v>0</v>
      </c>
      <c r="E139" s="620">
        <f>IF(NOT('VRU Headform'!F16="Blue"),IF(OR('VRU Headform'!F16="Red",'VRU Headform'!F16="D Red"),"Red",IF(OR('VRU Headform'!F16="Green",'VRU Headform'!F16="D Green"),"Green",'VRU Headform'!F16)))</f>
        <v>0</v>
      </c>
      <c r="F139" s="620">
        <f>IF(NOT('VRU Headform'!G16="Blue"),IF(OR('VRU Headform'!G16="Red",'VRU Headform'!G16="D Red"),"Red",IF(OR('VRU Headform'!G16="Green",'VRU Headform'!G16="D Green"),"Green",'VRU Headform'!G16)))</f>
        <v>0</v>
      </c>
      <c r="G139" s="620">
        <f>IF(NOT('VRU Headform'!H16="Blue"),IF(OR('VRU Headform'!H16="Red",'VRU Headform'!H16="D Red"),"Red",IF(OR('VRU Headform'!H16="Green",'VRU Headform'!H16="D Green"),"Green",'VRU Headform'!H16)))</f>
        <v>0</v>
      </c>
      <c r="H139" s="620">
        <f>IF(NOT('VRU Headform'!I16="Blue"),IF(OR('VRU Headform'!I16="Red",'VRU Headform'!I16="D Red"),"Red",IF(OR('VRU Headform'!I16="Green",'VRU Headform'!I16="D Green"),"Green",'VRU Headform'!I16)))</f>
        <v>0</v>
      </c>
      <c r="I139" s="620">
        <f>IF(NOT('VRU Headform'!J16="Blue"),IF(OR('VRU Headform'!J16="Red",'VRU Headform'!J16="D Red"),"Red",IF(OR('VRU Headform'!J16="Green",'VRU Headform'!J16="D Green"),"Green",'VRU Headform'!J16)))</f>
        <v>0</v>
      </c>
      <c r="J139" s="620">
        <f>IF(NOT('VRU Headform'!K16="Blue"),IF(OR('VRU Headform'!K16="Red",'VRU Headform'!K16="D Red"),"Red",IF(OR('VRU Headform'!K16="Green",'VRU Headform'!K16="D Green"),"Green",'VRU Headform'!K16)))</f>
        <v>0</v>
      </c>
      <c r="K139" s="620">
        <f>IF(NOT('VRU Headform'!L16="Blue"),IF(OR('VRU Headform'!L16="Red",'VRU Headform'!L16="D Red"),"Red",IF(OR('VRU Headform'!L16="Green",'VRU Headform'!L16="D Green"),"Green",'VRU Headform'!L16)))</f>
        <v>0</v>
      </c>
      <c r="L139" s="620">
        <f>IF(NOT('VRU Headform'!M16="Blue"),IF(OR('VRU Headform'!M16="Red",'VRU Headform'!M16="D Red"),"Red",IF(OR('VRU Headform'!M16="Green",'VRU Headform'!M16="D Green"),"Green",'VRU Headform'!M16)))</f>
        <v>0</v>
      </c>
      <c r="M139" s="620">
        <f>IF(NOT('VRU Headform'!N16="Blue"),IF(OR('VRU Headform'!N16="Red",'VRU Headform'!N16="D Red"),"Red",IF(OR('VRU Headform'!N16="Green",'VRU Headform'!N16="D Green"),"Green",'VRU Headform'!N16)))</f>
        <v>0</v>
      </c>
      <c r="N139" s="620">
        <f>IF(NOT('VRU Headform'!O16="Blue"),IF(OR('VRU Headform'!O16="Red",'VRU Headform'!O16="D Red"),"Red",IF(OR('VRU Headform'!O16="Green",'VRU Headform'!O16="D Green"),"Green",'VRU Headform'!O16)))</f>
        <v>0</v>
      </c>
      <c r="O139" s="620">
        <f>IF(NOT('VRU Headform'!P16="Blue"),IF(OR('VRU Headform'!P16="Red",'VRU Headform'!P16="D Red"),"Red",IF(OR('VRU Headform'!P16="Green",'VRU Headform'!P16="D Green"),"Green",'VRU Headform'!P16)))</f>
        <v>0</v>
      </c>
      <c r="P139" s="620">
        <f>IF(NOT('VRU Headform'!Q16="Blue"),IF(OR('VRU Headform'!Q16="Red",'VRU Headform'!Q16="D Red"),"Red",IF(OR('VRU Headform'!Q16="Green",'VRU Headform'!Q16="D Green"),"Green",'VRU Headform'!Q16)))</f>
        <v>0</v>
      </c>
      <c r="Q139" s="620">
        <f>IF(NOT('VRU Headform'!R16="Blue"),IF(OR('VRU Headform'!R16="Red",'VRU Headform'!R16="D Red"),"Red",IF(OR('VRU Headform'!R16="Green",'VRU Headform'!R16="D Green"),"Green",'VRU Headform'!R16)))</f>
        <v>0</v>
      </c>
      <c r="R139" s="620">
        <f>IF(NOT('VRU Headform'!S16="Blue"),IF(OR('VRU Headform'!S16="Red",'VRU Headform'!S16="D Red"),"Red",IF(OR('VRU Headform'!S16="Green",'VRU Headform'!S16="D Green"),"Green",'VRU Headform'!S16)))</f>
        <v>0</v>
      </c>
      <c r="S139" s="620">
        <f>IF(NOT('VRU Headform'!T16="Blue"),IF(OR('VRU Headform'!T16="Red",'VRU Headform'!T16="D Red"),"Red",IF(OR('VRU Headform'!T16="Green",'VRU Headform'!T16="D Green"),"Green",'VRU Headform'!T16)))</f>
        <v>0</v>
      </c>
      <c r="T139" s="620">
        <f>IF(NOT('VRU Headform'!U16="Blue"),IF(OR('VRU Headform'!U16="Red",'VRU Headform'!U16="D Red"),"Red",IF(OR('VRU Headform'!U16="Green",'VRU Headform'!U16="D Green"),"Green",'VRU Headform'!U16)))</f>
        <v>0</v>
      </c>
      <c r="U139" s="620">
        <f>IF(NOT('VRU Headform'!V16="Blue"),IF(OR('VRU Headform'!V16="Red",'VRU Headform'!V16="D Red"),"Red",IF(OR('VRU Headform'!V16="Green",'VRU Headform'!V16="D Green"),"Green",'VRU Headform'!V16)))</f>
        <v>0</v>
      </c>
      <c r="V139" s="620">
        <f>IF(NOT('VRU Headform'!W16="Blue"),IF(OR('VRU Headform'!W16="Red",'VRU Headform'!W16="D Red"),"Red",IF(OR('VRU Headform'!W16="Green",'VRU Headform'!W16="D Green"),"Green",'VRU Headform'!W16)))</f>
        <v>0</v>
      </c>
      <c r="W139" s="620">
        <f>IF(NOT('VRU Headform'!X16="Blue"),IF(OR('VRU Headform'!X16="Red",'VRU Headform'!X16="D Red"),"Red",IF(OR('VRU Headform'!X16="Green",'VRU Headform'!X16="D Green"),"Green",'VRU Headform'!X16)))</f>
        <v>0</v>
      </c>
      <c r="X139" s="620">
        <f>IF(NOT('VRU Headform'!Y16="Blue"),IF(OR('VRU Headform'!Y16="Red",'VRU Headform'!Y16="D Red"),"Red",IF(OR('VRU Headform'!Y16="Green",'VRU Headform'!Y16="D Green"),"Green",'VRU Headform'!Y16)))</f>
        <v>0</v>
      </c>
      <c r="Y139" s="620" t="str">
        <f t="shared" si="7"/>
        <v>No</v>
      </c>
      <c r="Z139" s="567"/>
      <c r="AA139" s="567"/>
      <c r="AB139" s="567"/>
      <c r="AC139" s="567"/>
      <c r="AD139" s="567"/>
      <c r="AE139" s="567"/>
      <c r="AF139" s="567"/>
    </row>
    <row r="140" spans="2:32">
      <c r="B140" s="616"/>
      <c r="C140" s="567">
        <v>6</v>
      </c>
      <c r="D140" s="620">
        <f>IF(NOT('VRU Headform'!E17="Blue"),IF(OR('VRU Headform'!E17="Red",'VRU Headform'!E17="D Red"),"Red",IF(OR('VRU Headform'!E17="Green",'VRU Headform'!E17="D Green"),"Green",'VRU Headform'!E17)))</f>
        <v>0</v>
      </c>
      <c r="E140" s="620">
        <f>IF(NOT('VRU Headform'!F17="Blue"),IF(OR('VRU Headform'!F17="Red",'VRU Headform'!F17="D Red"),"Red",IF(OR('VRU Headform'!F17="Green",'VRU Headform'!F17="D Green"),"Green",'VRU Headform'!F17)))</f>
        <v>0</v>
      </c>
      <c r="F140" s="620">
        <f>IF(NOT('VRU Headform'!G17="Blue"),IF(OR('VRU Headform'!G17="Red",'VRU Headform'!G17="D Red"),"Red",IF(OR('VRU Headform'!G17="Green",'VRU Headform'!G17="D Green"),"Green",'VRU Headform'!G17)))</f>
        <v>0</v>
      </c>
      <c r="G140" s="620">
        <f>IF(NOT('VRU Headform'!H17="Blue"),IF(OR('VRU Headform'!H17="Red",'VRU Headform'!H17="D Red"),"Red",IF(OR('VRU Headform'!H17="Green",'VRU Headform'!H17="D Green"),"Green",'VRU Headform'!H17)))</f>
        <v>0</v>
      </c>
      <c r="H140" s="620">
        <f>IF(NOT('VRU Headform'!I17="Blue"),IF(OR('VRU Headform'!I17="Red",'VRU Headform'!I17="D Red"),"Red",IF(OR('VRU Headform'!I17="Green",'VRU Headform'!I17="D Green"),"Green",'VRU Headform'!I17)))</f>
        <v>0</v>
      </c>
      <c r="I140" s="620">
        <f>IF(NOT('VRU Headform'!J17="Blue"),IF(OR('VRU Headform'!J17="Red",'VRU Headform'!J17="D Red"),"Red",IF(OR('VRU Headform'!J17="Green",'VRU Headform'!J17="D Green"),"Green",'VRU Headform'!J17)))</f>
        <v>0</v>
      </c>
      <c r="J140" s="620">
        <f>IF(NOT('VRU Headform'!K17="Blue"),IF(OR('VRU Headform'!K17="Red",'VRU Headform'!K17="D Red"),"Red",IF(OR('VRU Headform'!K17="Green",'VRU Headform'!K17="D Green"),"Green",'VRU Headform'!K17)))</f>
        <v>0</v>
      </c>
      <c r="K140" s="620">
        <f>IF(NOT('VRU Headform'!L17="Blue"),IF(OR('VRU Headform'!L17="Red",'VRU Headform'!L17="D Red"),"Red",IF(OR('VRU Headform'!L17="Green",'VRU Headform'!L17="D Green"),"Green",'VRU Headform'!L17)))</f>
        <v>0</v>
      </c>
      <c r="L140" s="620">
        <f>IF(NOT('VRU Headform'!M17="Blue"),IF(OR('VRU Headform'!M17="Red",'VRU Headform'!M17="D Red"),"Red",IF(OR('VRU Headform'!M17="Green",'VRU Headform'!M17="D Green"),"Green",'VRU Headform'!M17)))</f>
        <v>0</v>
      </c>
      <c r="M140" s="620">
        <f>IF(NOT('VRU Headform'!N17="Blue"),IF(OR('VRU Headform'!N17="Red",'VRU Headform'!N17="D Red"),"Red",IF(OR('VRU Headform'!N17="Green",'VRU Headform'!N17="D Green"),"Green",'VRU Headform'!N17)))</f>
        <v>0</v>
      </c>
      <c r="N140" s="620">
        <f>IF(NOT('VRU Headform'!O17="Blue"),IF(OR('VRU Headform'!O17="Red",'VRU Headform'!O17="D Red"),"Red",IF(OR('VRU Headform'!O17="Green",'VRU Headform'!O17="D Green"),"Green",'VRU Headform'!O17)))</f>
        <v>0</v>
      </c>
      <c r="O140" s="620">
        <f>IF(NOT('VRU Headform'!P17="Blue"),IF(OR('VRU Headform'!P17="Red",'VRU Headform'!P17="D Red"),"Red",IF(OR('VRU Headform'!P17="Green",'VRU Headform'!P17="D Green"),"Green",'VRU Headform'!P17)))</f>
        <v>0</v>
      </c>
      <c r="P140" s="620">
        <f>IF(NOT('VRU Headform'!Q17="Blue"),IF(OR('VRU Headform'!Q17="Red",'VRU Headform'!Q17="D Red"),"Red",IF(OR('VRU Headform'!Q17="Green",'VRU Headform'!Q17="D Green"),"Green",'VRU Headform'!Q17)))</f>
        <v>0</v>
      </c>
      <c r="Q140" s="620">
        <f>IF(NOT('VRU Headform'!R17="Blue"),IF(OR('VRU Headform'!R17="Red",'VRU Headform'!R17="D Red"),"Red",IF(OR('VRU Headform'!R17="Green",'VRU Headform'!R17="D Green"),"Green",'VRU Headform'!R17)))</f>
        <v>0</v>
      </c>
      <c r="R140" s="620">
        <f>IF(NOT('VRU Headform'!S17="Blue"),IF(OR('VRU Headform'!S17="Red",'VRU Headform'!S17="D Red"),"Red",IF(OR('VRU Headform'!S17="Green",'VRU Headform'!S17="D Green"),"Green",'VRU Headform'!S17)))</f>
        <v>0</v>
      </c>
      <c r="S140" s="620">
        <f>IF(NOT('VRU Headform'!T17="Blue"),IF(OR('VRU Headform'!T17="Red",'VRU Headform'!T17="D Red"),"Red",IF(OR('VRU Headform'!T17="Green",'VRU Headform'!T17="D Green"),"Green",'VRU Headform'!T17)))</f>
        <v>0</v>
      </c>
      <c r="T140" s="620">
        <f>IF(NOT('VRU Headform'!U17="Blue"),IF(OR('VRU Headform'!U17="Red",'VRU Headform'!U17="D Red"),"Red",IF(OR('VRU Headform'!U17="Green",'VRU Headform'!U17="D Green"),"Green",'VRU Headform'!U17)))</f>
        <v>0</v>
      </c>
      <c r="U140" s="620">
        <f>IF(NOT('VRU Headform'!V17="Blue"),IF(OR('VRU Headform'!V17="Red",'VRU Headform'!V17="D Red"),"Red",IF(OR('VRU Headform'!V17="Green",'VRU Headform'!V17="D Green"),"Green",'VRU Headform'!V17)))</f>
        <v>0</v>
      </c>
      <c r="V140" s="620">
        <f>IF(NOT('VRU Headform'!W17="Blue"),IF(OR('VRU Headform'!W17="Red",'VRU Headform'!W17="D Red"),"Red",IF(OR('VRU Headform'!W17="Green",'VRU Headform'!W17="D Green"),"Green",'VRU Headform'!W17)))</f>
        <v>0</v>
      </c>
      <c r="W140" s="620">
        <f>IF(NOT('VRU Headform'!X17="Blue"),IF(OR('VRU Headform'!X17="Red",'VRU Headform'!X17="D Red"),"Red",IF(OR('VRU Headform'!X17="Green",'VRU Headform'!X17="D Green"),"Green",'VRU Headform'!X17)))</f>
        <v>0</v>
      </c>
      <c r="X140" s="620">
        <f>IF(NOT('VRU Headform'!Y17="Blue"),IF(OR('VRU Headform'!Y17="Red",'VRU Headform'!Y17="D Red"),"Red",IF(OR('VRU Headform'!Y17="Green",'VRU Headform'!Y17="D Green"),"Green",'VRU Headform'!Y17)))</f>
        <v>0</v>
      </c>
      <c r="Y140" s="620" t="str">
        <f t="shared" si="7"/>
        <v>No</v>
      </c>
      <c r="Z140" s="567"/>
      <c r="AA140" s="567"/>
      <c r="AB140" s="567"/>
      <c r="AC140" s="567"/>
      <c r="AD140" s="567"/>
      <c r="AE140" s="567"/>
      <c r="AF140" s="567"/>
    </row>
    <row r="141" spans="2:32">
      <c r="B141" s="616"/>
      <c r="C141" s="567">
        <v>5</v>
      </c>
      <c r="D141" s="620">
        <f>IF(NOT('VRU Headform'!E18="Blue"),IF(OR('VRU Headform'!E18="Red",'VRU Headform'!E18="D Red"),"Red",IF(OR('VRU Headform'!E18="Green",'VRU Headform'!E18="D Green"),"Green",'VRU Headform'!E18)))</f>
        <v>0</v>
      </c>
      <c r="E141" s="620">
        <f>IF(NOT('VRU Headform'!F18="Blue"),IF(OR('VRU Headform'!F18="Red",'VRU Headform'!F18="D Red"),"Red",IF(OR('VRU Headform'!F18="Green",'VRU Headform'!F18="D Green"),"Green",'VRU Headform'!F18)))</f>
        <v>0</v>
      </c>
      <c r="F141" s="620">
        <f>IF(NOT('VRU Headform'!G18="Blue"),IF(OR('VRU Headform'!G18="Red",'VRU Headform'!G18="D Red"),"Red",IF(OR('VRU Headform'!G18="Green",'VRU Headform'!G18="D Green"),"Green",'VRU Headform'!G18)))</f>
        <v>0</v>
      </c>
      <c r="G141" s="620">
        <f>IF(NOT('VRU Headform'!H18="Blue"),IF(OR('VRU Headform'!H18="Red",'VRU Headform'!H18="D Red"),"Red",IF(OR('VRU Headform'!H18="Green",'VRU Headform'!H18="D Green"),"Green",'VRU Headform'!H18)))</f>
        <v>0</v>
      </c>
      <c r="H141" s="620">
        <f>IF(NOT('VRU Headform'!I18="Blue"),IF(OR('VRU Headform'!I18="Red",'VRU Headform'!I18="D Red"),"Red",IF(OR('VRU Headform'!I18="Green",'VRU Headform'!I18="D Green"),"Green",'VRU Headform'!I18)))</f>
        <v>0</v>
      </c>
      <c r="I141" s="620">
        <f>IF(NOT('VRU Headform'!J18="Blue"),IF(OR('VRU Headform'!J18="Red",'VRU Headform'!J18="D Red"),"Red",IF(OR('VRU Headform'!J18="Green",'VRU Headform'!J18="D Green"),"Green",'VRU Headform'!J18)))</f>
        <v>0</v>
      </c>
      <c r="J141" s="620">
        <f>IF(NOT('VRU Headform'!K18="Blue"),IF(OR('VRU Headform'!K18="Red",'VRU Headform'!K18="D Red"),"Red",IF(OR('VRU Headform'!K18="Green",'VRU Headform'!K18="D Green"),"Green",'VRU Headform'!K18)))</f>
        <v>0</v>
      </c>
      <c r="K141" s="620">
        <f>IF(NOT('VRU Headform'!L18="Blue"),IF(OR('VRU Headform'!L18="Red",'VRU Headform'!L18="D Red"),"Red",IF(OR('VRU Headform'!L18="Green",'VRU Headform'!L18="D Green"),"Green",'VRU Headform'!L18)))</f>
        <v>0</v>
      </c>
      <c r="L141" s="620">
        <f>IF(NOT('VRU Headform'!M18="Blue"),IF(OR('VRU Headform'!M18="Red",'VRU Headform'!M18="D Red"),"Red",IF(OR('VRU Headform'!M18="Green",'VRU Headform'!M18="D Green"),"Green",'VRU Headform'!M18)))</f>
        <v>0</v>
      </c>
      <c r="M141" s="620">
        <f>IF(NOT('VRU Headform'!N18="Blue"),IF(OR('VRU Headform'!N18="Red",'VRU Headform'!N18="D Red"),"Red",IF(OR('VRU Headform'!N18="Green",'VRU Headform'!N18="D Green"),"Green",'VRU Headform'!N18)))</f>
        <v>0</v>
      </c>
      <c r="N141" s="620">
        <f>IF(NOT('VRU Headform'!O18="Blue"),IF(OR('VRU Headform'!O18="Red",'VRU Headform'!O18="D Red"),"Red",IF(OR('VRU Headform'!O18="Green",'VRU Headform'!O18="D Green"),"Green",'VRU Headform'!O18)))</f>
        <v>0</v>
      </c>
      <c r="O141" s="620">
        <f>IF(NOT('VRU Headform'!P18="Blue"),IF(OR('VRU Headform'!P18="Red",'VRU Headform'!P18="D Red"),"Red",IF(OR('VRU Headform'!P18="Green",'VRU Headform'!P18="D Green"),"Green",'VRU Headform'!P18)))</f>
        <v>0</v>
      </c>
      <c r="P141" s="620">
        <f>IF(NOT('VRU Headform'!Q18="Blue"),IF(OR('VRU Headform'!Q18="Red",'VRU Headform'!Q18="D Red"),"Red",IF(OR('VRU Headform'!Q18="Green",'VRU Headform'!Q18="D Green"),"Green",'VRU Headform'!Q18)))</f>
        <v>0</v>
      </c>
      <c r="Q141" s="620">
        <f>IF(NOT('VRU Headform'!R18="Blue"),IF(OR('VRU Headform'!R18="Red",'VRU Headform'!R18="D Red"),"Red",IF(OR('VRU Headform'!R18="Green",'VRU Headform'!R18="D Green"),"Green",'VRU Headform'!R18)))</f>
        <v>0</v>
      </c>
      <c r="R141" s="620">
        <f>IF(NOT('VRU Headform'!S18="Blue"),IF(OR('VRU Headform'!S18="Red",'VRU Headform'!S18="D Red"),"Red",IF(OR('VRU Headform'!S18="Green",'VRU Headform'!S18="D Green"),"Green",'VRU Headform'!S18)))</f>
        <v>0</v>
      </c>
      <c r="S141" s="620">
        <f>IF(NOT('VRU Headform'!T18="Blue"),IF(OR('VRU Headform'!T18="Red",'VRU Headform'!T18="D Red"),"Red",IF(OR('VRU Headform'!T18="Green",'VRU Headform'!T18="D Green"),"Green",'VRU Headform'!T18)))</f>
        <v>0</v>
      </c>
      <c r="T141" s="620">
        <f>IF(NOT('VRU Headform'!U18="Blue"),IF(OR('VRU Headform'!U18="Red",'VRU Headform'!U18="D Red"),"Red",IF(OR('VRU Headform'!U18="Green",'VRU Headform'!U18="D Green"),"Green",'VRU Headform'!U18)))</f>
        <v>0</v>
      </c>
      <c r="U141" s="620">
        <f>IF(NOT('VRU Headform'!V18="Blue"),IF(OR('VRU Headform'!V18="Red",'VRU Headform'!V18="D Red"),"Red",IF(OR('VRU Headform'!V18="Green",'VRU Headform'!V18="D Green"),"Green",'VRU Headform'!V18)))</f>
        <v>0</v>
      </c>
      <c r="V141" s="620">
        <f>IF(NOT('VRU Headform'!W18="Blue"),IF(OR('VRU Headform'!W18="Red",'VRU Headform'!W18="D Red"),"Red",IF(OR('VRU Headform'!W18="Green",'VRU Headform'!W18="D Green"),"Green",'VRU Headform'!W18)))</f>
        <v>0</v>
      </c>
      <c r="W141" s="620">
        <f>IF(NOT('VRU Headform'!X18="Blue"),IF(OR('VRU Headform'!X18="Red",'VRU Headform'!X18="D Red"),"Red",IF(OR('VRU Headform'!X18="Green",'VRU Headform'!X18="D Green"),"Green",'VRU Headform'!X18)))</f>
        <v>0</v>
      </c>
      <c r="X141" s="620">
        <f>IF(NOT('VRU Headform'!Y18="Blue"),IF(OR('VRU Headform'!Y18="Red",'VRU Headform'!Y18="D Red"),"Red",IF(OR('VRU Headform'!Y18="Green",'VRU Headform'!Y18="D Green"),"Green",'VRU Headform'!Y18)))</f>
        <v>0</v>
      </c>
      <c r="Y141" s="620" t="str">
        <f t="shared" si="7"/>
        <v>No</v>
      </c>
      <c r="Z141" s="567"/>
      <c r="AA141" s="567"/>
      <c r="AB141" s="567"/>
      <c r="AC141" s="567"/>
      <c r="AD141" s="567"/>
      <c r="AE141" s="567"/>
      <c r="AF141" s="567"/>
    </row>
    <row r="142" spans="2:32">
      <c r="B142" s="616"/>
      <c r="C142" s="567">
        <v>4</v>
      </c>
      <c r="D142" s="620">
        <f>IF(NOT('VRU Headform'!E19="Blue"),IF(OR('VRU Headform'!E19="Red",'VRU Headform'!E19="D Red"),"Red",IF(OR('VRU Headform'!E19="Green",'VRU Headform'!E19="D Green"),"Green",'VRU Headform'!E19)))</f>
        <v>0</v>
      </c>
      <c r="E142" s="620">
        <f>IF(NOT('VRU Headform'!F19="Blue"),IF(OR('VRU Headform'!F19="Red",'VRU Headform'!F19="D Red"),"Red",IF(OR('VRU Headform'!F19="Green",'VRU Headform'!F19="D Green"),"Green",'VRU Headform'!F19)))</f>
        <v>0</v>
      </c>
      <c r="F142" s="620">
        <f>IF(NOT('VRU Headform'!G19="Blue"),IF(OR('VRU Headform'!G19="Red",'VRU Headform'!G19="D Red"),"Red",IF(OR('VRU Headform'!G19="Green",'VRU Headform'!G19="D Green"),"Green",'VRU Headform'!G19)))</f>
        <v>0</v>
      </c>
      <c r="G142" s="620">
        <f>IF(NOT('VRU Headform'!H19="Blue"),IF(OR('VRU Headform'!H19="Red",'VRU Headform'!H19="D Red"),"Red",IF(OR('VRU Headform'!H19="Green",'VRU Headform'!H19="D Green"),"Green",'VRU Headform'!H19)))</f>
        <v>0</v>
      </c>
      <c r="H142" s="620">
        <f>IF(NOT('VRU Headform'!I19="Blue"),IF(OR('VRU Headform'!I19="Red",'VRU Headform'!I19="D Red"),"Red",IF(OR('VRU Headform'!I19="Green",'VRU Headform'!I19="D Green"),"Green",'VRU Headform'!I19)))</f>
        <v>0</v>
      </c>
      <c r="I142" s="620">
        <f>IF(NOT('VRU Headform'!J19="Blue"),IF(OR('VRU Headform'!J19="Red",'VRU Headform'!J19="D Red"),"Red",IF(OR('VRU Headform'!J19="Green",'VRU Headform'!J19="D Green"),"Green",'VRU Headform'!J19)))</f>
        <v>0</v>
      </c>
      <c r="J142" s="620">
        <f>IF(NOT('VRU Headform'!K19="Blue"),IF(OR('VRU Headform'!K19="Red",'VRU Headform'!K19="D Red"),"Red",IF(OR('VRU Headform'!K19="Green",'VRU Headform'!K19="D Green"),"Green",'VRU Headform'!K19)))</f>
        <v>0</v>
      </c>
      <c r="K142" s="620">
        <f>IF(NOT('VRU Headform'!L19="Blue"),IF(OR('VRU Headform'!L19="Red",'VRU Headform'!L19="D Red"),"Red",IF(OR('VRU Headform'!L19="Green",'VRU Headform'!L19="D Green"),"Green",'VRU Headform'!L19)))</f>
        <v>0</v>
      </c>
      <c r="L142" s="620">
        <f>IF(NOT('VRU Headform'!M19="Blue"),IF(OR('VRU Headform'!M19="Red",'VRU Headform'!M19="D Red"),"Red",IF(OR('VRU Headform'!M19="Green",'VRU Headform'!M19="D Green"),"Green",'VRU Headform'!M19)))</f>
        <v>0</v>
      </c>
      <c r="M142" s="620">
        <f>IF(NOT('VRU Headform'!N19="Blue"),IF(OR('VRU Headform'!N19="Red",'VRU Headform'!N19="D Red"),"Red",IF(OR('VRU Headform'!N19="Green",'VRU Headform'!N19="D Green"),"Green",'VRU Headform'!N19)))</f>
        <v>0</v>
      </c>
      <c r="N142" s="620">
        <f>IF(NOT('VRU Headform'!O19="Blue"),IF(OR('VRU Headform'!O19="Red",'VRU Headform'!O19="D Red"),"Red",IF(OR('VRU Headform'!O19="Green",'VRU Headform'!O19="D Green"),"Green",'VRU Headform'!O19)))</f>
        <v>0</v>
      </c>
      <c r="O142" s="620">
        <f>IF(NOT('VRU Headform'!P19="Blue"),IF(OR('VRU Headform'!P19="Red",'VRU Headform'!P19="D Red"),"Red",IF(OR('VRU Headform'!P19="Green",'VRU Headform'!P19="D Green"),"Green",'VRU Headform'!P19)))</f>
        <v>0</v>
      </c>
      <c r="P142" s="620">
        <f>IF(NOT('VRU Headform'!Q19="Blue"),IF(OR('VRU Headform'!Q19="Red",'VRU Headform'!Q19="D Red"),"Red",IF(OR('VRU Headform'!Q19="Green",'VRU Headform'!Q19="D Green"),"Green",'VRU Headform'!Q19)))</f>
        <v>0</v>
      </c>
      <c r="Q142" s="620">
        <f>IF(NOT('VRU Headform'!R19="Blue"),IF(OR('VRU Headform'!R19="Red",'VRU Headform'!R19="D Red"),"Red",IF(OR('VRU Headform'!R19="Green",'VRU Headform'!R19="D Green"),"Green",'VRU Headform'!R19)))</f>
        <v>0</v>
      </c>
      <c r="R142" s="620">
        <f>IF(NOT('VRU Headform'!S19="Blue"),IF(OR('VRU Headform'!S19="Red",'VRU Headform'!S19="D Red"),"Red",IF(OR('VRU Headform'!S19="Green",'VRU Headform'!S19="D Green"),"Green",'VRU Headform'!S19)))</f>
        <v>0</v>
      </c>
      <c r="S142" s="620">
        <f>IF(NOT('VRU Headform'!T19="Blue"),IF(OR('VRU Headform'!T19="Red",'VRU Headform'!T19="D Red"),"Red",IF(OR('VRU Headform'!T19="Green",'VRU Headform'!T19="D Green"),"Green",'VRU Headform'!T19)))</f>
        <v>0</v>
      </c>
      <c r="T142" s="620">
        <f>IF(NOT('VRU Headform'!U19="Blue"),IF(OR('VRU Headform'!U19="Red",'VRU Headform'!U19="D Red"),"Red",IF(OR('VRU Headform'!U19="Green",'VRU Headform'!U19="D Green"),"Green",'VRU Headform'!U19)))</f>
        <v>0</v>
      </c>
      <c r="U142" s="620">
        <f>IF(NOT('VRU Headform'!V19="Blue"),IF(OR('VRU Headform'!V19="Red",'VRU Headform'!V19="D Red"),"Red",IF(OR('VRU Headform'!V19="Green",'VRU Headform'!V19="D Green"),"Green",'VRU Headform'!V19)))</f>
        <v>0</v>
      </c>
      <c r="V142" s="620">
        <f>IF(NOT('VRU Headform'!W19="Blue"),IF(OR('VRU Headform'!W19="Red",'VRU Headform'!W19="D Red"),"Red",IF(OR('VRU Headform'!W19="Green",'VRU Headform'!W19="D Green"),"Green",'VRU Headform'!W19)))</f>
        <v>0</v>
      </c>
      <c r="W142" s="620">
        <f>IF(NOT('VRU Headform'!X19="Blue"),IF(OR('VRU Headform'!X19="Red",'VRU Headform'!X19="D Red"),"Red",IF(OR('VRU Headform'!X19="Green",'VRU Headform'!X19="D Green"),"Green",'VRU Headform'!X19)))</f>
        <v>0</v>
      </c>
      <c r="X142" s="620">
        <f>IF(NOT('VRU Headform'!Y19="Blue"),IF(OR('VRU Headform'!Y19="Red",'VRU Headform'!Y19="D Red"),"Red",IF(OR('VRU Headform'!Y19="Green",'VRU Headform'!Y19="D Green"),"Green",'VRU Headform'!Y19)))</f>
        <v>0</v>
      </c>
      <c r="Y142" s="620" t="str">
        <f t="shared" si="7"/>
        <v>No</v>
      </c>
      <c r="Z142" s="567"/>
      <c r="AA142" s="567"/>
      <c r="AB142" s="567"/>
      <c r="AC142" s="567"/>
      <c r="AD142" s="567"/>
      <c r="AE142" s="567"/>
      <c r="AF142" s="567"/>
    </row>
    <row r="143" spans="2:32">
      <c r="B143" s="616"/>
      <c r="C143" s="567">
        <v>3</v>
      </c>
      <c r="D143" s="620">
        <f>IF(NOT('VRU Headform'!E20="Blue"),IF(OR('VRU Headform'!E20="Red",'VRU Headform'!E20="D Red"),"Red",IF(OR('VRU Headform'!E20="Green",'VRU Headform'!E20="D Green"),"Green",'VRU Headform'!E20)))</f>
        <v>0</v>
      </c>
      <c r="E143" s="620">
        <f>IF(NOT('VRU Headform'!F20="Blue"),IF(OR('VRU Headform'!F20="Red",'VRU Headform'!F20="D Red"),"Red",IF(OR('VRU Headform'!F20="Green",'VRU Headform'!F20="D Green"),"Green",'VRU Headform'!F20)))</f>
        <v>0</v>
      </c>
      <c r="F143" s="620">
        <f>IF(NOT('VRU Headform'!G20="Blue"),IF(OR('VRU Headform'!G20="Red",'VRU Headform'!G20="D Red"),"Red",IF(OR('VRU Headform'!G20="Green",'VRU Headform'!G20="D Green"),"Green",'VRU Headform'!G20)))</f>
        <v>0</v>
      </c>
      <c r="G143" s="620">
        <f>IF(NOT('VRU Headform'!H20="Blue"),IF(OR('VRU Headform'!H20="Red",'VRU Headform'!H20="D Red"),"Red",IF(OR('VRU Headform'!H20="Green",'VRU Headform'!H20="D Green"),"Green",'VRU Headform'!H20)))</f>
        <v>0</v>
      </c>
      <c r="H143" s="620">
        <f>IF(NOT('VRU Headform'!I20="Blue"),IF(OR('VRU Headform'!I20="Red",'VRU Headform'!I20="D Red"),"Red",IF(OR('VRU Headform'!I20="Green",'VRU Headform'!I20="D Green"),"Green",'VRU Headform'!I20)))</f>
        <v>0</v>
      </c>
      <c r="I143" s="620">
        <f>IF(NOT('VRU Headform'!J20="Blue"),IF(OR('VRU Headform'!J20="Red",'VRU Headform'!J20="D Red"),"Red",IF(OR('VRU Headform'!J20="Green",'VRU Headform'!J20="D Green"),"Green",'VRU Headform'!J20)))</f>
        <v>0</v>
      </c>
      <c r="J143" s="620">
        <f>IF(NOT('VRU Headform'!K20="Blue"),IF(OR('VRU Headform'!K20="Red",'VRU Headform'!K20="D Red"),"Red",IF(OR('VRU Headform'!K20="Green",'VRU Headform'!K20="D Green"),"Green",'VRU Headform'!K20)))</f>
        <v>0</v>
      </c>
      <c r="K143" s="620">
        <f>IF(NOT('VRU Headform'!L20="Blue"),IF(OR('VRU Headform'!L20="Red",'VRU Headform'!L20="D Red"),"Red",IF(OR('VRU Headform'!L20="Green",'VRU Headform'!L20="D Green"),"Green",'VRU Headform'!L20)))</f>
        <v>0</v>
      </c>
      <c r="L143" s="620">
        <f>IF(NOT('VRU Headform'!M20="Blue"),IF(OR('VRU Headform'!M20="Red",'VRU Headform'!M20="D Red"),"Red",IF(OR('VRU Headform'!M20="Green",'VRU Headform'!M20="D Green"),"Green",'VRU Headform'!M20)))</f>
        <v>0</v>
      </c>
      <c r="M143" s="620">
        <f>IF(NOT('VRU Headform'!N20="Blue"),IF(OR('VRU Headform'!N20="Red",'VRU Headform'!N20="D Red"),"Red",IF(OR('VRU Headform'!N20="Green",'VRU Headform'!N20="D Green"),"Green",'VRU Headform'!N20)))</f>
        <v>0</v>
      </c>
      <c r="N143" s="620">
        <f>IF(NOT('VRU Headform'!O20="Blue"),IF(OR('VRU Headform'!O20="Red",'VRU Headform'!O20="D Red"),"Red",IF(OR('VRU Headform'!O20="Green",'VRU Headform'!O20="D Green"),"Green",'VRU Headform'!O20)))</f>
        <v>0</v>
      </c>
      <c r="O143" s="620">
        <f>IF(NOT('VRU Headform'!P20="Blue"),IF(OR('VRU Headform'!P20="Red",'VRU Headform'!P20="D Red"),"Red",IF(OR('VRU Headform'!P20="Green",'VRU Headform'!P20="D Green"),"Green",'VRU Headform'!P20)))</f>
        <v>0</v>
      </c>
      <c r="P143" s="620">
        <f>IF(NOT('VRU Headform'!Q20="Blue"),IF(OR('VRU Headform'!Q20="Red",'VRU Headform'!Q20="D Red"),"Red",IF(OR('VRU Headform'!Q20="Green",'VRU Headform'!Q20="D Green"),"Green",'VRU Headform'!Q20)))</f>
        <v>0</v>
      </c>
      <c r="Q143" s="620">
        <f>IF(NOT('VRU Headform'!R20="Blue"),IF(OR('VRU Headform'!R20="Red",'VRU Headform'!R20="D Red"),"Red",IF(OR('VRU Headform'!R20="Green",'VRU Headform'!R20="D Green"),"Green",'VRU Headform'!R20)))</f>
        <v>0</v>
      </c>
      <c r="R143" s="620">
        <f>IF(NOT('VRU Headform'!S20="Blue"),IF(OR('VRU Headform'!S20="Red",'VRU Headform'!S20="D Red"),"Red",IF(OR('VRU Headform'!S20="Green",'VRU Headform'!S20="D Green"),"Green",'VRU Headform'!S20)))</f>
        <v>0</v>
      </c>
      <c r="S143" s="620">
        <f>IF(NOT('VRU Headform'!T20="Blue"),IF(OR('VRU Headform'!T20="Red",'VRU Headform'!T20="D Red"),"Red",IF(OR('VRU Headform'!T20="Green",'VRU Headform'!T20="D Green"),"Green",'VRU Headform'!T20)))</f>
        <v>0</v>
      </c>
      <c r="T143" s="620">
        <f>IF(NOT('VRU Headform'!U20="Blue"),IF(OR('VRU Headform'!U20="Red",'VRU Headform'!U20="D Red"),"Red",IF(OR('VRU Headform'!U20="Green",'VRU Headform'!U20="D Green"),"Green",'VRU Headform'!U20)))</f>
        <v>0</v>
      </c>
      <c r="U143" s="620">
        <f>IF(NOT('VRU Headform'!V20="Blue"),IF(OR('VRU Headform'!V20="Red",'VRU Headform'!V20="D Red"),"Red",IF(OR('VRU Headform'!V20="Green",'VRU Headform'!V20="D Green"),"Green",'VRU Headform'!V20)))</f>
        <v>0</v>
      </c>
      <c r="V143" s="620">
        <f>IF(NOT('VRU Headform'!W20="Blue"),IF(OR('VRU Headform'!W20="Red",'VRU Headform'!W20="D Red"),"Red",IF(OR('VRU Headform'!W20="Green",'VRU Headform'!W20="D Green"),"Green",'VRU Headform'!W20)))</f>
        <v>0</v>
      </c>
      <c r="W143" s="620">
        <f>IF(NOT('VRU Headform'!X20="Blue"),IF(OR('VRU Headform'!X20="Red",'VRU Headform'!X20="D Red"),"Red",IF(OR('VRU Headform'!X20="Green",'VRU Headform'!X20="D Green"),"Green",'VRU Headform'!X20)))</f>
        <v>0</v>
      </c>
      <c r="X143" s="620">
        <f>IF(NOT('VRU Headform'!Y20="Blue"),IF(OR('VRU Headform'!Y20="Red",'VRU Headform'!Y20="D Red"),"Red",IF(OR('VRU Headform'!Y20="Green",'VRU Headform'!Y20="D Green"),"Green",'VRU Headform'!Y20)))</f>
        <v>0</v>
      </c>
      <c r="Y143" s="620" t="str">
        <f t="shared" si="7"/>
        <v>No</v>
      </c>
      <c r="Z143" s="567"/>
      <c r="AA143" s="567"/>
      <c r="AB143" s="567"/>
      <c r="AC143" s="567"/>
      <c r="AD143" s="567"/>
      <c r="AE143" s="567"/>
      <c r="AF143" s="567"/>
    </row>
    <row r="144" spans="2:32">
      <c r="B144" s="616"/>
      <c r="C144" s="567">
        <v>2</v>
      </c>
      <c r="D144" s="620">
        <f>IF(NOT('VRU Headform'!E21="Blue"),IF(OR('VRU Headform'!E21="Red",'VRU Headform'!E21="D Red"),"Red",IF(OR('VRU Headform'!E21="Green",'VRU Headform'!E21="D Green"),"Green",'VRU Headform'!E21)))</f>
        <v>0</v>
      </c>
      <c r="E144" s="620">
        <f>IF(NOT('VRU Headform'!F21="Blue"),IF(OR('VRU Headform'!F21="Red",'VRU Headform'!F21="D Red"),"Red",IF(OR('VRU Headform'!F21="Green",'VRU Headform'!F21="D Green"),"Green",'VRU Headform'!F21)))</f>
        <v>0</v>
      </c>
      <c r="F144" s="620">
        <f>IF(NOT('VRU Headform'!G21="Blue"),IF(OR('VRU Headform'!G21="Red",'VRU Headform'!G21="D Red"),"Red",IF(OR('VRU Headform'!G21="Green",'VRU Headform'!G21="D Green"),"Green",'VRU Headform'!G21)))</f>
        <v>0</v>
      </c>
      <c r="G144" s="620">
        <f>IF(NOT('VRU Headform'!H21="Blue"),IF(OR('VRU Headform'!H21="Red",'VRU Headform'!H21="D Red"),"Red",IF(OR('VRU Headform'!H21="Green",'VRU Headform'!H21="D Green"),"Green",'VRU Headform'!H21)))</f>
        <v>0</v>
      </c>
      <c r="H144" s="620">
        <f>IF(NOT('VRU Headform'!I21="Blue"),IF(OR('VRU Headform'!I21="Red",'VRU Headform'!I21="D Red"),"Red",IF(OR('VRU Headform'!I21="Green",'VRU Headform'!I21="D Green"),"Green",'VRU Headform'!I21)))</f>
        <v>0</v>
      </c>
      <c r="I144" s="620">
        <f>IF(NOT('VRU Headform'!J21="Blue"),IF(OR('VRU Headform'!J21="Red",'VRU Headform'!J21="D Red"),"Red",IF(OR('VRU Headform'!J21="Green",'VRU Headform'!J21="D Green"),"Green",'VRU Headform'!J21)))</f>
        <v>0</v>
      </c>
      <c r="J144" s="620">
        <f>IF(NOT('VRU Headform'!K21="Blue"),IF(OR('VRU Headform'!K21="Red",'VRU Headform'!K21="D Red"),"Red",IF(OR('VRU Headform'!K21="Green",'VRU Headform'!K21="D Green"),"Green",'VRU Headform'!K21)))</f>
        <v>0</v>
      </c>
      <c r="K144" s="620">
        <f>IF(NOT('VRU Headform'!L21="Blue"),IF(OR('VRU Headform'!L21="Red",'VRU Headform'!L21="D Red"),"Red",IF(OR('VRU Headform'!L21="Green",'VRU Headform'!L21="D Green"),"Green",'VRU Headform'!L21)))</f>
        <v>0</v>
      </c>
      <c r="L144" s="620">
        <f>IF(NOT('VRU Headform'!M21="Blue"),IF(OR('VRU Headform'!M21="Red",'VRU Headform'!M21="D Red"),"Red",IF(OR('VRU Headform'!M21="Green",'VRU Headform'!M21="D Green"),"Green",'VRU Headform'!M21)))</f>
        <v>0</v>
      </c>
      <c r="M144" s="620">
        <f>IF(NOT('VRU Headform'!N21="Blue"),IF(OR('VRU Headform'!N21="Red",'VRU Headform'!N21="D Red"),"Red",IF(OR('VRU Headform'!N21="Green",'VRU Headform'!N21="D Green"),"Green",'VRU Headform'!N21)))</f>
        <v>0</v>
      </c>
      <c r="N144" s="620">
        <f>IF(NOT('VRU Headform'!O21="Blue"),IF(OR('VRU Headform'!O21="Red",'VRU Headform'!O21="D Red"),"Red",IF(OR('VRU Headform'!O21="Green",'VRU Headform'!O21="D Green"),"Green",'VRU Headform'!O21)))</f>
        <v>0</v>
      </c>
      <c r="O144" s="620">
        <f>IF(NOT('VRU Headform'!P21="Blue"),IF(OR('VRU Headform'!P21="Red",'VRU Headform'!P21="D Red"),"Red",IF(OR('VRU Headform'!P21="Green",'VRU Headform'!P21="D Green"),"Green",'VRU Headform'!P21)))</f>
        <v>0</v>
      </c>
      <c r="P144" s="620">
        <f>IF(NOT('VRU Headform'!Q21="Blue"),IF(OR('VRU Headform'!Q21="Red",'VRU Headform'!Q21="D Red"),"Red",IF(OR('VRU Headform'!Q21="Green",'VRU Headform'!Q21="D Green"),"Green",'VRU Headform'!Q21)))</f>
        <v>0</v>
      </c>
      <c r="Q144" s="620">
        <f>IF(NOT('VRU Headform'!R21="Blue"),IF(OR('VRU Headform'!R21="Red",'VRU Headform'!R21="D Red"),"Red",IF(OR('VRU Headform'!R21="Green",'VRU Headform'!R21="D Green"),"Green",'VRU Headform'!R21)))</f>
        <v>0</v>
      </c>
      <c r="R144" s="620">
        <f>IF(NOT('VRU Headform'!S21="Blue"),IF(OR('VRU Headform'!S21="Red",'VRU Headform'!S21="D Red"),"Red",IF(OR('VRU Headform'!S21="Green",'VRU Headform'!S21="D Green"),"Green",'VRU Headform'!S21)))</f>
        <v>0</v>
      </c>
      <c r="S144" s="620">
        <f>IF(NOT('VRU Headform'!T21="Blue"),IF(OR('VRU Headform'!T21="Red",'VRU Headform'!T21="D Red"),"Red",IF(OR('VRU Headform'!T21="Green",'VRU Headform'!T21="D Green"),"Green",'VRU Headform'!T21)))</f>
        <v>0</v>
      </c>
      <c r="T144" s="620">
        <f>IF(NOT('VRU Headform'!U21="Blue"),IF(OR('VRU Headform'!U21="Red",'VRU Headform'!U21="D Red"),"Red",IF(OR('VRU Headform'!U21="Green",'VRU Headform'!U21="D Green"),"Green",'VRU Headform'!U21)))</f>
        <v>0</v>
      </c>
      <c r="U144" s="620">
        <f>IF(NOT('VRU Headform'!V21="Blue"),IF(OR('VRU Headform'!V21="Red",'VRU Headform'!V21="D Red"),"Red",IF(OR('VRU Headform'!V21="Green",'VRU Headform'!V21="D Green"),"Green",'VRU Headform'!V21)))</f>
        <v>0</v>
      </c>
      <c r="V144" s="620">
        <f>IF(NOT('VRU Headform'!W21="Blue"),IF(OR('VRU Headform'!W21="Red",'VRU Headform'!W21="D Red"),"Red",IF(OR('VRU Headform'!W21="Green",'VRU Headform'!W21="D Green"),"Green",'VRU Headform'!W21)))</f>
        <v>0</v>
      </c>
      <c r="W144" s="620">
        <f>IF(NOT('VRU Headform'!X21="Blue"),IF(OR('VRU Headform'!X21="Red",'VRU Headform'!X21="D Red"),"Red",IF(OR('VRU Headform'!X21="Green",'VRU Headform'!X21="D Green"),"Green",'VRU Headform'!X21)))</f>
        <v>0</v>
      </c>
      <c r="X144" s="620">
        <f>IF(NOT('VRU Headform'!Y21="Blue"),IF(OR('VRU Headform'!Y21="Red",'VRU Headform'!Y21="D Red"),"Red",IF(OR('VRU Headform'!Y21="Green",'VRU Headform'!Y21="D Green"),"Green",'VRU Headform'!Y21)))</f>
        <v>0</v>
      </c>
      <c r="Y144" s="620" t="str">
        <f t="shared" si="7"/>
        <v>No</v>
      </c>
      <c r="Z144" s="567"/>
      <c r="AA144" s="567"/>
      <c r="AB144" s="567"/>
      <c r="AC144" s="567"/>
      <c r="AD144" s="567"/>
      <c r="AE144" s="567"/>
      <c r="AF144" s="567"/>
    </row>
    <row r="145" spans="2:32">
      <c r="B145" s="616"/>
      <c r="C145" s="567">
        <v>1</v>
      </c>
      <c r="D145" s="620">
        <f>IF(NOT('VRU Headform'!E22="Blue"),IF(OR('VRU Headform'!E22="Red",'VRU Headform'!E22="D Red"),"Red",IF(OR('VRU Headform'!E22="Green",'VRU Headform'!E22="D Green"),"Green",'VRU Headform'!E22)))</f>
        <v>0</v>
      </c>
      <c r="E145" s="620">
        <f>IF(NOT('VRU Headform'!F22="Blue"),IF(OR('VRU Headform'!F22="Red",'VRU Headform'!F22="D Red"),"Red",IF(OR('VRU Headform'!F22="Green",'VRU Headform'!F22="D Green"),"Green",'VRU Headform'!F22)))</f>
        <v>0</v>
      </c>
      <c r="F145" s="620">
        <f>IF(NOT('VRU Headform'!G22="Blue"),IF(OR('VRU Headform'!G22="Red",'VRU Headform'!G22="D Red"),"Red",IF(OR('VRU Headform'!G22="Green",'VRU Headform'!G22="D Green"),"Green",'VRU Headform'!G22)))</f>
        <v>0</v>
      </c>
      <c r="G145" s="620">
        <f>IF(NOT('VRU Headform'!H22="Blue"),IF(OR('VRU Headform'!H22="Red",'VRU Headform'!H22="D Red"),"Red",IF(OR('VRU Headform'!H22="Green",'VRU Headform'!H22="D Green"),"Green",'VRU Headform'!H22)))</f>
        <v>0</v>
      </c>
      <c r="H145" s="620">
        <f>IF(NOT('VRU Headform'!I22="Blue"),IF(OR('VRU Headform'!I22="Red",'VRU Headform'!I22="D Red"),"Red",IF(OR('VRU Headform'!I22="Green",'VRU Headform'!I22="D Green"),"Green",'VRU Headform'!I22)))</f>
        <v>0</v>
      </c>
      <c r="I145" s="620">
        <f>IF(NOT('VRU Headform'!J22="Blue"),IF(OR('VRU Headform'!J22="Red",'VRU Headform'!J22="D Red"),"Red",IF(OR('VRU Headform'!J22="Green",'VRU Headform'!J22="D Green"),"Green",'VRU Headform'!J22)))</f>
        <v>0</v>
      </c>
      <c r="J145" s="620">
        <f>IF(NOT('VRU Headform'!K22="Blue"),IF(OR('VRU Headform'!K22="Red",'VRU Headform'!K22="D Red"),"Red",IF(OR('VRU Headform'!K22="Green",'VRU Headform'!K22="D Green"),"Green",'VRU Headform'!K22)))</f>
        <v>0</v>
      </c>
      <c r="K145" s="620">
        <f>IF(NOT('VRU Headform'!L22="Blue"),IF(OR('VRU Headform'!L22="Red",'VRU Headform'!L22="D Red"),"Red",IF(OR('VRU Headform'!L22="Green",'VRU Headform'!L22="D Green"),"Green",'VRU Headform'!L22)))</f>
        <v>0</v>
      </c>
      <c r="L145" s="620">
        <f>IF(NOT('VRU Headform'!M22="Blue"),IF(OR('VRU Headform'!M22="Red",'VRU Headform'!M22="D Red"),"Red",IF(OR('VRU Headform'!M22="Green",'VRU Headform'!M22="D Green"),"Green",'VRU Headform'!M22)))</f>
        <v>0</v>
      </c>
      <c r="M145" s="620">
        <f>IF(NOT('VRU Headform'!N22="Blue"),IF(OR('VRU Headform'!N22="Red",'VRU Headform'!N22="D Red"),"Red",IF(OR('VRU Headform'!N22="Green",'VRU Headform'!N22="D Green"),"Green",'VRU Headform'!N22)))</f>
        <v>0</v>
      </c>
      <c r="N145" s="620">
        <f>IF(NOT('VRU Headform'!O22="Blue"),IF(OR('VRU Headform'!O22="Red",'VRU Headform'!O22="D Red"),"Red",IF(OR('VRU Headform'!O22="Green",'VRU Headform'!O22="D Green"),"Green",'VRU Headform'!O22)))</f>
        <v>0</v>
      </c>
      <c r="O145" s="620">
        <f>IF(NOT('VRU Headform'!P22="Blue"),IF(OR('VRU Headform'!P22="Red",'VRU Headform'!P22="D Red"),"Red",IF(OR('VRU Headform'!P22="Green",'VRU Headform'!P22="D Green"),"Green",'VRU Headform'!P22)))</f>
        <v>0</v>
      </c>
      <c r="P145" s="620">
        <f>IF(NOT('VRU Headform'!Q22="Blue"),IF(OR('VRU Headform'!Q22="Red",'VRU Headform'!Q22="D Red"),"Red",IF(OR('VRU Headform'!Q22="Green",'VRU Headform'!Q22="D Green"),"Green",'VRU Headform'!Q22)))</f>
        <v>0</v>
      </c>
      <c r="Q145" s="620">
        <f>IF(NOT('VRU Headform'!R22="Blue"),IF(OR('VRU Headform'!R22="Red",'VRU Headform'!R22="D Red"),"Red",IF(OR('VRU Headform'!R22="Green",'VRU Headform'!R22="D Green"),"Green",'VRU Headform'!R22)))</f>
        <v>0</v>
      </c>
      <c r="R145" s="620">
        <f>IF(NOT('VRU Headform'!S22="Blue"),IF(OR('VRU Headform'!S22="Red",'VRU Headform'!S22="D Red"),"Red",IF(OR('VRU Headform'!S22="Green",'VRU Headform'!S22="D Green"),"Green",'VRU Headform'!S22)))</f>
        <v>0</v>
      </c>
      <c r="S145" s="620">
        <f>IF(NOT('VRU Headform'!T22="Blue"),IF(OR('VRU Headform'!T22="Red",'VRU Headform'!T22="D Red"),"Red",IF(OR('VRU Headform'!T22="Green",'VRU Headform'!T22="D Green"),"Green",'VRU Headform'!T22)))</f>
        <v>0</v>
      </c>
      <c r="T145" s="620">
        <f>IF(NOT('VRU Headform'!U22="Blue"),IF(OR('VRU Headform'!U22="Red",'VRU Headform'!U22="D Red"),"Red",IF(OR('VRU Headform'!U22="Green",'VRU Headform'!U22="D Green"),"Green",'VRU Headform'!U22)))</f>
        <v>0</v>
      </c>
      <c r="U145" s="620">
        <f>IF(NOT('VRU Headform'!V22="Blue"),IF(OR('VRU Headform'!V22="Red",'VRU Headform'!V22="D Red"),"Red",IF(OR('VRU Headform'!V22="Green",'VRU Headform'!V22="D Green"),"Green",'VRU Headform'!V22)))</f>
        <v>0</v>
      </c>
      <c r="V145" s="620">
        <f>IF(NOT('VRU Headform'!W22="Blue"),IF(OR('VRU Headform'!W22="Red",'VRU Headform'!W22="D Red"),"Red",IF(OR('VRU Headform'!W22="Green",'VRU Headform'!W22="D Green"),"Green",'VRU Headform'!W22)))</f>
        <v>0</v>
      </c>
      <c r="W145" s="620">
        <f>IF(NOT('VRU Headform'!X22="Blue"),IF(OR('VRU Headform'!X22="Red",'VRU Headform'!X22="D Red"),"Red",IF(OR('VRU Headform'!X22="Green",'VRU Headform'!X22="D Green"),"Green",'VRU Headform'!X22)))</f>
        <v>0</v>
      </c>
      <c r="X145" s="620">
        <f>IF(NOT('VRU Headform'!Y22="Blue"),IF(OR('VRU Headform'!Y22="Red",'VRU Headform'!Y22="D Red"),"Red",IF(OR('VRU Headform'!Y22="Green",'VRU Headform'!Y22="D Green"),"Green",'VRU Headform'!Y22)))</f>
        <v>0</v>
      </c>
      <c r="Y145" s="620" t="str">
        <f t="shared" si="7"/>
        <v>No</v>
      </c>
      <c r="Z145" s="567"/>
      <c r="AA145" s="567"/>
      <c r="AB145" s="567"/>
      <c r="AC145" s="567"/>
      <c r="AD145" s="567"/>
      <c r="AE145" s="567"/>
      <c r="AF145" s="567"/>
    </row>
    <row r="146" spans="2:32">
      <c r="B146" s="616"/>
      <c r="C146" s="567">
        <v>0</v>
      </c>
      <c r="D146" s="620">
        <f>IF(NOT('VRU Headform'!E23="Blue"),IF(OR('VRU Headform'!E23="Red",'VRU Headform'!E23="D Red"),"Red",IF(OR('VRU Headform'!E23="Green",'VRU Headform'!E23="D Green"),"Green",'VRU Headform'!E23)))</f>
        <v>0</v>
      </c>
      <c r="E146" s="620">
        <f>IF(NOT('VRU Headform'!F23="Blue"),IF(OR('VRU Headform'!F23="Red",'VRU Headform'!F23="D Red"),"Red",IF(OR('VRU Headform'!F23="Green",'VRU Headform'!F23="D Green"),"Green",'VRU Headform'!F23)))</f>
        <v>0</v>
      </c>
      <c r="F146" s="620">
        <f>IF(NOT('VRU Headform'!G23="Blue"),IF(OR('VRU Headform'!G23="Red",'VRU Headform'!G23="D Red"),"Red",IF(OR('VRU Headform'!G23="Green",'VRU Headform'!G23="D Green"),"Green",'VRU Headform'!G23)))</f>
        <v>0</v>
      </c>
      <c r="G146" s="620">
        <f>IF(NOT('VRU Headform'!H23="Blue"),IF(OR('VRU Headform'!H23="Red",'VRU Headform'!H23="D Red"),"Red",IF(OR('VRU Headform'!H23="Green",'VRU Headform'!H23="D Green"),"Green",'VRU Headform'!H23)))</f>
        <v>0</v>
      </c>
      <c r="H146" s="620">
        <f>IF(NOT('VRU Headform'!I23="Blue"),IF(OR('VRU Headform'!I23="Red",'VRU Headform'!I23="D Red"),"Red",IF(OR('VRU Headform'!I23="Green",'VRU Headform'!I23="D Green"),"Green",'VRU Headform'!I23)))</f>
        <v>0</v>
      </c>
      <c r="I146" s="620">
        <f>IF(NOT('VRU Headform'!J23="Blue"),IF(OR('VRU Headform'!J23="Red",'VRU Headform'!J23="D Red"),"Red",IF(OR('VRU Headform'!J23="Green",'VRU Headform'!J23="D Green"),"Green",'VRU Headform'!J23)))</f>
        <v>0</v>
      </c>
      <c r="J146" s="620">
        <f>IF(NOT('VRU Headform'!K23="Blue"),IF(OR('VRU Headform'!K23="Red",'VRU Headform'!K23="D Red"),"Red",IF(OR('VRU Headform'!K23="Green",'VRU Headform'!K23="D Green"),"Green",'VRU Headform'!K23)))</f>
        <v>0</v>
      </c>
      <c r="K146" s="620">
        <f>IF(NOT('VRU Headform'!L23="Blue"),IF(OR('VRU Headform'!L23="Red",'VRU Headform'!L23="D Red"),"Red",IF(OR('VRU Headform'!L23="Green",'VRU Headform'!L23="D Green"),"Green",'VRU Headform'!L23)))</f>
        <v>0</v>
      </c>
      <c r="L146" s="620">
        <f>IF(NOT('VRU Headform'!M23="Blue"),IF(OR('VRU Headform'!M23="Red",'VRU Headform'!M23="D Red"),"Red",IF(OR('VRU Headform'!M23="Green",'VRU Headform'!M23="D Green"),"Green",'VRU Headform'!M23)))</f>
        <v>0</v>
      </c>
      <c r="M146" s="620">
        <f>IF(NOT('VRU Headform'!N23="Blue"),IF(OR('VRU Headform'!N23="Red",'VRU Headform'!N23="D Red"),"Red",IF(OR('VRU Headform'!N23="Green",'VRU Headform'!N23="D Green"),"Green",'VRU Headform'!N23)))</f>
        <v>0</v>
      </c>
      <c r="N146" s="620">
        <f>IF(NOT('VRU Headform'!O23="Blue"),IF(OR('VRU Headform'!O23="Red",'VRU Headform'!O23="D Red"),"Red",IF(OR('VRU Headform'!O23="Green",'VRU Headform'!O23="D Green"),"Green",'VRU Headform'!O23)))</f>
        <v>0</v>
      </c>
      <c r="O146" s="620">
        <f>IF(NOT('VRU Headform'!P23="Blue"),IF(OR('VRU Headform'!P23="Red",'VRU Headform'!P23="D Red"),"Red",IF(OR('VRU Headform'!P23="Green",'VRU Headform'!P23="D Green"),"Green",'VRU Headform'!P23)))</f>
        <v>0</v>
      </c>
      <c r="P146" s="620">
        <f>IF(NOT('VRU Headform'!Q23="Blue"),IF(OR('VRU Headform'!Q23="Red",'VRU Headform'!Q23="D Red"),"Red",IF(OR('VRU Headform'!Q23="Green",'VRU Headform'!Q23="D Green"),"Green",'VRU Headform'!Q23)))</f>
        <v>0</v>
      </c>
      <c r="Q146" s="620">
        <f>IF(NOT('VRU Headform'!R23="Blue"),IF(OR('VRU Headform'!R23="Red",'VRU Headform'!R23="D Red"),"Red",IF(OR('VRU Headform'!R23="Green",'VRU Headform'!R23="D Green"),"Green",'VRU Headform'!R23)))</f>
        <v>0</v>
      </c>
      <c r="R146" s="620">
        <f>IF(NOT('VRU Headform'!S23="Blue"),IF(OR('VRU Headform'!S23="Red",'VRU Headform'!S23="D Red"),"Red",IF(OR('VRU Headform'!S23="Green",'VRU Headform'!S23="D Green"),"Green",'VRU Headform'!S23)))</f>
        <v>0</v>
      </c>
      <c r="S146" s="620">
        <f>IF(NOT('VRU Headform'!T23="Blue"),IF(OR('VRU Headform'!T23="Red",'VRU Headform'!T23="D Red"),"Red",IF(OR('VRU Headform'!T23="Green",'VRU Headform'!T23="D Green"),"Green",'VRU Headform'!T23)))</f>
        <v>0</v>
      </c>
      <c r="T146" s="620">
        <f>IF(NOT('VRU Headform'!U23="Blue"),IF(OR('VRU Headform'!U23="Red",'VRU Headform'!U23="D Red"),"Red",IF(OR('VRU Headform'!U23="Green",'VRU Headform'!U23="D Green"),"Green",'VRU Headform'!U23)))</f>
        <v>0</v>
      </c>
      <c r="U146" s="620">
        <f>IF(NOT('VRU Headform'!V23="Blue"),IF(OR('VRU Headform'!V23="Red",'VRU Headform'!V23="D Red"),"Red",IF(OR('VRU Headform'!V23="Green",'VRU Headform'!V23="D Green"),"Green",'VRU Headform'!V23)))</f>
        <v>0</v>
      </c>
      <c r="V146" s="620">
        <f>IF(NOT('VRU Headform'!W23="Blue"),IF(OR('VRU Headform'!W23="Red",'VRU Headform'!W23="D Red"),"Red",IF(OR('VRU Headform'!W23="Green",'VRU Headform'!W23="D Green"),"Green",'VRU Headform'!W23)))</f>
        <v>0</v>
      </c>
      <c r="W146" s="620">
        <f>IF(NOT('VRU Headform'!X23="Blue"),IF(OR('VRU Headform'!X23="Red",'VRU Headform'!X23="D Red"),"Red",IF(OR('VRU Headform'!X23="Green",'VRU Headform'!X23="D Green"),"Green",'VRU Headform'!X23)))</f>
        <v>0</v>
      </c>
      <c r="X146" s="620">
        <f>IF(NOT('VRU Headform'!Y23="Blue"),IF(OR('VRU Headform'!Y23="Red",'VRU Headform'!Y23="D Red"),"Red",IF(OR('VRU Headform'!Y23="Green",'VRU Headform'!Y23="D Green"),"Green",'VRU Headform'!Y23)))</f>
        <v>0</v>
      </c>
      <c r="Y146" s="620" t="str">
        <f>IF(C146=$C$126,"Yes","No")</f>
        <v>No</v>
      </c>
      <c r="Z146" s="567"/>
      <c r="AA146" s="567"/>
      <c r="AB146" s="567"/>
      <c r="AC146" s="567"/>
      <c r="AD146" s="567"/>
      <c r="AE146" s="567"/>
      <c r="AF146" s="567"/>
    </row>
    <row r="147" spans="2:32">
      <c r="B147" s="612" t="s">
        <v>888</v>
      </c>
      <c r="C147" s="567">
        <f>ROUND('VRU Headform'!T75,1)</f>
        <v>0</v>
      </c>
      <c r="D147" s="567"/>
      <c r="E147" s="567"/>
      <c r="F147" s="567"/>
      <c r="G147" s="567"/>
      <c r="H147" s="567"/>
      <c r="I147" s="567"/>
      <c r="J147" s="567"/>
      <c r="K147" s="567"/>
      <c r="L147" s="567"/>
      <c r="M147" s="567"/>
      <c r="N147" s="567"/>
      <c r="O147" s="567"/>
      <c r="P147" s="567"/>
      <c r="Q147" s="567"/>
      <c r="R147" s="567"/>
      <c r="S147" s="567"/>
      <c r="T147" s="567"/>
      <c r="U147" s="567"/>
      <c r="V147" s="567"/>
      <c r="W147" s="567"/>
      <c r="X147" s="567"/>
      <c r="Y147" s="567"/>
      <c r="Z147" s="567"/>
      <c r="AA147" s="567"/>
      <c r="AB147" s="567"/>
      <c r="AC147" s="567"/>
      <c r="AD147" s="567"/>
      <c r="AE147" s="567"/>
      <c r="AF147" s="567"/>
    </row>
    <row r="148" spans="2:32">
      <c r="B148" s="612" t="s">
        <v>897</v>
      </c>
      <c r="C148" s="567">
        <v>18</v>
      </c>
      <c r="D148" s="567"/>
      <c r="E148" s="567"/>
      <c r="F148" s="567"/>
      <c r="G148" s="567"/>
      <c r="H148" s="567"/>
      <c r="I148" s="567"/>
      <c r="J148" s="567"/>
      <c r="K148" s="567"/>
      <c r="L148" s="567"/>
      <c r="M148" s="567"/>
      <c r="N148" s="567"/>
      <c r="O148" s="567"/>
      <c r="P148" s="567"/>
      <c r="Q148" s="567"/>
      <c r="R148" s="567"/>
      <c r="S148" s="567"/>
      <c r="T148" s="567"/>
      <c r="U148" s="567"/>
      <c r="V148" s="567"/>
      <c r="W148" s="567"/>
      <c r="X148" s="567"/>
      <c r="Y148" s="567"/>
      <c r="Z148" s="567"/>
      <c r="AA148" s="567"/>
      <c r="AB148" s="567"/>
      <c r="AC148" s="567"/>
      <c r="AD148" s="567"/>
      <c r="AE148" s="567"/>
      <c r="AF148" s="567"/>
    </row>
    <row r="149" spans="2:32">
      <c r="B149" s="616"/>
      <c r="C149" s="567"/>
      <c r="D149" s="567"/>
      <c r="E149" s="567"/>
      <c r="F149" s="567"/>
      <c r="G149" s="567"/>
      <c r="H149" s="567"/>
      <c r="I149" s="567"/>
      <c r="J149" s="567"/>
      <c r="K149" s="567"/>
      <c r="L149" s="567"/>
      <c r="M149" s="567"/>
      <c r="N149" s="567"/>
      <c r="O149" s="567"/>
      <c r="P149" s="567"/>
      <c r="Q149" s="567"/>
      <c r="R149" s="567"/>
      <c r="S149" s="567"/>
      <c r="T149" s="567"/>
      <c r="U149" s="567"/>
      <c r="V149" s="567"/>
      <c r="W149" s="567"/>
      <c r="X149" s="567"/>
      <c r="Y149" s="567"/>
      <c r="Z149" s="567"/>
      <c r="AA149" s="567"/>
      <c r="AB149" s="567"/>
      <c r="AC149" s="567"/>
      <c r="AD149" s="567"/>
      <c r="AE149" s="567"/>
      <c r="AF149" s="567"/>
    </row>
    <row r="150" spans="2:32">
      <c r="B150" s="612" t="s">
        <v>2765</v>
      </c>
      <c r="C150" s="567"/>
      <c r="D150" s="567"/>
      <c r="E150" s="567"/>
      <c r="F150" s="567"/>
      <c r="G150" s="567"/>
      <c r="H150" s="567"/>
      <c r="I150" s="567"/>
      <c r="J150" s="567"/>
      <c r="K150" s="567"/>
      <c r="L150" s="567"/>
      <c r="M150" s="567"/>
      <c r="N150" s="567"/>
      <c r="O150" s="567"/>
      <c r="P150" s="567"/>
      <c r="Q150" s="567"/>
      <c r="R150" s="567"/>
      <c r="S150" s="567"/>
      <c r="T150" s="567"/>
      <c r="U150" s="567"/>
      <c r="V150" s="567"/>
      <c r="W150" s="567"/>
      <c r="X150" s="567"/>
      <c r="Y150" s="567"/>
      <c r="Z150" s="567"/>
      <c r="AA150" s="567"/>
      <c r="AB150" s="567"/>
      <c r="AC150" s="567"/>
      <c r="AD150" s="567"/>
      <c r="AE150" s="567"/>
      <c r="AF150" s="567"/>
    </row>
    <row r="151" spans="2:32">
      <c r="B151" s="616" t="s">
        <v>261</v>
      </c>
      <c r="C151" s="620" t="str">
        <f>IF(OR('VRU Upper Legform'!D8="N/A",'VRU Upper Legform'!D8=""),"",IF('VRU Upper Legform'!AA8=1,"Green",IF('VRU Upper Legform'!AA8&gt;0.75,"Yellow",IF('VRU Upper Legform'!AA8&gt;0.5,"Orange",IF('VRU Upper Legform'!AA8&gt;0.25,"Brown","Red")))))</f>
        <v/>
      </c>
      <c r="D151" s="567"/>
      <c r="E151" s="567"/>
      <c r="F151" s="567"/>
      <c r="G151" s="567"/>
      <c r="H151" s="567"/>
      <c r="I151" s="567"/>
      <c r="J151" s="567"/>
      <c r="K151" s="567"/>
      <c r="L151" s="567"/>
      <c r="M151" s="567"/>
      <c r="N151" s="567"/>
      <c r="O151" s="567"/>
      <c r="P151" s="567"/>
      <c r="Q151" s="567"/>
      <c r="R151" s="567"/>
      <c r="S151" s="567"/>
      <c r="T151" s="567"/>
      <c r="U151" s="567"/>
      <c r="V151" s="567"/>
      <c r="W151" s="567"/>
      <c r="X151" s="567"/>
      <c r="Y151" s="567"/>
      <c r="Z151" s="567"/>
      <c r="AA151" s="567"/>
      <c r="AB151" s="567"/>
      <c r="AC151" s="567"/>
      <c r="AD151" s="567"/>
      <c r="AE151" s="567"/>
      <c r="AF151" s="567"/>
    </row>
    <row r="152" spans="2:32">
      <c r="B152" s="616" t="s">
        <v>262</v>
      </c>
      <c r="C152" s="620" t="str">
        <f>IF(OR('VRU Upper Legform'!D9="N/A",'VRU Upper Legform'!D9=""),"",IF('VRU Upper Legform'!AA9=1,"Green",IF('VRU Upper Legform'!AA9&gt;0.75,"Yellow",IF('VRU Upper Legform'!AA9&gt;0.5,"Orange",IF('VRU Upper Legform'!AA9&gt;0.25,"Brown","Red")))))</f>
        <v/>
      </c>
      <c r="D152" s="567"/>
      <c r="E152" s="567"/>
      <c r="F152" s="567"/>
      <c r="G152" s="567"/>
      <c r="H152" s="567"/>
      <c r="I152" s="567"/>
      <c r="J152" s="567"/>
      <c r="K152" s="567"/>
      <c r="L152" s="567"/>
      <c r="M152" s="567"/>
      <c r="N152" s="567"/>
      <c r="O152" s="567"/>
      <c r="P152" s="567"/>
      <c r="Q152" s="567"/>
      <c r="R152" s="567"/>
      <c r="S152" s="567"/>
      <c r="T152" s="567"/>
      <c r="U152" s="567"/>
      <c r="V152" s="567"/>
      <c r="W152" s="567"/>
      <c r="X152" s="567"/>
      <c r="Y152" s="567"/>
      <c r="Z152" s="567"/>
      <c r="AA152" s="567"/>
      <c r="AB152" s="567"/>
      <c r="AC152" s="567"/>
      <c r="AD152" s="567"/>
      <c r="AE152" s="567"/>
      <c r="AF152" s="567"/>
    </row>
    <row r="153" spans="2:32">
      <c r="B153" s="616" t="s">
        <v>263</v>
      </c>
      <c r="C153" s="620" t="str">
        <f>IF(OR('VRU Upper Legform'!D10="N/A",'VRU Upper Legform'!D10=""),"",IF('VRU Upper Legform'!AA10=1,"Green",IF('VRU Upper Legform'!AA10&gt;0.75,"Yellow",IF('VRU Upper Legform'!AA10&gt;0.5,"Orange",IF('VRU Upper Legform'!AA10&gt;0.25,"Brown","Red")))))</f>
        <v/>
      </c>
      <c r="D153" s="567"/>
      <c r="E153" s="567"/>
      <c r="F153" s="567"/>
      <c r="G153" s="567"/>
      <c r="H153" s="567"/>
      <c r="I153" s="567"/>
      <c r="J153" s="567"/>
      <c r="K153" s="567"/>
      <c r="L153" s="567"/>
      <c r="M153" s="567"/>
      <c r="N153" s="567"/>
      <c r="O153" s="567"/>
      <c r="P153" s="567"/>
      <c r="Q153" s="567"/>
      <c r="R153" s="567"/>
      <c r="S153" s="567"/>
      <c r="T153" s="567"/>
      <c r="U153" s="567"/>
      <c r="V153" s="567"/>
      <c r="W153" s="567"/>
      <c r="X153" s="567"/>
      <c r="Y153" s="567"/>
      <c r="Z153" s="567"/>
      <c r="AA153" s="567"/>
      <c r="AB153" s="567"/>
      <c r="AC153" s="567"/>
      <c r="AD153" s="567"/>
      <c r="AE153" s="567"/>
      <c r="AF153" s="567"/>
    </row>
    <row r="154" spans="2:32">
      <c r="B154" s="616" t="s">
        <v>264</v>
      </c>
      <c r="C154" s="620" t="str">
        <f>IF(OR('VRU Upper Legform'!D11="N/A",'VRU Upper Legform'!D11=""),"",IF('VRU Upper Legform'!AA11=1,"Green",IF('VRU Upper Legform'!AA11&gt;0.75,"Yellow",IF('VRU Upper Legform'!AA11&gt;0.5,"Orange",IF('VRU Upper Legform'!AA11&gt;0.25,"Brown","Red")))))</f>
        <v/>
      </c>
      <c r="D154" s="567"/>
      <c r="E154" s="567"/>
      <c r="F154" s="567"/>
      <c r="G154" s="567"/>
      <c r="H154" s="567"/>
      <c r="I154" s="567"/>
      <c r="J154" s="567"/>
      <c r="K154" s="567"/>
      <c r="L154" s="567"/>
      <c r="M154" s="567"/>
      <c r="N154" s="567"/>
      <c r="O154" s="567"/>
      <c r="P154" s="567"/>
      <c r="Q154" s="567"/>
      <c r="R154" s="567"/>
      <c r="S154" s="567"/>
      <c r="T154" s="567"/>
      <c r="U154" s="567"/>
      <c r="V154" s="567"/>
      <c r="W154" s="567"/>
      <c r="X154" s="567"/>
      <c r="Y154" s="567"/>
      <c r="Z154" s="567"/>
      <c r="AA154" s="567"/>
      <c r="AB154" s="567"/>
      <c r="AC154" s="567"/>
      <c r="AD154" s="567"/>
      <c r="AE154" s="567"/>
      <c r="AF154" s="567"/>
    </row>
    <row r="155" spans="2:32">
      <c r="B155" s="616" t="s">
        <v>265</v>
      </c>
      <c r="C155" s="620" t="str">
        <f>IF(OR('VRU Upper Legform'!D12="N/A",'VRU Upper Legform'!D12=""),"",IF('VRU Upper Legform'!AA12=1,"Green",IF('VRU Upper Legform'!AA12&gt;0.75,"Yellow",IF('VRU Upper Legform'!AA12&gt;0.5,"Orange",IF('VRU Upper Legform'!AA12&gt;0.25,"Brown","Red")))))</f>
        <v/>
      </c>
      <c r="D155" s="567"/>
      <c r="E155" s="567"/>
      <c r="F155" s="567"/>
      <c r="G155" s="567"/>
      <c r="H155" s="567"/>
      <c r="I155" s="567"/>
      <c r="J155" s="567"/>
      <c r="K155" s="567"/>
      <c r="L155" s="567"/>
      <c r="M155" s="567"/>
      <c r="N155" s="567"/>
      <c r="O155" s="567"/>
      <c r="P155" s="567"/>
      <c r="Q155" s="567"/>
      <c r="R155" s="567"/>
      <c r="S155" s="567"/>
      <c r="T155" s="567"/>
      <c r="U155" s="567"/>
      <c r="V155" s="567"/>
      <c r="W155" s="567"/>
      <c r="X155" s="567"/>
      <c r="Y155" s="567"/>
      <c r="Z155" s="567"/>
      <c r="AA155" s="567"/>
      <c r="AB155" s="567"/>
      <c r="AC155" s="567"/>
      <c r="AD155" s="567"/>
      <c r="AE155" s="567"/>
      <c r="AF155" s="567"/>
    </row>
    <row r="156" spans="2:32">
      <c r="B156" s="616" t="s">
        <v>266</v>
      </c>
      <c r="C156" s="620" t="str">
        <f>IF(OR('VRU Upper Legform'!D13="N/A",'VRU Upper Legform'!D13=""),"",IF('VRU Upper Legform'!AA13=1,"Green",IF('VRU Upper Legform'!AA13&gt;0.75,"Yellow",IF('VRU Upper Legform'!AA13&gt;0.5,"Orange",IF('VRU Upper Legform'!AA13&gt;0.25,"Brown","Red")))))</f>
        <v/>
      </c>
      <c r="D156" s="567"/>
      <c r="E156" s="567"/>
      <c r="F156" s="567"/>
      <c r="G156" s="567"/>
      <c r="H156" s="567"/>
      <c r="I156" s="567"/>
      <c r="J156" s="567"/>
      <c r="K156" s="567"/>
      <c r="L156" s="567"/>
      <c r="M156" s="567"/>
      <c r="N156" s="567"/>
      <c r="O156" s="567"/>
      <c r="P156" s="567"/>
      <c r="Q156" s="567"/>
      <c r="R156" s="567"/>
      <c r="S156" s="567"/>
      <c r="T156" s="567"/>
      <c r="U156" s="567"/>
      <c r="V156" s="567"/>
      <c r="W156" s="567"/>
      <c r="X156" s="567"/>
      <c r="Y156" s="567"/>
      <c r="Z156" s="567"/>
      <c r="AA156" s="567"/>
      <c r="AB156" s="567"/>
      <c r="AC156" s="567"/>
      <c r="AD156" s="567"/>
      <c r="AE156" s="567"/>
      <c r="AF156" s="567"/>
    </row>
    <row r="157" spans="2:32">
      <c r="B157" s="616" t="s">
        <v>267</v>
      </c>
      <c r="C157" s="620" t="str">
        <f>IF(OR('VRU Upper Legform'!D14="N/A",'VRU Upper Legform'!D14=""),"",IF('VRU Upper Legform'!AA14=1,"Green",IF('VRU Upper Legform'!AA14&gt;0.75,"Yellow",IF('VRU Upper Legform'!AA14&gt;0.5,"Orange",IF('VRU Upper Legform'!AA14&gt;0.25,"Brown","Red")))))</f>
        <v/>
      </c>
      <c r="D157" s="567"/>
      <c r="E157" s="567"/>
      <c r="F157" s="567"/>
      <c r="G157" s="567"/>
      <c r="H157" s="567"/>
      <c r="I157" s="567"/>
      <c r="J157" s="567"/>
      <c r="K157" s="567"/>
      <c r="L157" s="567"/>
      <c r="M157" s="567"/>
      <c r="N157" s="567"/>
      <c r="O157" s="567"/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</row>
    <row r="158" spans="2:32">
      <c r="B158" s="616" t="s">
        <v>268</v>
      </c>
      <c r="C158" s="620" t="str">
        <f>IF(OR('VRU Upper Legform'!D15="N/A",'VRU Upper Legform'!D15=""),"",IF('VRU Upper Legform'!AA15=1,"Green",IF('VRU Upper Legform'!AA15&gt;0.75,"Yellow",IF('VRU Upper Legform'!AA15&gt;0.5,"Orange",IF('VRU Upper Legform'!AA15&gt;0.25,"Brown","Red")))))</f>
        <v/>
      </c>
      <c r="D158" s="567"/>
      <c r="E158" s="567"/>
      <c r="F158" s="567"/>
      <c r="G158" s="567"/>
      <c r="H158" s="567"/>
      <c r="I158" s="567"/>
      <c r="J158" s="567"/>
      <c r="K158" s="567"/>
      <c r="L158" s="567"/>
      <c r="M158" s="567"/>
      <c r="N158" s="567"/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</row>
    <row r="159" spans="2:32">
      <c r="B159" s="616" t="s">
        <v>269</v>
      </c>
      <c r="C159" s="620" t="str">
        <f>IF(OR('VRU Upper Legform'!D16="N/A",'VRU Upper Legform'!D16=""),"",IF('VRU Upper Legform'!AA16=1,"Green",IF('VRU Upper Legform'!AA16&gt;0.75,"Yellow",IF('VRU Upper Legform'!AA16&gt;0.5,"Orange",IF('VRU Upper Legform'!AA16&gt;0.25,"Brown","Red")))))</f>
        <v/>
      </c>
      <c r="D159" s="567"/>
      <c r="E159" s="567"/>
      <c r="F159" s="567"/>
      <c r="G159" s="567"/>
      <c r="H159" s="567"/>
      <c r="I159" s="567"/>
      <c r="J159" s="567"/>
      <c r="K159" s="567"/>
      <c r="L159" s="567"/>
      <c r="M159" s="567"/>
      <c r="N159" s="567"/>
      <c r="O159" s="567"/>
      <c r="P159" s="567"/>
      <c r="Q159" s="567"/>
      <c r="R159" s="567"/>
      <c r="S159" s="567"/>
      <c r="T159" s="567"/>
      <c r="U159" s="567"/>
      <c r="V159" s="567"/>
      <c r="W159" s="567"/>
      <c r="X159" s="567"/>
      <c r="Y159" s="567"/>
      <c r="Z159" s="567"/>
      <c r="AA159" s="567"/>
      <c r="AB159" s="567"/>
      <c r="AC159" s="567"/>
      <c r="AD159" s="567"/>
      <c r="AE159" s="567"/>
      <c r="AF159" s="567"/>
    </row>
    <row r="160" spans="2:32">
      <c r="B160" s="616" t="s">
        <v>270</v>
      </c>
      <c r="C160" s="620" t="str">
        <f>IF(OR('VRU Upper Legform'!D17="N/A",'VRU Upper Legform'!D17=""),"",IF('VRU Upper Legform'!AA17=1,"Green",IF('VRU Upper Legform'!AA17&gt;0.75,"Yellow",IF('VRU Upper Legform'!AA17&gt;0.5,"Orange",IF('VRU Upper Legform'!AA17&gt;0.25,"Brown","Red")))))</f>
        <v/>
      </c>
      <c r="D160" s="567"/>
      <c r="E160" s="567"/>
      <c r="F160" s="567"/>
      <c r="G160" s="567"/>
      <c r="H160" s="567"/>
      <c r="I160" s="567"/>
      <c r="J160" s="567"/>
      <c r="K160" s="567"/>
      <c r="L160" s="567"/>
      <c r="M160" s="567"/>
      <c r="N160" s="567"/>
      <c r="O160" s="567"/>
      <c r="P160" s="567"/>
      <c r="Q160" s="567"/>
      <c r="R160" s="567"/>
      <c r="S160" s="567"/>
      <c r="T160" s="567"/>
      <c r="U160" s="567"/>
      <c r="V160" s="567"/>
      <c r="W160" s="567"/>
      <c r="X160" s="567"/>
      <c r="Y160" s="567"/>
      <c r="Z160" s="567"/>
      <c r="AA160" s="567"/>
      <c r="AB160" s="567"/>
      <c r="AC160" s="567"/>
      <c r="AD160" s="567"/>
      <c r="AE160" s="567"/>
      <c r="AF160" s="567"/>
    </row>
    <row r="161" spans="2:32">
      <c r="B161" s="616" t="s">
        <v>258</v>
      </c>
      <c r="C161" s="620" t="str">
        <f>IF(OR('VRU Upper Legform'!D18="N/A",'VRU Upper Legform'!D18=""),"",IF('VRU Upper Legform'!AA18=1,"Green",IF('VRU Upper Legform'!AA18&gt;0.75,"Yellow",IF('VRU Upper Legform'!AA18&gt;0.5,"Orange",IF('VRU Upper Legform'!AA18&gt;0.25,"Brown","Red")))))</f>
        <v/>
      </c>
      <c r="D161" s="567"/>
      <c r="E161" s="567"/>
      <c r="F161" s="567"/>
      <c r="G161" s="567"/>
      <c r="H161" s="567"/>
      <c r="I161" s="567"/>
      <c r="J161" s="567"/>
      <c r="K161" s="567"/>
      <c r="L161" s="567"/>
      <c r="M161" s="567"/>
      <c r="N161" s="567"/>
      <c r="O161" s="567"/>
      <c r="P161" s="567"/>
      <c r="Q161" s="567"/>
      <c r="R161" s="567"/>
      <c r="S161" s="567"/>
      <c r="T161" s="567"/>
      <c r="U161" s="567"/>
      <c r="V161" s="567"/>
      <c r="W161" s="567"/>
      <c r="X161" s="567"/>
      <c r="Y161" s="567"/>
      <c r="Z161" s="567"/>
      <c r="AA161" s="567"/>
      <c r="AB161" s="567"/>
      <c r="AC161" s="567"/>
      <c r="AD161" s="567"/>
      <c r="AE161" s="567"/>
      <c r="AF161" s="567"/>
    </row>
    <row r="162" spans="2:32">
      <c r="B162" s="616" t="s">
        <v>271</v>
      </c>
      <c r="C162" s="620" t="str">
        <f>IF(OR('VRU Upper Legform'!D19="N/A",'VRU Upper Legform'!D19=""),"",IF('VRU Upper Legform'!AA19=1,"Green",IF('VRU Upper Legform'!AA19&gt;0.75,"Yellow",IF('VRU Upper Legform'!AA19&gt;0.5,"Orange",IF('VRU Upper Legform'!AA19&gt;0.25,"Brown","Red")))))</f>
        <v/>
      </c>
      <c r="D162" s="567"/>
      <c r="E162" s="567"/>
      <c r="F162" s="567"/>
      <c r="G162" s="567"/>
      <c r="H162" s="567"/>
      <c r="I162" s="567"/>
      <c r="J162" s="567"/>
      <c r="K162" s="567"/>
      <c r="L162" s="567"/>
      <c r="M162" s="567"/>
      <c r="N162" s="567"/>
      <c r="O162" s="567"/>
      <c r="P162" s="567"/>
      <c r="Q162" s="567"/>
      <c r="R162" s="567"/>
      <c r="S162" s="567"/>
      <c r="T162" s="567"/>
      <c r="U162" s="567"/>
      <c r="V162" s="567"/>
      <c r="W162" s="567"/>
      <c r="X162" s="567"/>
      <c r="Y162" s="567"/>
      <c r="Z162" s="567"/>
      <c r="AA162" s="567"/>
      <c r="AB162" s="567"/>
      <c r="AC162" s="567"/>
      <c r="AD162" s="567"/>
      <c r="AE162" s="567"/>
      <c r="AF162" s="567"/>
    </row>
    <row r="163" spans="2:32">
      <c r="B163" s="616" t="s">
        <v>272</v>
      </c>
      <c r="C163" s="620" t="str">
        <f>IF(OR('VRU Upper Legform'!D20="N/A",'VRU Upper Legform'!D20=""),"",IF('VRU Upper Legform'!AA20=1,"Green",IF('VRU Upper Legform'!AA20&gt;0.75,"Yellow",IF('VRU Upper Legform'!AA20&gt;0.5,"Orange",IF('VRU Upper Legform'!AA20&gt;0.25,"Brown","Red")))))</f>
        <v/>
      </c>
      <c r="D163" s="567"/>
      <c r="E163" s="567"/>
      <c r="F163" s="567"/>
      <c r="G163" s="567"/>
      <c r="H163" s="567"/>
      <c r="I163" s="567"/>
      <c r="J163" s="567"/>
      <c r="K163" s="567"/>
      <c r="L163" s="567"/>
      <c r="M163" s="567"/>
      <c r="N163" s="567"/>
      <c r="O163" s="567"/>
      <c r="P163" s="567"/>
      <c r="Q163" s="567"/>
      <c r="R163" s="567"/>
      <c r="S163" s="567"/>
      <c r="T163" s="567"/>
      <c r="U163" s="567"/>
      <c r="V163" s="567"/>
      <c r="W163" s="567"/>
      <c r="X163" s="567"/>
      <c r="Y163" s="567"/>
      <c r="Z163" s="567"/>
      <c r="AA163" s="567"/>
      <c r="AB163" s="567"/>
      <c r="AC163" s="567"/>
      <c r="AD163" s="567"/>
      <c r="AE163" s="567"/>
      <c r="AF163" s="567"/>
    </row>
    <row r="164" spans="2:32">
      <c r="B164" s="616" t="s">
        <v>273</v>
      </c>
      <c r="C164" s="620" t="str">
        <f>IF(OR('VRU Upper Legform'!D21="N/A",'VRU Upper Legform'!D21=""),"",IF('VRU Upper Legform'!AA21=1,"Green",IF('VRU Upper Legform'!AA21&gt;0.75,"Yellow",IF('VRU Upper Legform'!AA21&gt;0.5,"Orange",IF('VRU Upper Legform'!AA21&gt;0.25,"Brown","Red")))))</f>
        <v/>
      </c>
      <c r="D164" s="567"/>
      <c r="E164" s="567"/>
      <c r="F164" s="567"/>
      <c r="G164" s="567"/>
      <c r="H164" s="567"/>
      <c r="I164" s="567"/>
      <c r="J164" s="567"/>
      <c r="K164" s="567"/>
      <c r="L164" s="567"/>
      <c r="M164" s="567"/>
      <c r="N164" s="567"/>
      <c r="O164" s="567"/>
      <c r="P164" s="567"/>
      <c r="Q164" s="567"/>
      <c r="R164" s="567"/>
      <c r="S164" s="567"/>
      <c r="T164" s="567"/>
      <c r="U164" s="567"/>
      <c r="V164" s="567"/>
      <c r="W164" s="567"/>
      <c r="X164" s="567"/>
      <c r="Y164" s="567"/>
      <c r="Z164" s="567"/>
      <c r="AA164" s="567"/>
      <c r="AB164" s="567"/>
      <c r="AC164" s="567"/>
      <c r="AD164" s="567"/>
      <c r="AE164" s="567"/>
      <c r="AF164" s="567"/>
    </row>
    <row r="165" spans="2:32">
      <c r="B165" s="616" t="s">
        <v>274</v>
      </c>
      <c r="C165" s="620" t="str">
        <f>IF(OR('VRU Upper Legform'!D22="N/A",'VRU Upper Legform'!D22=""),"",IF('VRU Upper Legform'!AA22=1,"Green",IF('VRU Upper Legform'!AA22&gt;0.75,"Yellow",IF('VRU Upper Legform'!AA22&gt;0.5,"Orange",IF('VRU Upper Legform'!AA22&gt;0.25,"Brown","Red")))))</f>
        <v/>
      </c>
      <c r="D165" s="567"/>
      <c r="E165" s="567"/>
      <c r="F165" s="567"/>
      <c r="G165" s="567"/>
      <c r="H165" s="567"/>
      <c r="I165" s="567"/>
      <c r="J165" s="567"/>
      <c r="K165" s="567"/>
      <c r="L165" s="567"/>
      <c r="M165" s="567"/>
      <c r="N165" s="567"/>
      <c r="O165" s="567"/>
      <c r="P165" s="567"/>
      <c r="Q165" s="567"/>
      <c r="R165" s="567"/>
      <c r="S165" s="567"/>
      <c r="T165" s="567"/>
      <c r="U165" s="567"/>
      <c r="V165" s="567"/>
      <c r="W165" s="567"/>
      <c r="X165" s="567"/>
      <c r="Y165" s="567"/>
      <c r="Z165" s="567"/>
      <c r="AA165" s="567"/>
      <c r="AB165" s="567"/>
      <c r="AC165" s="567"/>
      <c r="AD165" s="567"/>
      <c r="AE165" s="567"/>
      <c r="AF165" s="567"/>
    </row>
    <row r="166" spans="2:32">
      <c r="B166" s="616" t="s">
        <v>275</v>
      </c>
      <c r="C166" s="620" t="str">
        <f>IF(OR('VRU Upper Legform'!D23="N/A",'VRU Upper Legform'!D23=""),"",IF('VRU Upper Legform'!AA23=1,"Green",IF('VRU Upper Legform'!AA23&gt;0.75,"Yellow",IF('VRU Upper Legform'!AA23&gt;0.5,"Orange",IF('VRU Upper Legform'!AA23&gt;0.25,"Brown","Red")))))</f>
        <v/>
      </c>
      <c r="D166" s="567"/>
      <c r="E166" s="567"/>
      <c r="F166" s="567"/>
      <c r="G166" s="567"/>
      <c r="H166" s="567"/>
      <c r="I166" s="567"/>
      <c r="J166" s="567"/>
      <c r="K166" s="567"/>
      <c r="L166" s="567"/>
      <c r="M166" s="567"/>
      <c r="N166" s="567"/>
      <c r="O166" s="567"/>
      <c r="P166" s="567"/>
      <c r="Q166" s="567"/>
      <c r="R166" s="567"/>
      <c r="S166" s="567"/>
      <c r="T166" s="567"/>
      <c r="U166" s="567"/>
      <c r="V166" s="567"/>
      <c r="W166" s="567"/>
      <c r="X166" s="567"/>
      <c r="Y166" s="567"/>
      <c r="Z166" s="567"/>
      <c r="AA166" s="567"/>
      <c r="AB166" s="567"/>
      <c r="AC166" s="567"/>
      <c r="AD166" s="567"/>
      <c r="AE166" s="567"/>
      <c r="AF166" s="567"/>
    </row>
    <row r="167" spans="2:32">
      <c r="B167" s="616" t="s">
        <v>276</v>
      </c>
      <c r="C167" s="620" t="str">
        <f>IF(OR('VRU Upper Legform'!D24="N/A",'VRU Upper Legform'!D24=""),"",IF('VRU Upper Legform'!AA24=1,"Green",IF('VRU Upper Legform'!AA24&gt;0.75,"Yellow",IF('VRU Upper Legform'!AA24&gt;0.5,"Orange",IF('VRU Upper Legform'!AA24&gt;0.25,"Brown","Red")))))</f>
        <v/>
      </c>
      <c r="D167" s="567"/>
      <c r="E167" s="567"/>
      <c r="F167" s="567"/>
      <c r="G167" s="567"/>
      <c r="H167" s="567"/>
      <c r="I167" s="567"/>
      <c r="J167" s="567"/>
      <c r="K167" s="567"/>
      <c r="L167" s="567"/>
      <c r="M167" s="567"/>
      <c r="N167" s="567"/>
      <c r="O167" s="567"/>
      <c r="P167" s="567"/>
      <c r="Q167" s="567"/>
      <c r="R167" s="567"/>
      <c r="S167" s="567"/>
      <c r="T167" s="567"/>
      <c r="U167" s="567"/>
      <c r="V167" s="567"/>
      <c r="W167" s="567"/>
      <c r="X167" s="567"/>
      <c r="Y167" s="567"/>
      <c r="Z167" s="567"/>
      <c r="AA167" s="567"/>
      <c r="AB167" s="567"/>
      <c r="AC167" s="567"/>
      <c r="AD167" s="567"/>
      <c r="AE167" s="567"/>
      <c r="AF167" s="567"/>
    </row>
    <row r="168" spans="2:32">
      <c r="B168" s="616" t="s">
        <v>277</v>
      </c>
      <c r="C168" s="620" t="str">
        <f>IF(OR('VRU Upper Legform'!D25="N/A",'VRU Upper Legform'!D25=""),"",IF('VRU Upper Legform'!AA25=1,"Green",IF('VRU Upper Legform'!AA25&gt;0.75,"Yellow",IF('VRU Upper Legform'!AA25&gt;0.5,"Orange",IF('VRU Upper Legform'!AA25&gt;0.25,"Brown","Red")))))</f>
        <v/>
      </c>
      <c r="D168" s="567"/>
      <c r="E168" s="567"/>
      <c r="F168" s="567"/>
      <c r="G168" s="567"/>
      <c r="H168" s="567"/>
      <c r="I168" s="567"/>
      <c r="J168" s="567"/>
      <c r="K168" s="567"/>
      <c r="L168" s="567"/>
      <c r="M168" s="567"/>
      <c r="N168" s="567"/>
      <c r="O168" s="567"/>
      <c r="P168" s="567"/>
      <c r="Q168" s="567"/>
      <c r="R168" s="567"/>
      <c r="S168" s="567"/>
      <c r="T168" s="567"/>
      <c r="U168" s="567"/>
      <c r="V168" s="567"/>
      <c r="W168" s="567"/>
      <c r="X168" s="567"/>
      <c r="Y168" s="567"/>
      <c r="Z168" s="567"/>
      <c r="AA168" s="567"/>
      <c r="AB168" s="567"/>
      <c r="AC168" s="567"/>
      <c r="AD168" s="567"/>
      <c r="AE168" s="567"/>
      <c r="AF168" s="567"/>
    </row>
    <row r="169" spans="2:32">
      <c r="B169" s="616" t="s">
        <v>278</v>
      </c>
      <c r="C169" s="620" t="str">
        <f>IF(OR('VRU Upper Legform'!D26="N/A",'VRU Upper Legform'!D26=""),"",IF('VRU Upper Legform'!AA26=1,"Green",IF('VRU Upper Legform'!AA26&gt;0.75,"Yellow",IF('VRU Upper Legform'!AA26&gt;0.5,"Orange",IF('VRU Upper Legform'!AA26&gt;0.25,"Brown","Red")))))</f>
        <v/>
      </c>
      <c r="D169" s="567"/>
      <c r="E169" s="567"/>
      <c r="F169" s="567"/>
      <c r="G169" s="567"/>
      <c r="H169" s="567"/>
      <c r="I169" s="567"/>
      <c r="J169" s="567"/>
      <c r="K169" s="567"/>
      <c r="L169" s="567"/>
      <c r="M169" s="567"/>
      <c r="N169" s="567"/>
      <c r="O169" s="567"/>
      <c r="P169" s="567"/>
      <c r="Q169" s="567"/>
      <c r="R169" s="567"/>
      <c r="S169" s="567"/>
      <c r="T169" s="567"/>
      <c r="U169" s="567"/>
      <c r="V169" s="567"/>
      <c r="W169" s="567"/>
      <c r="X169" s="567"/>
      <c r="Y169" s="567"/>
      <c r="Z169" s="567"/>
      <c r="AA169" s="567"/>
      <c r="AB169" s="567"/>
      <c r="AC169" s="567"/>
      <c r="AD169" s="567"/>
      <c r="AE169" s="567"/>
      <c r="AF169" s="567"/>
    </row>
    <row r="170" spans="2:32">
      <c r="B170" s="616" t="s">
        <v>279</v>
      </c>
      <c r="C170" s="620" t="str">
        <f>IF(OR('VRU Upper Legform'!D27="N/A",'VRU Upper Legform'!D27=""),"",IF('VRU Upper Legform'!AA27=1,"Green",IF('VRU Upper Legform'!AA27&gt;0.75,"Yellow",IF('VRU Upper Legform'!AA27&gt;0.5,"Orange",IF('VRU Upper Legform'!AA27&gt;0.25,"Brown","Red")))))</f>
        <v/>
      </c>
      <c r="D170" s="567"/>
      <c r="E170" s="567"/>
      <c r="F170" s="567"/>
      <c r="G170" s="567"/>
      <c r="H170" s="567"/>
      <c r="I170" s="567"/>
      <c r="J170" s="567"/>
      <c r="K170" s="567"/>
      <c r="L170" s="567"/>
      <c r="M170" s="567"/>
      <c r="N170" s="567"/>
      <c r="O170" s="567"/>
      <c r="P170" s="567"/>
      <c r="Q170" s="567"/>
      <c r="R170" s="567"/>
      <c r="S170" s="567"/>
      <c r="T170" s="567"/>
      <c r="U170" s="567"/>
      <c r="V170" s="567"/>
      <c r="W170" s="567"/>
      <c r="X170" s="567"/>
      <c r="Y170" s="567"/>
      <c r="Z170" s="567"/>
      <c r="AA170" s="567"/>
      <c r="AB170" s="567"/>
      <c r="AC170" s="567"/>
      <c r="AD170" s="567"/>
      <c r="AE170" s="567"/>
      <c r="AF170" s="567"/>
    </row>
    <row r="171" spans="2:32">
      <c r="B171" s="616" t="s">
        <v>280</v>
      </c>
      <c r="C171" s="620" t="str">
        <f>IF(OR('VRU Upper Legform'!D28="N/A",'VRU Upper Legform'!D28=""),"",IF('VRU Upper Legform'!AA28=1,"Green",IF('VRU Upper Legform'!AA28&gt;0.75,"Yellow",IF('VRU Upper Legform'!AA28&gt;0.5,"Orange",IF('VRU Upper Legform'!AA28&gt;0.25,"Brown","Red")))))</f>
        <v/>
      </c>
      <c r="D171" s="567"/>
      <c r="E171" s="567"/>
      <c r="F171" s="567"/>
      <c r="G171" s="567"/>
      <c r="H171" s="567"/>
      <c r="I171" s="567"/>
      <c r="J171" s="567"/>
      <c r="K171" s="567"/>
      <c r="L171" s="567"/>
      <c r="M171" s="567"/>
      <c r="N171" s="567"/>
      <c r="O171" s="567"/>
      <c r="P171" s="567"/>
      <c r="Q171" s="567"/>
      <c r="R171" s="567"/>
      <c r="S171" s="567"/>
      <c r="T171" s="567"/>
      <c r="U171" s="567"/>
      <c r="V171" s="567"/>
      <c r="W171" s="567"/>
      <c r="X171" s="567"/>
      <c r="Y171" s="567"/>
      <c r="Z171" s="567"/>
      <c r="AA171" s="567"/>
      <c r="AB171" s="567"/>
      <c r="AC171" s="567"/>
      <c r="AD171" s="567"/>
      <c r="AE171" s="567"/>
      <c r="AF171" s="567"/>
    </row>
    <row r="172" spans="2:32">
      <c r="B172" s="612" t="s">
        <v>898</v>
      </c>
      <c r="C172" s="620">
        <f ca="1">ROUND('VRU Upper Legform'!G35,1)</f>
        <v>0</v>
      </c>
      <c r="D172" s="567"/>
      <c r="E172" s="567"/>
      <c r="F172" s="567"/>
      <c r="G172" s="567"/>
      <c r="H172" s="567"/>
      <c r="I172" s="567"/>
      <c r="J172" s="567"/>
      <c r="K172" s="567"/>
      <c r="L172" s="567"/>
      <c r="M172" s="567"/>
      <c r="N172" s="567"/>
      <c r="O172" s="567"/>
      <c r="P172" s="567"/>
      <c r="Q172" s="567"/>
      <c r="R172" s="567"/>
      <c r="S172" s="567"/>
      <c r="T172" s="567"/>
      <c r="U172" s="567"/>
      <c r="V172" s="567"/>
      <c r="W172" s="567"/>
      <c r="X172" s="567"/>
      <c r="Y172" s="567"/>
      <c r="Z172" s="567"/>
      <c r="AA172" s="567"/>
      <c r="AB172" s="567"/>
      <c r="AC172" s="567"/>
      <c r="AD172" s="567"/>
      <c r="AE172" s="567"/>
      <c r="AF172" s="567"/>
    </row>
    <row r="173" spans="2:32">
      <c r="B173" s="612" t="s">
        <v>899</v>
      </c>
      <c r="C173" s="1060">
        <v>4.5</v>
      </c>
      <c r="D173" s="560"/>
      <c r="E173" s="567"/>
      <c r="F173" s="567"/>
      <c r="G173" s="567"/>
      <c r="H173" s="567"/>
      <c r="I173" s="567"/>
      <c r="J173" s="567"/>
      <c r="K173" s="567"/>
      <c r="L173" s="567"/>
      <c r="M173" s="567"/>
      <c r="N173" s="567"/>
      <c r="O173" s="567"/>
      <c r="P173" s="567"/>
      <c r="Q173" s="567"/>
      <c r="R173" s="567"/>
      <c r="S173" s="567"/>
      <c r="T173" s="567"/>
      <c r="U173" s="567"/>
      <c r="V173" s="567"/>
      <c r="W173" s="567"/>
      <c r="X173" s="567"/>
      <c r="Y173" s="567"/>
      <c r="Z173" s="567"/>
      <c r="AA173" s="567"/>
      <c r="AB173" s="567"/>
      <c r="AC173" s="567"/>
      <c r="AD173" s="567"/>
      <c r="AE173" s="567"/>
      <c r="AF173" s="567"/>
    </row>
    <row r="174" spans="2:32">
      <c r="B174" s="612"/>
      <c r="C174" s="567"/>
      <c r="D174" s="567"/>
      <c r="E174" s="567"/>
      <c r="F174" s="567"/>
      <c r="G174" s="567"/>
      <c r="H174" s="567"/>
      <c r="I174" s="567"/>
      <c r="J174" s="567"/>
      <c r="K174" s="567"/>
      <c r="L174" s="567"/>
      <c r="M174" s="567"/>
      <c r="N174" s="567"/>
      <c r="O174" s="567"/>
      <c r="P174" s="567"/>
      <c r="Q174" s="567"/>
      <c r="R174" s="567"/>
      <c r="S174" s="567"/>
      <c r="T174" s="567"/>
      <c r="U174" s="567"/>
      <c r="V174" s="567"/>
      <c r="W174" s="567"/>
      <c r="X174" s="567"/>
      <c r="Y174" s="567"/>
      <c r="Z174" s="567"/>
      <c r="AA174" s="567"/>
      <c r="AB174" s="567"/>
      <c r="AC174" s="567"/>
      <c r="AD174" s="567"/>
      <c r="AE174" s="567"/>
      <c r="AF174" s="567"/>
    </row>
    <row r="175" spans="2:32">
      <c r="B175" s="612" t="s">
        <v>2769</v>
      </c>
      <c r="C175" s="567"/>
      <c r="D175" s="567"/>
      <c r="E175" s="567"/>
      <c r="F175" s="567"/>
      <c r="G175" s="567"/>
      <c r="H175" s="567"/>
      <c r="I175" s="567"/>
      <c r="J175" s="567"/>
      <c r="K175" s="567"/>
      <c r="L175" s="567"/>
      <c r="M175" s="567"/>
      <c r="N175" s="567"/>
      <c r="O175" s="567"/>
      <c r="P175" s="567"/>
      <c r="Q175" s="567"/>
      <c r="R175" s="567"/>
      <c r="S175" s="567"/>
      <c r="T175" s="567"/>
      <c r="U175" s="567"/>
      <c r="V175" s="567"/>
      <c r="W175" s="567"/>
      <c r="X175" s="567"/>
      <c r="Y175" s="567"/>
      <c r="Z175" s="567"/>
      <c r="AA175" s="567"/>
      <c r="AB175" s="567"/>
      <c r="AC175" s="567"/>
      <c r="AD175" s="567"/>
      <c r="AE175" s="567"/>
      <c r="AF175" s="567"/>
    </row>
    <row r="176" spans="2:32">
      <c r="B176" s="616" t="s">
        <v>303</v>
      </c>
      <c r="C176" s="620" t="str">
        <f>IF(OR('VRU Legform'!D8="N/A",'VRU Legform'!D8=""),"",IF('VRU Legform'!AG8=1,"Green",IF('VRU Legform'!AG8&gt;0.75,"Yellow",IF('VRU Legform'!AG8&gt;0.5,"Orange",IF('VRU Legform'!AG8&gt;0.25,"Brown","Red")))))</f>
        <v/>
      </c>
      <c r="D176" s="567"/>
      <c r="E176" s="567"/>
      <c r="F176" s="567"/>
      <c r="G176" s="567"/>
      <c r="H176" s="567"/>
      <c r="I176" s="567"/>
      <c r="J176" s="567"/>
      <c r="K176" s="567"/>
      <c r="L176" s="567"/>
      <c r="M176" s="567"/>
      <c r="N176" s="567"/>
      <c r="O176" s="567"/>
      <c r="P176" s="567"/>
      <c r="Q176" s="567"/>
      <c r="R176" s="567"/>
      <c r="S176" s="567"/>
      <c r="T176" s="567"/>
      <c r="U176" s="567"/>
      <c r="V176" s="567"/>
      <c r="W176" s="567"/>
      <c r="X176" s="567"/>
      <c r="Y176" s="567"/>
      <c r="Z176" s="567"/>
      <c r="AA176" s="567"/>
      <c r="AB176" s="567"/>
      <c r="AC176" s="567"/>
      <c r="AD176" s="567"/>
      <c r="AE176" s="567"/>
      <c r="AF176" s="567"/>
    </row>
    <row r="177" spans="2:32">
      <c r="B177" s="616" t="s">
        <v>304</v>
      </c>
      <c r="C177" s="620" t="str">
        <f>IF(OR('VRU Legform'!D9="N/A",'VRU Legform'!D9=""),"",IF('VRU Legform'!AG9=1,"Green",IF('VRU Legform'!AG9&gt;0.75,"Yellow",IF('VRU Legform'!AG9&gt;0.5,"Orange",IF('VRU Legform'!AG9&gt;0.25,"Brown","Red")))))</f>
        <v/>
      </c>
      <c r="D177" s="567"/>
      <c r="E177" s="567"/>
      <c r="F177" s="567"/>
      <c r="G177" s="567"/>
      <c r="H177" s="567"/>
      <c r="I177" s="567"/>
      <c r="J177" s="567"/>
      <c r="K177" s="567"/>
      <c r="L177" s="567"/>
      <c r="M177" s="567"/>
      <c r="N177" s="567"/>
      <c r="O177" s="567"/>
      <c r="P177" s="567"/>
      <c r="Q177" s="567"/>
      <c r="R177" s="567"/>
      <c r="S177" s="567"/>
      <c r="T177" s="567"/>
      <c r="U177" s="567"/>
      <c r="V177" s="567"/>
      <c r="W177" s="567"/>
      <c r="X177" s="567"/>
      <c r="Y177" s="567"/>
      <c r="Z177" s="567"/>
      <c r="AA177" s="567"/>
      <c r="AB177" s="567"/>
      <c r="AC177" s="567"/>
      <c r="AD177" s="567"/>
      <c r="AE177" s="567"/>
      <c r="AF177" s="567"/>
    </row>
    <row r="178" spans="2:32">
      <c r="B178" s="616" t="s">
        <v>305</v>
      </c>
      <c r="C178" s="620" t="str">
        <f>IF(OR('VRU Legform'!D10="N/A",'VRU Legform'!D10=""),"",IF('VRU Legform'!AG10=1,"Green",IF('VRU Legform'!AG10&gt;0.75,"Yellow",IF('VRU Legform'!AG10&gt;0.5,"Orange",IF('VRU Legform'!AG10&gt;0.25,"Brown","Red")))))</f>
        <v/>
      </c>
      <c r="D178" s="567"/>
      <c r="E178" s="567"/>
      <c r="F178" s="567"/>
      <c r="G178" s="567"/>
      <c r="H178" s="567"/>
      <c r="I178" s="567"/>
      <c r="J178" s="567"/>
      <c r="K178" s="567"/>
      <c r="L178" s="567"/>
      <c r="M178" s="567"/>
      <c r="N178" s="567"/>
      <c r="O178" s="567"/>
      <c r="P178" s="567"/>
      <c r="Q178" s="567"/>
      <c r="R178" s="567"/>
      <c r="S178" s="567"/>
      <c r="T178" s="567"/>
      <c r="U178" s="567"/>
      <c r="V178" s="567"/>
      <c r="W178" s="567"/>
      <c r="X178" s="567"/>
      <c r="Y178" s="567"/>
      <c r="Z178" s="567"/>
      <c r="AA178" s="567"/>
      <c r="AB178" s="567"/>
      <c r="AC178" s="567"/>
      <c r="AD178" s="567"/>
      <c r="AE178" s="567"/>
      <c r="AF178" s="567"/>
    </row>
    <row r="179" spans="2:32">
      <c r="B179" s="616" t="s">
        <v>306</v>
      </c>
      <c r="C179" s="620" t="str">
        <f>IF(OR('VRU Legform'!D11="N/A",'VRU Legform'!D11=""),"",IF('VRU Legform'!AG11=1,"Green",IF('VRU Legform'!AG11&gt;0.75,"Yellow",IF('VRU Legform'!AG11&gt;0.5,"Orange",IF('VRU Legform'!AG11&gt;0.25,"Brown","Red")))))</f>
        <v/>
      </c>
      <c r="D179" s="567"/>
      <c r="E179" s="567"/>
      <c r="F179" s="567"/>
      <c r="G179" s="567"/>
      <c r="H179" s="567"/>
      <c r="I179" s="567"/>
      <c r="J179" s="567"/>
      <c r="K179" s="567"/>
      <c r="L179" s="567"/>
      <c r="M179" s="567"/>
      <c r="N179" s="567"/>
      <c r="O179" s="567"/>
      <c r="P179" s="567"/>
      <c r="Q179" s="567"/>
      <c r="R179" s="567"/>
      <c r="S179" s="567"/>
      <c r="T179" s="567"/>
      <c r="U179" s="567"/>
      <c r="V179" s="567"/>
      <c r="W179" s="567"/>
      <c r="X179" s="567"/>
      <c r="Y179" s="567"/>
      <c r="Z179" s="567"/>
      <c r="AA179" s="567"/>
      <c r="AB179" s="567"/>
      <c r="AC179" s="567"/>
      <c r="AD179" s="567"/>
      <c r="AE179" s="567"/>
      <c r="AF179" s="567"/>
    </row>
    <row r="180" spans="2:32">
      <c r="B180" s="616" t="s">
        <v>307</v>
      </c>
      <c r="C180" s="620" t="str">
        <f>IF(OR('VRU Legform'!D12="N/A",'VRU Legform'!D12=""),"",IF('VRU Legform'!AG12=1,"Green",IF('VRU Legform'!AG12&gt;0.75,"Yellow",IF('VRU Legform'!AG12&gt;0.5,"Orange",IF('VRU Legform'!AG12&gt;0.25,"Brown","Red")))))</f>
        <v/>
      </c>
      <c r="D180" s="567"/>
      <c r="E180" s="567"/>
      <c r="F180" s="567"/>
      <c r="G180" s="567"/>
      <c r="H180" s="567"/>
      <c r="I180" s="567"/>
      <c r="J180" s="567"/>
      <c r="K180" s="567"/>
      <c r="L180" s="567"/>
      <c r="M180" s="567"/>
      <c r="N180" s="567"/>
      <c r="O180" s="567"/>
      <c r="P180" s="567"/>
      <c r="Q180" s="567"/>
      <c r="R180" s="567"/>
      <c r="S180" s="567"/>
      <c r="T180" s="567"/>
      <c r="U180" s="567"/>
      <c r="V180" s="567"/>
      <c r="W180" s="567"/>
      <c r="X180" s="567"/>
      <c r="Y180" s="567"/>
      <c r="Z180" s="567"/>
      <c r="AA180" s="567"/>
      <c r="AB180" s="567"/>
      <c r="AC180" s="567"/>
      <c r="AD180" s="567"/>
      <c r="AE180" s="567"/>
      <c r="AF180" s="567"/>
    </row>
    <row r="181" spans="2:32">
      <c r="B181" s="616" t="s">
        <v>308</v>
      </c>
      <c r="C181" s="620" t="str">
        <f>IF(OR('VRU Legform'!D13="N/A",'VRU Legform'!D13=""),"",IF('VRU Legform'!AG13=1,"Green",IF('VRU Legform'!AG13&gt;0.75,"Yellow",IF('VRU Legform'!AG13&gt;0.5,"Orange",IF('VRU Legform'!AG13&gt;0.25,"Brown","Red")))))</f>
        <v/>
      </c>
      <c r="D181" s="567"/>
      <c r="E181" s="567"/>
      <c r="F181" s="567"/>
      <c r="G181" s="567"/>
      <c r="H181" s="567"/>
      <c r="I181" s="567"/>
      <c r="J181" s="567"/>
      <c r="K181" s="567"/>
      <c r="L181" s="567"/>
      <c r="M181" s="567"/>
      <c r="N181" s="567"/>
      <c r="O181" s="567"/>
      <c r="P181" s="567"/>
      <c r="Q181" s="567"/>
      <c r="R181" s="567"/>
      <c r="S181" s="567"/>
      <c r="T181" s="567"/>
      <c r="U181" s="567"/>
      <c r="V181" s="567"/>
      <c r="W181" s="567"/>
      <c r="X181" s="567"/>
      <c r="Y181" s="567"/>
      <c r="Z181" s="567"/>
      <c r="AA181" s="567"/>
      <c r="AB181" s="567"/>
      <c r="AC181" s="567"/>
      <c r="AD181" s="567"/>
      <c r="AE181" s="567"/>
      <c r="AF181" s="567"/>
    </row>
    <row r="182" spans="2:32">
      <c r="B182" s="616" t="s">
        <v>309</v>
      </c>
      <c r="C182" s="620" t="str">
        <f>IF(OR('VRU Legform'!D14="N/A",'VRU Legform'!D14=""),"",IF('VRU Legform'!AG14=1,"Green",IF('VRU Legform'!AG14&gt;0.75,"Yellow",IF('VRU Legform'!AG14&gt;0.5,"Orange",IF('VRU Legform'!AG14&gt;0.25,"Brown","Red")))))</f>
        <v/>
      </c>
      <c r="D182" s="567"/>
      <c r="E182" s="567"/>
      <c r="F182" s="567"/>
      <c r="G182" s="567"/>
      <c r="H182" s="567"/>
      <c r="I182" s="567"/>
      <c r="J182" s="567"/>
      <c r="K182" s="567"/>
      <c r="L182" s="567"/>
      <c r="M182" s="567"/>
      <c r="N182" s="567"/>
      <c r="O182" s="567"/>
      <c r="P182" s="567"/>
      <c r="Q182" s="567"/>
      <c r="R182" s="567"/>
      <c r="S182" s="567"/>
      <c r="T182" s="567"/>
      <c r="U182" s="567"/>
      <c r="V182" s="567"/>
      <c r="W182" s="567"/>
      <c r="X182" s="567"/>
      <c r="Y182" s="567"/>
      <c r="Z182" s="567"/>
      <c r="AA182" s="567"/>
      <c r="AB182" s="567"/>
      <c r="AC182" s="567"/>
      <c r="AD182" s="567"/>
      <c r="AE182" s="567"/>
      <c r="AF182" s="567"/>
    </row>
    <row r="183" spans="2:32">
      <c r="B183" s="616" t="s">
        <v>310</v>
      </c>
      <c r="C183" s="620" t="str">
        <f>IF(OR('VRU Legform'!D15="N/A",'VRU Legform'!D15=""),"",IF('VRU Legform'!AG15=1,"Green",IF('VRU Legform'!AG15&gt;0.75,"Yellow",IF('VRU Legform'!AG15&gt;0.5,"Orange",IF('VRU Legform'!AG15&gt;0.25,"Brown","Red")))))</f>
        <v/>
      </c>
      <c r="D183" s="567"/>
      <c r="E183" s="567"/>
      <c r="F183" s="567"/>
      <c r="G183" s="567"/>
      <c r="H183" s="567"/>
      <c r="I183" s="567"/>
      <c r="J183" s="567"/>
      <c r="K183" s="567"/>
      <c r="L183" s="567"/>
      <c r="M183" s="567"/>
      <c r="N183" s="567"/>
      <c r="O183" s="567"/>
      <c r="P183" s="567"/>
      <c r="Q183" s="567"/>
      <c r="R183" s="567"/>
      <c r="S183" s="567"/>
      <c r="T183" s="567"/>
      <c r="U183" s="567"/>
      <c r="V183" s="567"/>
      <c r="W183" s="567"/>
      <c r="X183" s="567"/>
      <c r="Y183" s="567"/>
      <c r="Z183" s="567"/>
      <c r="AA183" s="567"/>
      <c r="AB183" s="567"/>
      <c r="AC183" s="567"/>
      <c r="AD183" s="567"/>
      <c r="AE183" s="567"/>
      <c r="AF183" s="567"/>
    </row>
    <row r="184" spans="2:32">
      <c r="B184" s="616" t="s">
        <v>311</v>
      </c>
      <c r="C184" s="620" t="str">
        <f>IF(OR('VRU Legform'!D16="N/A",'VRU Legform'!D16=""),"",IF('VRU Legform'!AG16=1,"Green",IF('VRU Legform'!AG16&gt;0.75,"Yellow",IF('VRU Legform'!AG16&gt;0.5,"Orange",IF('VRU Legform'!AG16&gt;0.25,"Brown","Red")))))</f>
        <v/>
      </c>
      <c r="D184" s="567"/>
      <c r="E184" s="567"/>
      <c r="F184" s="567"/>
      <c r="G184" s="567"/>
      <c r="H184" s="567"/>
      <c r="I184" s="567"/>
      <c r="J184" s="567"/>
      <c r="K184" s="567"/>
      <c r="L184" s="567"/>
      <c r="M184" s="567"/>
      <c r="N184" s="567"/>
      <c r="O184" s="567"/>
      <c r="P184" s="567"/>
      <c r="Q184" s="567"/>
      <c r="R184" s="567"/>
      <c r="S184" s="567"/>
      <c r="T184" s="567"/>
      <c r="U184" s="567"/>
      <c r="V184" s="567"/>
      <c r="W184" s="567"/>
      <c r="X184" s="567"/>
      <c r="Y184" s="567"/>
      <c r="Z184" s="567"/>
      <c r="AA184" s="567"/>
      <c r="AB184" s="567"/>
      <c r="AC184" s="567"/>
      <c r="AD184" s="567"/>
      <c r="AE184" s="567"/>
      <c r="AF184" s="567"/>
    </row>
    <row r="185" spans="2:32">
      <c r="B185" s="616" t="s">
        <v>312</v>
      </c>
      <c r="C185" s="620" t="str">
        <f>IF(OR('VRU Legform'!D17="N/A",'VRU Legform'!D17=""),"",IF('VRU Legform'!AG17=1,"Green",IF('VRU Legform'!AG17&gt;0.75,"Yellow",IF('VRU Legform'!AG17&gt;0.5,"Orange",IF('VRU Legform'!AG17&gt;0.25,"Brown","Red")))))</f>
        <v/>
      </c>
      <c r="D185" s="567"/>
      <c r="E185" s="567"/>
      <c r="F185" s="567"/>
      <c r="G185" s="567"/>
      <c r="H185" s="567"/>
      <c r="I185" s="567"/>
      <c r="J185" s="567"/>
      <c r="K185" s="567"/>
      <c r="L185" s="567"/>
      <c r="M185" s="567"/>
      <c r="N185" s="567"/>
      <c r="O185" s="567"/>
      <c r="P185" s="567"/>
      <c r="Q185" s="567"/>
      <c r="R185" s="567"/>
      <c r="S185" s="567"/>
      <c r="T185" s="567"/>
      <c r="U185" s="567"/>
      <c r="V185" s="567"/>
      <c r="W185" s="567"/>
      <c r="X185" s="567"/>
      <c r="Y185" s="567"/>
      <c r="Z185" s="567"/>
      <c r="AA185" s="567"/>
      <c r="AB185" s="567"/>
      <c r="AC185" s="567"/>
      <c r="AD185" s="567"/>
      <c r="AE185" s="567"/>
      <c r="AF185" s="567"/>
    </row>
    <row r="186" spans="2:32">
      <c r="B186" s="616" t="s">
        <v>313</v>
      </c>
      <c r="C186" s="620" t="str">
        <f>IF(OR('VRU Legform'!D18="N/A",'VRU Legform'!D18=""),"",IF('VRU Legform'!AG18=1,"Green",IF('VRU Legform'!AG18&gt;0.75,"Yellow",IF('VRU Legform'!AG18&gt;0.5,"Orange",IF('VRU Legform'!AG18&gt;0.25,"Brown","Red")))))</f>
        <v/>
      </c>
      <c r="D186" s="567"/>
      <c r="E186" s="567"/>
      <c r="F186" s="567"/>
      <c r="G186" s="567"/>
      <c r="H186" s="567"/>
      <c r="I186" s="567"/>
      <c r="J186" s="567"/>
      <c r="K186" s="567"/>
      <c r="L186" s="567"/>
      <c r="M186" s="567"/>
      <c r="N186" s="567"/>
      <c r="O186" s="567"/>
      <c r="P186" s="567"/>
      <c r="Q186" s="567"/>
      <c r="R186" s="567"/>
      <c r="S186" s="567"/>
      <c r="T186" s="567"/>
      <c r="U186" s="567"/>
      <c r="V186" s="567"/>
      <c r="W186" s="567"/>
      <c r="X186" s="567"/>
      <c r="Y186" s="567"/>
      <c r="Z186" s="567"/>
      <c r="AA186" s="567"/>
      <c r="AB186" s="567"/>
      <c r="AC186" s="567"/>
      <c r="AD186" s="567"/>
      <c r="AE186" s="567"/>
      <c r="AF186" s="567"/>
    </row>
    <row r="187" spans="2:32">
      <c r="B187" s="616" t="s">
        <v>314</v>
      </c>
      <c r="C187" s="620" t="str">
        <f>IF(OR('VRU Legform'!D19="N/A",'VRU Legform'!D19=""),"",IF('VRU Legform'!AG19=1,"Green",IF('VRU Legform'!AG19&gt;0.75,"Yellow",IF('VRU Legform'!AG19&gt;0.5,"Orange",IF('VRU Legform'!AG19&gt;0.25,"Brown","Red")))))</f>
        <v/>
      </c>
      <c r="D187" s="567"/>
      <c r="E187" s="567"/>
      <c r="F187" s="567"/>
      <c r="G187" s="567"/>
      <c r="H187" s="567"/>
      <c r="I187" s="567"/>
      <c r="J187" s="567"/>
      <c r="K187" s="567"/>
      <c r="L187" s="567"/>
      <c r="M187" s="567"/>
      <c r="N187" s="567"/>
      <c r="O187" s="567"/>
      <c r="P187" s="567"/>
      <c r="Q187" s="567"/>
      <c r="R187" s="567"/>
      <c r="S187" s="567"/>
      <c r="T187" s="567"/>
      <c r="U187" s="567"/>
      <c r="V187" s="567"/>
      <c r="W187" s="567"/>
      <c r="X187" s="567"/>
      <c r="Y187" s="567"/>
      <c r="Z187" s="567"/>
      <c r="AA187" s="567"/>
      <c r="AB187" s="567"/>
      <c r="AC187" s="567"/>
      <c r="AD187" s="567"/>
      <c r="AE187" s="567"/>
      <c r="AF187" s="567"/>
    </row>
    <row r="188" spans="2:32">
      <c r="B188" s="616" t="s">
        <v>315</v>
      </c>
      <c r="C188" s="620" t="str">
        <f>IF(OR('VRU Legform'!D20="N/A",'VRU Legform'!D20=""),"",IF('VRU Legform'!AG20=1,"Green",IF('VRU Legform'!AG20&gt;0.75,"Yellow",IF('VRU Legform'!AG20&gt;0.5,"Orange",IF('VRU Legform'!AG20&gt;0.25,"Brown","Red")))))</f>
        <v/>
      </c>
      <c r="D188" s="567"/>
      <c r="E188" s="567"/>
      <c r="F188" s="567"/>
      <c r="G188" s="567"/>
      <c r="H188" s="567"/>
      <c r="I188" s="567"/>
      <c r="J188" s="567"/>
      <c r="K188" s="567"/>
      <c r="L188" s="567"/>
      <c r="M188" s="567"/>
      <c r="N188" s="567"/>
      <c r="O188" s="567"/>
      <c r="P188" s="567"/>
      <c r="Q188" s="567"/>
      <c r="R188" s="567"/>
      <c r="S188" s="567"/>
      <c r="T188" s="567"/>
      <c r="U188" s="567"/>
      <c r="V188" s="567"/>
      <c r="W188" s="567"/>
      <c r="X188" s="567"/>
      <c r="Y188" s="567"/>
      <c r="Z188" s="567"/>
      <c r="AA188" s="567"/>
      <c r="AB188" s="567"/>
      <c r="AC188" s="567"/>
      <c r="AD188" s="567"/>
      <c r="AE188" s="567"/>
      <c r="AF188" s="567"/>
    </row>
    <row r="189" spans="2:32">
      <c r="B189" s="616" t="s">
        <v>316</v>
      </c>
      <c r="C189" s="620" t="str">
        <f>IF(OR('VRU Legform'!D21="N/A",'VRU Legform'!D21=""),"",IF('VRU Legform'!AG21=1,"Green",IF('VRU Legform'!AG21&gt;0.75,"Yellow",IF('VRU Legform'!AG21&gt;0.5,"Orange",IF('VRU Legform'!AG21&gt;0.25,"Brown","Red")))))</f>
        <v/>
      </c>
      <c r="D189" s="567"/>
      <c r="E189" s="567"/>
      <c r="F189" s="567"/>
      <c r="G189" s="567"/>
      <c r="H189" s="567"/>
      <c r="I189" s="567"/>
      <c r="J189" s="567"/>
      <c r="K189" s="567"/>
      <c r="L189" s="567"/>
      <c r="M189" s="567"/>
      <c r="N189" s="567"/>
      <c r="O189" s="567"/>
      <c r="P189" s="567"/>
      <c r="Q189" s="567"/>
      <c r="R189" s="567"/>
      <c r="S189" s="567"/>
      <c r="T189" s="567"/>
      <c r="U189" s="567"/>
      <c r="V189" s="567"/>
      <c r="W189" s="567"/>
      <c r="X189" s="567"/>
      <c r="Y189" s="567"/>
      <c r="Z189" s="567"/>
      <c r="AA189" s="567"/>
      <c r="AB189" s="567"/>
      <c r="AC189" s="567"/>
      <c r="AD189" s="567"/>
      <c r="AE189" s="567"/>
      <c r="AF189" s="567"/>
    </row>
    <row r="190" spans="2:32">
      <c r="B190" s="616" t="s">
        <v>317</v>
      </c>
      <c r="C190" s="620" t="str">
        <f>IF(OR('VRU Legform'!D22="N/A",'VRU Legform'!D22=""),"",IF('VRU Legform'!AG22=1,"Green",IF('VRU Legform'!AG22&gt;0.75,"Yellow",IF('VRU Legform'!AG22&gt;0.5,"Orange",IF('VRU Legform'!AG22&gt;0.25,"Brown","Red")))))</f>
        <v/>
      </c>
      <c r="D190" s="567"/>
      <c r="E190" s="567"/>
      <c r="F190" s="567"/>
      <c r="G190" s="567"/>
      <c r="H190" s="567"/>
      <c r="I190" s="567"/>
      <c r="J190" s="567"/>
      <c r="K190" s="567"/>
      <c r="L190" s="567"/>
      <c r="M190" s="567"/>
      <c r="N190" s="567"/>
      <c r="O190" s="567"/>
      <c r="P190" s="567"/>
      <c r="Q190" s="567"/>
      <c r="R190" s="567"/>
      <c r="S190" s="567"/>
      <c r="T190" s="567"/>
      <c r="U190" s="567"/>
      <c r="V190" s="567"/>
      <c r="W190" s="567"/>
      <c r="X190" s="567"/>
      <c r="Y190" s="567"/>
      <c r="Z190" s="567"/>
      <c r="AA190" s="567"/>
      <c r="AB190" s="567"/>
      <c r="AC190" s="567"/>
      <c r="AD190" s="567"/>
      <c r="AE190" s="567"/>
      <c r="AF190" s="567"/>
    </row>
    <row r="191" spans="2:32">
      <c r="B191" s="616" t="s">
        <v>318</v>
      </c>
      <c r="C191" s="620" t="str">
        <f>IF(OR('VRU Legform'!D23="N/A",'VRU Legform'!D23=""),"",IF('VRU Legform'!AG23=1,"Green",IF('VRU Legform'!AG23&gt;0.75,"Yellow",IF('VRU Legform'!AG23&gt;0.5,"Orange",IF('VRU Legform'!AG23&gt;0.25,"Brown","Red")))))</f>
        <v/>
      </c>
      <c r="D191" s="567"/>
      <c r="E191" s="567"/>
      <c r="F191" s="567"/>
      <c r="G191" s="567"/>
      <c r="H191" s="567"/>
      <c r="I191" s="567"/>
      <c r="J191" s="567"/>
      <c r="K191" s="567"/>
      <c r="L191" s="567"/>
      <c r="M191" s="567"/>
      <c r="N191" s="567"/>
      <c r="O191" s="567"/>
      <c r="P191" s="567"/>
      <c r="Q191" s="567"/>
      <c r="R191" s="567"/>
      <c r="S191" s="567"/>
      <c r="T191" s="567"/>
      <c r="U191" s="567"/>
      <c r="V191" s="567"/>
      <c r="W191" s="567"/>
      <c r="X191" s="567"/>
      <c r="Y191" s="567"/>
      <c r="Z191" s="567"/>
      <c r="AA191" s="567"/>
      <c r="AB191" s="567"/>
      <c r="AC191" s="567"/>
      <c r="AD191" s="567"/>
      <c r="AE191" s="567"/>
      <c r="AF191" s="567"/>
    </row>
    <row r="192" spans="2:32">
      <c r="B192" s="616" t="s">
        <v>319</v>
      </c>
      <c r="C192" s="620" t="str">
        <f>IF(OR('VRU Legform'!D24="N/A",'VRU Legform'!D24=""),"",IF('VRU Legform'!AG24=1,"Green",IF('VRU Legform'!AG24&gt;0.75,"Yellow",IF('VRU Legform'!AG24&gt;0.5,"Orange",IF('VRU Legform'!AG24&gt;0.25,"Brown","Red")))))</f>
        <v/>
      </c>
      <c r="D192" s="567"/>
      <c r="E192" s="567"/>
      <c r="F192" s="567"/>
      <c r="G192" s="567"/>
      <c r="H192" s="567"/>
      <c r="I192" s="567"/>
      <c r="J192" s="567"/>
      <c r="K192" s="567"/>
      <c r="L192" s="567"/>
      <c r="M192" s="567"/>
      <c r="N192" s="567"/>
      <c r="O192" s="567"/>
      <c r="P192" s="567"/>
      <c r="Q192" s="567"/>
      <c r="R192" s="567"/>
      <c r="S192" s="567"/>
      <c r="T192" s="567"/>
      <c r="U192" s="567"/>
      <c r="V192" s="567"/>
      <c r="W192" s="567"/>
      <c r="X192" s="567"/>
      <c r="Y192" s="567"/>
      <c r="Z192" s="567"/>
      <c r="AA192" s="567"/>
      <c r="AB192" s="567"/>
      <c r="AC192" s="567"/>
      <c r="AD192" s="567"/>
      <c r="AE192" s="567"/>
      <c r="AF192" s="567"/>
    </row>
    <row r="193" spans="2:32">
      <c r="B193" s="616" t="s">
        <v>320</v>
      </c>
      <c r="C193" s="620" t="str">
        <f>IF(OR('VRU Legform'!D25="N/A",'VRU Legform'!D25=""),"",IF('VRU Legform'!AG25=1,"Green",IF('VRU Legform'!AG25&gt;0.75,"Yellow",IF('VRU Legform'!AG25&gt;0.5,"Orange",IF('VRU Legform'!AG25&gt;0.25,"Brown","Red")))))</f>
        <v/>
      </c>
      <c r="D193" s="567"/>
      <c r="E193" s="567"/>
      <c r="F193" s="567"/>
      <c r="G193" s="567"/>
      <c r="H193" s="567"/>
      <c r="I193" s="567"/>
      <c r="J193" s="567"/>
      <c r="K193" s="567"/>
      <c r="L193" s="567"/>
      <c r="M193" s="567"/>
      <c r="N193" s="567"/>
      <c r="O193" s="567"/>
      <c r="P193" s="567"/>
      <c r="Q193" s="567"/>
      <c r="R193" s="567"/>
      <c r="S193" s="567"/>
      <c r="T193" s="567"/>
      <c r="U193" s="567"/>
      <c r="V193" s="567"/>
      <c r="W193" s="567"/>
      <c r="X193" s="567"/>
      <c r="Y193" s="567"/>
      <c r="Z193" s="567"/>
      <c r="AA193" s="567"/>
      <c r="AB193" s="567"/>
      <c r="AC193" s="567"/>
      <c r="AD193" s="567"/>
      <c r="AE193" s="567"/>
      <c r="AF193" s="567"/>
    </row>
    <row r="194" spans="2:32">
      <c r="B194" s="616" t="s">
        <v>321</v>
      </c>
      <c r="C194" s="620" t="str">
        <f>IF(OR('VRU Legform'!D26="N/A",'VRU Legform'!D26=""),"",IF('VRU Legform'!AG26=1,"Green",IF('VRU Legform'!AG26&gt;0.75,"Yellow",IF('VRU Legform'!AG26&gt;0.5,"Orange",IF('VRU Legform'!AG26&gt;0.25,"Brown","Red")))))</f>
        <v/>
      </c>
      <c r="D194" s="567"/>
      <c r="E194" s="567"/>
      <c r="F194" s="567"/>
      <c r="G194" s="567"/>
      <c r="H194" s="567"/>
      <c r="I194" s="567"/>
      <c r="J194" s="567"/>
      <c r="K194" s="567"/>
      <c r="L194" s="567"/>
      <c r="M194" s="567"/>
      <c r="N194" s="567"/>
      <c r="O194" s="567"/>
      <c r="P194" s="567"/>
      <c r="Q194" s="567"/>
      <c r="R194" s="567"/>
      <c r="S194" s="567"/>
      <c r="T194" s="567"/>
      <c r="U194" s="567"/>
      <c r="V194" s="567"/>
      <c r="W194" s="567"/>
      <c r="X194" s="567"/>
      <c r="Y194" s="567"/>
      <c r="Z194" s="567"/>
      <c r="AA194" s="567"/>
      <c r="AB194" s="567"/>
      <c r="AC194" s="567"/>
      <c r="AD194" s="567"/>
      <c r="AE194" s="567"/>
      <c r="AF194" s="567"/>
    </row>
    <row r="195" spans="2:32">
      <c r="B195" s="616" t="s">
        <v>322</v>
      </c>
      <c r="C195" s="620" t="str">
        <f>IF(OR('VRU Legform'!D27="N/A",'VRU Legform'!D27=""),"",IF('VRU Legform'!AG27=1,"Green",IF('VRU Legform'!AG27&gt;0.75,"Yellow",IF('VRU Legform'!AG27&gt;0.5,"Orange",IF('VRU Legform'!AG27&gt;0.25,"Brown","Red")))))</f>
        <v/>
      </c>
      <c r="D195" s="567"/>
      <c r="E195" s="567"/>
      <c r="F195" s="567"/>
      <c r="G195" s="567"/>
      <c r="H195" s="567"/>
      <c r="I195" s="567"/>
      <c r="J195" s="567"/>
      <c r="K195" s="567"/>
      <c r="L195" s="567"/>
      <c r="M195" s="567"/>
      <c r="N195" s="567"/>
      <c r="O195" s="567"/>
      <c r="P195" s="567"/>
      <c r="Q195" s="567"/>
      <c r="R195" s="567"/>
      <c r="S195" s="567"/>
      <c r="T195" s="567"/>
      <c r="U195" s="567"/>
      <c r="V195" s="567"/>
      <c r="W195" s="567"/>
      <c r="X195" s="567"/>
      <c r="Y195" s="567"/>
      <c r="Z195" s="567"/>
      <c r="AA195" s="567"/>
      <c r="AB195" s="567"/>
      <c r="AC195" s="567"/>
      <c r="AD195" s="567"/>
      <c r="AE195" s="567"/>
      <c r="AF195" s="567"/>
    </row>
    <row r="196" spans="2:32">
      <c r="B196" s="616" t="s">
        <v>323</v>
      </c>
      <c r="C196" s="620" t="str">
        <f>IF(OR('VRU Legform'!D28="N/A",'VRU Legform'!D28=""),"",IF('VRU Legform'!AG28=1,"Green",IF('VRU Legform'!AG28&gt;0.75,"Yellow",IF('VRU Legform'!AG28&gt;0.5,"Orange",IF('VRU Legform'!AG28&gt;0.25,"Brown","Red")))))</f>
        <v/>
      </c>
      <c r="D196" s="567"/>
      <c r="E196" s="567"/>
      <c r="F196" s="567"/>
      <c r="G196" s="567"/>
      <c r="H196" s="567"/>
      <c r="I196" s="567"/>
      <c r="J196" s="567"/>
      <c r="K196" s="567"/>
      <c r="L196" s="567"/>
      <c r="M196" s="567"/>
      <c r="N196" s="567"/>
      <c r="O196" s="567"/>
      <c r="P196" s="567"/>
      <c r="Q196" s="567"/>
      <c r="R196" s="567"/>
      <c r="S196" s="567"/>
      <c r="T196" s="567"/>
      <c r="U196" s="567"/>
      <c r="V196" s="567"/>
      <c r="W196" s="567"/>
      <c r="X196" s="567"/>
      <c r="Y196" s="567"/>
      <c r="Z196" s="567"/>
      <c r="AA196" s="567"/>
      <c r="AB196" s="567"/>
      <c r="AC196" s="567"/>
      <c r="AD196" s="567"/>
      <c r="AE196" s="567"/>
      <c r="AF196" s="567"/>
    </row>
    <row r="197" spans="2:32">
      <c r="B197" s="612" t="s">
        <v>898</v>
      </c>
      <c r="C197" s="620">
        <f ca="1">ROUND('VRU Legform'!E32,1)</f>
        <v>0</v>
      </c>
      <c r="D197" s="567"/>
      <c r="E197" s="567"/>
      <c r="F197" s="567"/>
      <c r="G197" s="567"/>
      <c r="H197" s="567"/>
      <c r="I197" s="567"/>
      <c r="J197" s="567"/>
      <c r="K197" s="567"/>
      <c r="L197" s="567"/>
      <c r="M197" s="567"/>
      <c r="N197" s="567"/>
      <c r="O197" s="567"/>
      <c r="P197" s="567"/>
      <c r="Q197" s="567"/>
      <c r="R197" s="567"/>
      <c r="S197" s="567"/>
      <c r="T197" s="567"/>
      <c r="U197" s="567"/>
      <c r="V197" s="567"/>
      <c r="W197" s="567"/>
      <c r="X197" s="567"/>
      <c r="Y197" s="567"/>
      <c r="Z197" s="567"/>
      <c r="AA197" s="567"/>
      <c r="AB197" s="567"/>
      <c r="AC197" s="567"/>
      <c r="AD197" s="567"/>
      <c r="AE197" s="567"/>
      <c r="AF197" s="567"/>
    </row>
    <row r="198" spans="2:32">
      <c r="B198" s="612" t="s">
        <v>899</v>
      </c>
      <c r="C198" s="1176" t="s">
        <v>2923</v>
      </c>
      <c r="D198" s="560"/>
      <c r="E198" s="567"/>
      <c r="F198" s="567"/>
      <c r="G198" s="567"/>
      <c r="H198" s="567"/>
      <c r="I198" s="567"/>
      <c r="J198" s="567"/>
      <c r="K198" s="567"/>
      <c r="L198" s="567"/>
      <c r="M198" s="567"/>
      <c r="N198" s="567"/>
      <c r="O198" s="567"/>
      <c r="P198" s="567"/>
      <c r="Q198" s="567"/>
      <c r="R198" s="567"/>
      <c r="S198" s="567"/>
      <c r="T198" s="567"/>
      <c r="U198" s="567"/>
      <c r="V198" s="567"/>
      <c r="W198" s="567"/>
      <c r="X198" s="567"/>
      <c r="Y198" s="567"/>
      <c r="Z198" s="567"/>
      <c r="AA198" s="567"/>
      <c r="AB198" s="567"/>
      <c r="AC198" s="567"/>
      <c r="AD198" s="567"/>
      <c r="AE198" s="567"/>
      <c r="AF198" s="567"/>
    </row>
    <row r="199" spans="2:32">
      <c r="B199" s="616"/>
      <c r="C199" s="567"/>
      <c r="D199" s="567"/>
      <c r="E199" s="567"/>
      <c r="F199" s="567"/>
      <c r="G199" s="567"/>
      <c r="H199" s="567"/>
      <c r="I199" s="567"/>
      <c r="J199" s="567"/>
      <c r="K199" s="567"/>
      <c r="L199" s="567"/>
      <c r="M199" s="567"/>
      <c r="N199" s="567"/>
      <c r="O199" s="567"/>
      <c r="P199" s="567"/>
      <c r="Q199" s="567"/>
      <c r="R199" s="567"/>
      <c r="S199" s="567"/>
      <c r="T199" s="567"/>
      <c r="U199" s="567"/>
      <c r="V199" s="567"/>
      <c r="W199" s="567"/>
      <c r="X199" s="567"/>
      <c r="Y199" s="567"/>
      <c r="Z199" s="567"/>
      <c r="AA199" s="567"/>
      <c r="AB199" s="567"/>
      <c r="AC199" s="567"/>
      <c r="AD199" s="567"/>
      <c r="AE199" s="567"/>
      <c r="AF199" s="567"/>
    </row>
    <row r="200" spans="2:32">
      <c r="B200" s="612" t="s">
        <v>2768</v>
      </c>
      <c r="C200" s="567"/>
      <c r="D200" s="567"/>
      <c r="E200" s="567"/>
      <c r="F200" s="567"/>
      <c r="G200" s="567"/>
      <c r="H200" s="567"/>
      <c r="I200" s="567"/>
      <c r="J200" s="567"/>
      <c r="K200" s="567"/>
      <c r="L200" s="567"/>
      <c r="M200" s="567"/>
      <c r="N200" s="567"/>
      <c r="O200" s="567"/>
      <c r="P200" s="567"/>
      <c r="Q200" s="567"/>
      <c r="R200" s="567"/>
      <c r="S200" s="567"/>
      <c r="T200" s="567"/>
      <c r="U200" s="567"/>
      <c r="V200" s="567"/>
      <c r="W200" s="567"/>
      <c r="X200" s="567"/>
      <c r="Y200" s="567"/>
      <c r="Z200" s="567"/>
      <c r="AA200" s="567"/>
      <c r="AB200" s="567"/>
      <c r="AC200" s="567"/>
      <c r="AD200" s="567"/>
      <c r="AE200" s="567"/>
      <c r="AF200" s="567"/>
    </row>
    <row r="201" spans="2:32">
      <c r="B201" s="616" t="s">
        <v>303</v>
      </c>
      <c r="C201" s="620" t="str">
        <f>IF(OR('VRU Legform'!D8="N/A",'VRU Legform'!D8=""),"",IF('VRU Legform'!AF8=1,"Green",IF('VRU Legform'!AF8&gt;0.75,"Yellow",IF('VRU Legform'!AF8&gt;0.5,"Orange",IF('VRU Legform'!AF8&gt;0.25,"Brown","Red")))))</f>
        <v/>
      </c>
      <c r="D201" s="567"/>
      <c r="E201" s="567"/>
      <c r="F201" s="567"/>
      <c r="G201" s="567"/>
      <c r="H201" s="567"/>
      <c r="I201" s="567"/>
      <c r="J201" s="567"/>
      <c r="K201" s="567"/>
      <c r="L201" s="567"/>
      <c r="M201" s="567"/>
      <c r="N201" s="567"/>
      <c r="O201" s="567"/>
      <c r="P201" s="567"/>
      <c r="Q201" s="567"/>
      <c r="R201" s="567"/>
      <c r="S201" s="567"/>
      <c r="T201" s="567"/>
      <c r="U201" s="567"/>
      <c r="V201" s="567"/>
      <c r="W201" s="567"/>
      <c r="X201" s="567"/>
      <c r="Y201" s="567"/>
      <c r="Z201" s="567"/>
      <c r="AA201" s="567"/>
      <c r="AB201" s="567"/>
      <c r="AC201" s="567"/>
      <c r="AD201" s="567"/>
      <c r="AE201" s="567"/>
      <c r="AF201" s="567"/>
    </row>
    <row r="202" spans="2:32">
      <c r="B202" s="616" t="s">
        <v>304</v>
      </c>
      <c r="C202" s="620" t="str">
        <f>IF(OR('VRU Legform'!D9="N/A",'VRU Legform'!D9=""),"",IF('VRU Legform'!AF9=1,"Green",IF('VRU Legform'!AF9&gt;0.75,"Yellow",IF('VRU Legform'!AF9&gt;0.5,"Orange",IF('VRU Legform'!AF9&gt;0.25,"Brown","Red")))))</f>
        <v/>
      </c>
      <c r="D202" s="567"/>
      <c r="E202" s="567"/>
      <c r="F202" s="567"/>
      <c r="G202" s="567"/>
      <c r="H202" s="567"/>
      <c r="I202" s="567"/>
      <c r="J202" s="567"/>
      <c r="K202" s="567"/>
      <c r="L202" s="567"/>
      <c r="M202" s="567"/>
      <c r="N202" s="567"/>
      <c r="O202" s="567"/>
      <c r="P202" s="567"/>
      <c r="Q202" s="567"/>
      <c r="R202" s="567"/>
      <c r="S202" s="567"/>
      <c r="T202" s="567"/>
      <c r="U202" s="567"/>
      <c r="V202" s="567"/>
      <c r="W202" s="567"/>
      <c r="X202" s="567"/>
      <c r="Y202" s="567"/>
      <c r="Z202" s="567"/>
      <c r="AA202" s="567"/>
      <c r="AB202" s="567"/>
      <c r="AC202" s="567"/>
      <c r="AD202" s="567"/>
      <c r="AE202" s="567"/>
      <c r="AF202" s="567"/>
    </row>
    <row r="203" spans="2:32">
      <c r="B203" s="616" t="s">
        <v>305</v>
      </c>
      <c r="C203" s="620" t="str">
        <f>IF(OR('VRU Legform'!D10="N/A",'VRU Legform'!D10=""),"",IF('VRU Legform'!AF10=1,"Green",IF('VRU Legform'!AF10&gt;0.75,"Yellow",IF('VRU Legform'!AF10&gt;0.5,"Orange",IF('VRU Legform'!AF10&gt;0.25,"Brown","Red")))))</f>
        <v/>
      </c>
      <c r="D203" s="567"/>
      <c r="E203" s="567"/>
      <c r="F203" s="567"/>
      <c r="G203" s="567"/>
      <c r="H203" s="567"/>
      <c r="I203" s="567"/>
      <c r="J203" s="567"/>
      <c r="K203" s="567"/>
      <c r="L203" s="567"/>
      <c r="M203" s="567"/>
      <c r="N203" s="567"/>
      <c r="O203" s="567"/>
      <c r="P203" s="567"/>
      <c r="Q203" s="567"/>
      <c r="R203" s="567"/>
      <c r="S203" s="567"/>
      <c r="T203" s="567"/>
      <c r="U203" s="567"/>
      <c r="V203" s="567"/>
      <c r="W203" s="567"/>
      <c r="X203" s="567"/>
      <c r="Y203" s="567"/>
      <c r="Z203" s="567"/>
      <c r="AA203" s="567"/>
      <c r="AB203" s="567"/>
      <c r="AC203" s="567"/>
      <c r="AD203" s="567"/>
      <c r="AE203" s="567"/>
      <c r="AF203" s="567"/>
    </row>
    <row r="204" spans="2:32">
      <c r="B204" s="616" t="s">
        <v>306</v>
      </c>
      <c r="C204" s="620" t="str">
        <f>IF(OR('VRU Legform'!D11="N/A",'VRU Legform'!D11=""),"",IF('VRU Legform'!AF11=1,"Green",IF('VRU Legform'!AF11&gt;0.75,"Yellow",IF('VRU Legform'!AF11&gt;0.5,"Orange",IF('VRU Legform'!AF11&gt;0.25,"Brown","Red")))))</f>
        <v/>
      </c>
      <c r="D204" s="567"/>
      <c r="E204" s="567"/>
      <c r="F204" s="567"/>
      <c r="G204" s="567"/>
      <c r="H204" s="567"/>
      <c r="I204" s="567"/>
      <c r="J204" s="567"/>
      <c r="K204" s="567"/>
      <c r="L204" s="567"/>
      <c r="M204" s="567"/>
      <c r="N204" s="567"/>
      <c r="O204" s="567"/>
      <c r="P204" s="567"/>
      <c r="Q204" s="567"/>
      <c r="R204" s="567"/>
      <c r="S204" s="567"/>
      <c r="T204" s="567"/>
      <c r="U204" s="567"/>
      <c r="V204" s="567"/>
      <c r="W204" s="567"/>
      <c r="X204" s="567"/>
      <c r="Y204" s="567"/>
      <c r="Z204" s="567"/>
      <c r="AA204" s="567"/>
      <c r="AB204" s="567"/>
      <c r="AC204" s="567"/>
      <c r="AD204" s="567"/>
      <c r="AE204" s="567"/>
      <c r="AF204" s="567"/>
    </row>
    <row r="205" spans="2:32">
      <c r="B205" s="616" t="s">
        <v>307</v>
      </c>
      <c r="C205" s="620" t="str">
        <f>IF(OR('VRU Legform'!D12="N/A",'VRU Legform'!D12=""),"",IF('VRU Legform'!AF12=1,"Green",IF('VRU Legform'!AF12&gt;0.75,"Yellow",IF('VRU Legform'!AF12&gt;0.5,"Orange",IF('VRU Legform'!AF12&gt;0.25,"Brown","Red")))))</f>
        <v/>
      </c>
      <c r="D205" s="567"/>
      <c r="E205" s="567"/>
      <c r="F205" s="567"/>
      <c r="G205" s="567"/>
      <c r="H205" s="567"/>
      <c r="I205" s="567"/>
      <c r="J205" s="567"/>
      <c r="K205" s="567"/>
      <c r="L205" s="567"/>
      <c r="M205" s="567"/>
      <c r="N205" s="567"/>
      <c r="O205" s="567"/>
      <c r="P205" s="567"/>
      <c r="Q205" s="567"/>
      <c r="R205" s="567"/>
      <c r="S205" s="567"/>
      <c r="T205" s="567"/>
      <c r="U205" s="567"/>
      <c r="V205" s="567"/>
      <c r="W205" s="567"/>
      <c r="X205" s="567"/>
      <c r="Y205" s="567"/>
      <c r="Z205" s="567"/>
      <c r="AA205" s="567"/>
      <c r="AB205" s="567"/>
      <c r="AC205" s="567"/>
      <c r="AD205" s="567"/>
      <c r="AE205" s="567"/>
      <c r="AF205" s="567"/>
    </row>
    <row r="206" spans="2:32">
      <c r="B206" s="616" t="s">
        <v>308</v>
      </c>
      <c r="C206" s="620" t="str">
        <f>IF(OR('VRU Legform'!D13="N/A",'VRU Legform'!D13=""),"",IF('VRU Legform'!AF13=1,"Green",IF('VRU Legform'!AF13&gt;0.75,"Yellow",IF('VRU Legform'!AF13&gt;0.5,"Orange",IF('VRU Legform'!AF13&gt;0.25,"Brown","Red")))))</f>
        <v/>
      </c>
      <c r="D206" s="567"/>
      <c r="E206" s="567"/>
      <c r="F206" s="567"/>
      <c r="G206" s="567"/>
      <c r="H206" s="567"/>
      <c r="I206" s="567"/>
      <c r="J206" s="567"/>
      <c r="K206" s="567"/>
      <c r="L206" s="567"/>
      <c r="M206" s="567"/>
      <c r="N206" s="567"/>
      <c r="O206" s="567"/>
      <c r="P206" s="567"/>
      <c r="Q206" s="567"/>
      <c r="R206" s="567"/>
      <c r="S206" s="567"/>
      <c r="T206" s="567"/>
      <c r="U206" s="567"/>
      <c r="V206" s="567"/>
      <c r="W206" s="567"/>
      <c r="X206" s="567"/>
      <c r="Y206" s="567"/>
      <c r="Z206" s="567"/>
      <c r="AA206" s="567"/>
      <c r="AB206" s="567"/>
      <c r="AC206" s="567"/>
      <c r="AD206" s="567"/>
      <c r="AE206" s="567"/>
      <c r="AF206" s="567"/>
    </row>
    <row r="207" spans="2:32">
      <c r="B207" s="616" t="s">
        <v>309</v>
      </c>
      <c r="C207" s="620" t="str">
        <f>IF(OR('VRU Legform'!D14="N/A",'VRU Legform'!D14=""),"",IF('VRU Legform'!AF14=1,"Green",IF('VRU Legform'!AF14&gt;0.75,"Yellow",IF('VRU Legform'!AF14&gt;0.5,"Orange",IF('VRU Legform'!AF14&gt;0.25,"Brown","Red")))))</f>
        <v/>
      </c>
      <c r="D207" s="567"/>
      <c r="E207" s="567"/>
      <c r="F207" s="567"/>
      <c r="G207" s="567"/>
      <c r="H207" s="567"/>
      <c r="I207" s="567"/>
      <c r="J207" s="567"/>
      <c r="K207" s="567"/>
      <c r="L207" s="567"/>
      <c r="M207" s="567"/>
      <c r="N207" s="567"/>
      <c r="O207" s="567"/>
      <c r="P207" s="567"/>
      <c r="Q207" s="567"/>
      <c r="R207" s="567"/>
      <c r="S207" s="567"/>
      <c r="T207" s="567"/>
      <c r="U207" s="567"/>
      <c r="V207" s="567"/>
      <c r="W207" s="567"/>
      <c r="X207" s="567"/>
      <c r="Y207" s="567"/>
      <c r="Z207" s="567"/>
      <c r="AA207" s="567"/>
      <c r="AB207" s="567"/>
      <c r="AC207" s="567"/>
      <c r="AD207" s="567"/>
      <c r="AE207" s="567"/>
      <c r="AF207" s="567"/>
    </row>
    <row r="208" spans="2:32">
      <c r="B208" s="616" t="s">
        <v>310</v>
      </c>
      <c r="C208" s="620" t="str">
        <f>IF(OR('VRU Legform'!D15="N/A",'VRU Legform'!D15=""),"",IF('VRU Legform'!AF15=1,"Green",IF('VRU Legform'!AF15&gt;0.75,"Yellow",IF('VRU Legform'!AF15&gt;0.5,"Orange",IF('VRU Legform'!AF15&gt;0.25,"Brown","Red")))))</f>
        <v/>
      </c>
      <c r="D208" s="567"/>
      <c r="E208" s="567"/>
      <c r="F208" s="567"/>
      <c r="G208" s="567"/>
      <c r="H208" s="567"/>
      <c r="I208" s="567"/>
      <c r="J208" s="567"/>
      <c r="K208" s="567"/>
      <c r="L208" s="567"/>
      <c r="M208" s="567"/>
      <c r="N208" s="567"/>
      <c r="O208" s="567"/>
      <c r="P208" s="567"/>
      <c r="Q208" s="567"/>
      <c r="R208" s="567"/>
      <c r="S208" s="567"/>
      <c r="T208" s="567"/>
      <c r="U208" s="567"/>
      <c r="V208" s="567"/>
      <c r="W208" s="567"/>
      <c r="X208" s="567"/>
      <c r="Y208" s="567"/>
      <c r="Z208" s="567"/>
      <c r="AA208" s="567"/>
      <c r="AB208" s="567"/>
      <c r="AC208" s="567"/>
      <c r="AD208" s="567"/>
      <c r="AE208" s="567"/>
      <c r="AF208" s="567"/>
    </row>
    <row r="209" spans="2:32">
      <c r="B209" s="616" t="s">
        <v>311</v>
      </c>
      <c r="C209" s="620" t="str">
        <f>IF(OR('VRU Legform'!D16="N/A",'VRU Legform'!D16=""),"",IF('VRU Legform'!AF16=1,"Green",IF('VRU Legform'!AF16&gt;0.75,"Yellow",IF('VRU Legform'!AF16&gt;0.5,"Orange",IF('VRU Legform'!AF16&gt;0.25,"Brown","Red")))))</f>
        <v/>
      </c>
      <c r="D209" s="567"/>
      <c r="E209" s="567"/>
      <c r="F209" s="567"/>
      <c r="G209" s="567"/>
      <c r="H209" s="567"/>
      <c r="I209" s="567"/>
      <c r="J209" s="567"/>
      <c r="K209" s="567"/>
      <c r="L209" s="567"/>
      <c r="M209" s="567"/>
      <c r="N209" s="567"/>
      <c r="O209" s="567"/>
      <c r="P209" s="567"/>
      <c r="Q209" s="567"/>
      <c r="R209" s="567"/>
      <c r="S209" s="567"/>
      <c r="T209" s="567"/>
      <c r="U209" s="567"/>
      <c r="V209" s="567"/>
      <c r="W209" s="567"/>
      <c r="X209" s="567"/>
      <c r="Y209" s="567"/>
      <c r="Z209" s="567"/>
      <c r="AA209" s="567"/>
      <c r="AB209" s="567"/>
      <c r="AC209" s="567"/>
      <c r="AD209" s="567"/>
      <c r="AE209" s="567"/>
      <c r="AF209" s="567"/>
    </row>
    <row r="210" spans="2:32">
      <c r="B210" s="616" t="s">
        <v>312</v>
      </c>
      <c r="C210" s="620" t="str">
        <f>IF(OR('VRU Legform'!D17="N/A",'VRU Legform'!D17=""),"",IF('VRU Legform'!AF17=1,"Green",IF('VRU Legform'!AF17&gt;0.75,"Yellow",IF('VRU Legform'!AF17&gt;0.5,"Orange",IF('VRU Legform'!AF17&gt;0.25,"Brown","Red")))))</f>
        <v/>
      </c>
      <c r="D210" s="567"/>
      <c r="E210" s="567"/>
      <c r="F210" s="567"/>
      <c r="G210" s="567"/>
      <c r="H210" s="567"/>
      <c r="I210" s="567"/>
      <c r="J210" s="567"/>
      <c r="K210" s="567"/>
      <c r="L210" s="567"/>
      <c r="M210" s="567"/>
      <c r="N210" s="567"/>
      <c r="O210" s="567"/>
      <c r="P210" s="567"/>
      <c r="Q210" s="567"/>
      <c r="R210" s="567"/>
      <c r="S210" s="567"/>
      <c r="T210" s="567"/>
      <c r="U210" s="567"/>
      <c r="V210" s="567"/>
      <c r="W210" s="567"/>
      <c r="X210" s="567"/>
      <c r="Y210" s="567"/>
      <c r="Z210" s="567"/>
      <c r="AA210" s="567"/>
      <c r="AB210" s="567"/>
      <c r="AC210" s="567"/>
      <c r="AD210" s="567"/>
      <c r="AE210" s="567"/>
      <c r="AF210" s="567"/>
    </row>
    <row r="211" spans="2:32">
      <c r="B211" s="616" t="s">
        <v>313</v>
      </c>
      <c r="C211" s="620" t="str">
        <f>IF(OR('VRU Legform'!D18="N/A",'VRU Legform'!D18=""),"",IF('VRU Legform'!AF18=1,"Green",IF('VRU Legform'!AF18&gt;0.75,"Yellow",IF('VRU Legform'!AF18&gt;0.5,"Orange",IF('VRU Legform'!AF18&gt;0.25,"Brown","Red")))))</f>
        <v/>
      </c>
      <c r="D211" s="567"/>
      <c r="E211" s="567"/>
      <c r="F211" s="567"/>
      <c r="G211" s="567"/>
      <c r="H211" s="567"/>
      <c r="I211" s="567"/>
      <c r="J211" s="567"/>
      <c r="K211" s="567"/>
      <c r="L211" s="567"/>
      <c r="M211" s="567"/>
      <c r="N211" s="567"/>
      <c r="O211" s="567"/>
      <c r="P211" s="567"/>
      <c r="Q211" s="567"/>
      <c r="R211" s="567"/>
      <c r="S211" s="567"/>
      <c r="T211" s="567"/>
      <c r="U211" s="567"/>
      <c r="V211" s="567"/>
      <c r="W211" s="567"/>
      <c r="X211" s="567"/>
      <c r="Y211" s="567"/>
      <c r="Z211" s="567"/>
      <c r="AA211" s="567"/>
      <c r="AB211" s="567"/>
      <c r="AC211" s="567"/>
      <c r="AD211" s="567"/>
      <c r="AE211" s="567"/>
      <c r="AF211" s="567"/>
    </row>
    <row r="212" spans="2:32">
      <c r="B212" s="616" t="s">
        <v>314</v>
      </c>
      <c r="C212" s="620" t="str">
        <f>IF(OR('VRU Legform'!D19="N/A",'VRU Legform'!D19=""),"",IF('VRU Legform'!AF19=1,"Green",IF('VRU Legform'!AF19&gt;0.75,"Yellow",IF('VRU Legform'!AF19&gt;0.5,"Orange",IF('VRU Legform'!AF19&gt;0.25,"Brown","Red")))))</f>
        <v/>
      </c>
      <c r="D212" s="567"/>
      <c r="E212" s="567"/>
      <c r="F212" s="567"/>
      <c r="G212" s="567"/>
      <c r="H212" s="567"/>
      <c r="I212" s="567"/>
      <c r="J212" s="567"/>
      <c r="K212" s="567"/>
      <c r="L212" s="567"/>
      <c r="M212" s="567"/>
      <c r="N212" s="567"/>
      <c r="O212" s="567"/>
      <c r="P212" s="567"/>
      <c r="Q212" s="567"/>
      <c r="R212" s="567"/>
      <c r="S212" s="567"/>
      <c r="T212" s="567"/>
      <c r="U212" s="567"/>
      <c r="V212" s="567"/>
      <c r="W212" s="567"/>
      <c r="X212" s="567"/>
      <c r="Y212" s="567"/>
      <c r="Z212" s="567"/>
      <c r="AA212" s="567"/>
      <c r="AB212" s="567"/>
      <c r="AC212" s="567"/>
      <c r="AD212" s="567"/>
      <c r="AE212" s="567"/>
      <c r="AF212" s="567"/>
    </row>
    <row r="213" spans="2:32">
      <c r="B213" s="616" t="s">
        <v>315</v>
      </c>
      <c r="C213" s="620" t="str">
        <f>IF(OR('VRU Legform'!D20="N/A",'VRU Legform'!D20=""),"",IF('VRU Legform'!AF20=1,"Green",IF('VRU Legform'!AF20&gt;0.75,"Yellow",IF('VRU Legform'!AF20&gt;0.5,"Orange",IF('VRU Legform'!AF20&gt;0.25,"Brown","Red")))))</f>
        <v/>
      </c>
      <c r="D213" s="567"/>
      <c r="E213" s="567"/>
      <c r="F213" s="567"/>
      <c r="G213" s="567"/>
      <c r="H213" s="567"/>
      <c r="I213" s="567"/>
      <c r="J213" s="567"/>
      <c r="K213" s="567"/>
      <c r="L213" s="567"/>
      <c r="M213" s="567"/>
      <c r="N213" s="567"/>
      <c r="O213" s="567"/>
      <c r="P213" s="567"/>
      <c r="Q213" s="567"/>
      <c r="R213" s="567"/>
      <c r="S213" s="567"/>
      <c r="T213" s="567"/>
      <c r="U213" s="567"/>
      <c r="V213" s="567"/>
      <c r="W213" s="567"/>
      <c r="X213" s="567"/>
      <c r="Y213" s="567"/>
      <c r="Z213" s="567"/>
      <c r="AA213" s="567"/>
      <c r="AB213" s="567"/>
      <c r="AC213" s="567"/>
      <c r="AD213" s="567"/>
      <c r="AE213" s="567"/>
      <c r="AF213" s="567"/>
    </row>
    <row r="214" spans="2:32">
      <c r="B214" s="616" t="s">
        <v>316</v>
      </c>
      <c r="C214" s="620" t="str">
        <f>IF(OR('VRU Legform'!D21="N/A",'VRU Legform'!D21=""),"",IF('VRU Legform'!AF21=1,"Green",IF('VRU Legform'!AF21&gt;0.75,"Yellow",IF('VRU Legform'!AF21&gt;0.5,"Orange",IF('VRU Legform'!AF21&gt;0.25,"Brown","Red")))))</f>
        <v/>
      </c>
      <c r="D214" s="567"/>
      <c r="E214" s="567"/>
      <c r="F214" s="567"/>
      <c r="G214" s="567"/>
      <c r="H214" s="567"/>
      <c r="I214" s="567"/>
      <c r="J214" s="567"/>
      <c r="K214" s="567"/>
      <c r="L214" s="567"/>
      <c r="M214" s="567"/>
      <c r="N214" s="567"/>
      <c r="O214" s="567"/>
      <c r="P214" s="567"/>
      <c r="Q214" s="567"/>
      <c r="R214" s="567"/>
      <c r="S214" s="567"/>
      <c r="T214" s="567"/>
      <c r="U214" s="567"/>
      <c r="V214" s="567"/>
      <c r="W214" s="567"/>
      <c r="X214" s="567"/>
      <c r="Y214" s="567"/>
      <c r="Z214" s="567"/>
      <c r="AA214" s="567"/>
      <c r="AB214" s="567"/>
      <c r="AC214" s="567"/>
      <c r="AD214" s="567"/>
      <c r="AE214" s="567"/>
      <c r="AF214" s="567"/>
    </row>
    <row r="215" spans="2:32">
      <c r="B215" s="616" t="s">
        <v>317</v>
      </c>
      <c r="C215" s="620" t="str">
        <f>IF(OR('VRU Legform'!D22="N/A",'VRU Legform'!D22=""),"",IF('VRU Legform'!AF22=1,"Green",IF('VRU Legform'!AF22&gt;0.75,"Yellow",IF('VRU Legform'!AF22&gt;0.5,"Orange",IF('VRU Legform'!AF22&gt;0.25,"Brown","Red")))))</f>
        <v/>
      </c>
      <c r="D215" s="567"/>
      <c r="E215" s="567"/>
      <c r="F215" s="567"/>
      <c r="G215" s="567"/>
      <c r="H215" s="567"/>
      <c r="I215" s="567"/>
      <c r="J215" s="567"/>
      <c r="K215" s="567"/>
      <c r="L215" s="567"/>
      <c r="M215" s="567"/>
      <c r="N215" s="567"/>
      <c r="O215" s="567"/>
      <c r="P215" s="567"/>
      <c r="Q215" s="567"/>
      <c r="R215" s="567"/>
      <c r="S215" s="567"/>
      <c r="T215" s="567"/>
      <c r="U215" s="567"/>
      <c r="V215" s="567"/>
      <c r="W215" s="567"/>
      <c r="X215" s="567"/>
      <c r="Y215" s="567"/>
      <c r="Z215" s="567"/>
      <c r="AA215" s="567"/>
      <c r="AB215" s="567"/>
      <c r="AC215" s="567"/>
      <c r="AD215" s="567"/>
      <c r="AE215" s="567"/>
      <c r="AF215" s="567"/>
    </row>
    <row r="216" spans="2:32">
      <c r="B216" s="616" t="s">
        <v>318</v>
      </c>
      <c r="C216" s="620" t="str">
        <f>IF(OR('VRU Legform'!D23="N/A",'VRU Legform'!D23=""),"",IF('VRU Legform'!AF23=1,"Green",IF('VRU Legform'!AF23&gt;0.75,"Yellow",IF('VRU Legform'!AF23&gt;0.5,"Orange",IF('VRU Legform'!AF23&gt;0.25,"Brown","Red")))))</f>
        <v/>
      </c>
      <c r="D216" s="567"/>
      <c r="E216" s="567"/>
      <c r="F216" s="567"/>
      <c r="G216" s="567"/>
      <c r="H216" s="567"/>
      <c r="I216" s="567"/>
      <c r="J216" s="567"/>
      <c r="K216" s="567"/>
      <c r="L216" s="567"/>
      <c r="M216" s="567"/>
      <c r="N216" s="567"/>
      <c r="O216" s="567"/>
      <c r="P216" s="567"/>
      <c r="Q216" s="567"/>
      <c r="R216" s="567"/>
      <c r="S216" s="567"/>
      <c r="T216" s="567"/>
      <c r="U216" s="567"/>
      <c r="V216" s="567"/>
      <c r="W216" s="567"/>
      <c r="X216" s="567"/>
      <c r="Y216" s="567"/>
      <c r="Z216" s="567"/>
      <c r="AA216" s="567"/>
      <c r="AB216" s="567"/>
      <c r="AC216" s="567"/>
      <c r="AD216" s="567"/>
      <c r="AE216" s="567"/>
      <c r="AF216" s="567"/>
    </row>
    <row r="217" spans="2:32">
      <c r="B217" s="616" t="s">
        <v>319</v>
      </c>
      <c r="C217" s="620" t="str">
        <f>IF(OR('VRU Legform'!D24="N/A",'VRU Legform'!D24=""),"",IF('VRU Legform'!AF24=1,"Green",IF('VRU Legform'!AF24&gt;0.75,"Yellow",IF('VRU Legform'!AF24&gt;0.5,"Orange",IF('VRU Legform'!AF24&gt;0.25,"Brown","Red")))))</f>
        <v/>
      </c>
      <c r="D217" s="567"/>
      <c r="E217" s="567"/>
      <c r="F217" s="567"/>
      <c r="G217" s="567"/>
      <c r="H217" s="567"/>
      <c r="I217" s="567"/>
      <c r="J217" s="567"/>
      <c r="K217" s="567"/>
      <c r="L217" s="567"/>
      <c r="M217" s="567"/>
      <c r="N217" s="567"/>
      <c r="O217" s="567"/>
      <c r="P217" s="567"/>
      <c r="Q217" s="567"/>
      <c r="R217" s="567"/>
      <c r="S217" s="567"/>
      <c r="T217" s="567"/>
      <c r="U217" s="567"/>
      <c r="V217" s="567"/>
      <c r="W217" s="567"/>
      <c r="X217" s="567"/>
      <c r="Y217" s="567"/>
      <c r="Z217" s="567"/>
      <c r="AA217" s="567"/>
      <c r="AB217" s="567"/>
      <c r="AC217" s="567"/>
      <c r="AD217" s="567"/>
      <c r="AE217" s="567"/>
      <c r="AF217" s="567"/>
    </row>
    <row r="218" spans="2:32">
      <c r="B218" s="616" t="s">
        <v>320</v>
      </c>
      <c r="C218" s="620" t="str">
        <f>IF(OR('VRU Legform'!D25="N/A",'VRU Legform'!D25=""),"",IF('VRU Legform'!AF25=1,"Green",IF('VRU Legform'!AF25&gt;0.75,"Yellow",IF('VRU Legform'!AF25&gt;0.5,"Orange",IF('VRU Legform'!AF25&gt;0.25,"Brown","Red")))))</f>
        <v/>
      </c>
      <c r="D218" s="567"/>
      <c r="E218" s="567"/>
      <c r="F218" s="567"/>
      <c r="G218" s="567"/>
      <c r="H218" s="567"/>
      <c r="I218" s="567"/>
      <c r="J218" s="567"/>
      <c r="K218" s="567"/>
      <c r="L218" s="567"/>
      <c r="M218" s="567"/>
      <c r="N218" s="567"/>
      <c r="O218" s="567"/>
      <c r="P218" s="567"/>
      <c r="Q218" s="567"/>
      <c r="R218" s="567"/>
      <c r="S218" s="567"/>
      <c r="T218" s="567"/>
      <c r="U218" s="567"/>
      <c r="V218" s="567"/>
      <c r="W218" s="567"/>
      <c r="X218" s="567"/>
      <c r="Y218" s="567"/>
      <c r="Z218" s="567"/>
      <c r="AA218" s="567"/>
      <c r="AB218" s="567"/>
      <c r="AC218" s="567"/>
      <c r="AD218" s="567"/>
      <c r="AE218" s="567"/>
      <c r="AF218" s="567"/>
    </row>
    <row r="219" spans="2:32">
      <c r="B219" s="616" t="s">
        <v>321</v>
      </c>
      <c r="C219" s="620" t="str">
        <f>IF(OR('VRU Legform'!D26="N/A",'VRU Legform'!D26=""),"",IF('VRU Legform'!AF26=1,"Green",IF('VRU Legform'!AF26&gt;0.75,"Yellow",IF('VRU Legform'!AF26&gt;0.5,"Orange",IF('VRU Legform'!AF26&gt;0.25,"Brown","Red")))))</f>
        <v/>
      </c>
      <c r="D219" s="567"/>
      <c r="E219" s="567"/>
      <c r="F219" s="567"/>
      <c r="G219" s="567"/>
      <c r="H219" s="567"/>
      <c r="I219" s="567"/>
      <c r="J219" s="567"/>
      <c r="K219" s="567"/>
      <c r="L219" s="567"/>
      <c r="M219" s="567"/>
      <c r="N219" s="567"/>
      <c r="O219" s="567"/>
      <c r="P219" s="567"/>
      <c r="Q219" s="567"/>
      <c r="R219" s="567"/>
      <c r="S219" s="567"/>
      <c r="T219" s="567"/>
      <c r="U219" s="567"/>
      <c r="V219" s="567"/>
      <c r="W219" s="567"/>
      <c r="X219" s="567"/>
      <c r="Y219" s="567"/>
      <c r="Z219" s="567"/>
      <c r="AA219" s="567"/>
      <c r="AB219" s="567"/>
      <c r="AC219" s="567"/>
      <c r="AD219" s="567"/>
      <c r="AE219" s="567"/>
      <c r="AF219" s="567"/>
    </row>
    <row r="220" spans="2:32">
      <c r="B220" s="616" t="s">
        <v>322</v>
      </c>
      <c r="C220" s="620" t="str">
        <f>IF(OR('VRU Legform'!D27="N/A",'VRU Legform'!D27=""),"",IF('VRU Legform'!AF27=1,"Green",IF('VRU Legform'!AF27&gt;0.75,"Yellow",IF('VRU Legform'!AF27&gt;0.5,"Orange",IF('VRU Legform'!AF27&gt;0.25,"Brown","Red")))))</f>
        <v/>
      </c>
      <c r="D220" s="567"/>
      <c r="E220" s="567"/>
      <c r="F220" s="567"/>
      <c r="G220" s="567"/>
      <c r="H220" s="567"/>
      <c r="I220" s="567"/>
      <c r="J220" s="567"/>
      <c r="K220" s="567"/>
      <c r="L220" s="567"/>
      <c r="M220" s="567"/>
      <c r="N220" s="567"/>
      <c r="O220" s="567"/>
      <c r="P220" s="567"/>
      <c r="Q220" s="567"/>
      <c r="R220" s="567"/>
      <c r="S220" s="567"/>
      <c r="T220" s="567"/>
      <c r="U220" s="567"/>
      <c r="V220" s="567"/>
      <c r="W220" s="567"/>
      <c r="X220" s="567"/>
      <c r="Y220" s="567"/>
      <c r="Z220" s="567"/>
      <c r="AA220" s="567"/>
      <c r="AB220" s="567"/>
      <c r="AC220" s="567"/>
      <c r="AD220" s="567"/>
      <c r="AE220" s="567"/>
      <c r="AF220" s="567"/>
    </row>
    <row r="221" spans="2:32">
      <c r="B221" s="616" t="s">
        <v>323</v>
      </c>
      <c r="C221" s="620" t="str">
        <f>IF(OR('VRU Legform'!D28="N/A",'VRU Legform'!D28=""),"",IF('VRU Legform'!AF28=1,"Green",IF('VRU Legform'!AF28&gt;0.75,"Yellow",IF('VRU Legform'!AF28&gt;0.5,"Orange",IF('VRU Legform'!AF28&gt;0.25,"Brown","Red")))))</f>
        <v/>
      </c>
      <c r="D221" s="567"/>
      <c r="E221" s="567"/>
      <c r="F221" s="567"/>
      <c r="G221" s="567"/>
      <c r="H221" s="567"/>
      <c r="I221" s="567"/>
      <c r="J221" s="567"/>
      <c r="K221" s="567"/>
      <c r="L221" s="567"/>
      <c r="M221" s="567"/>
      <c r="N221" s="567"/>
      <c r="O221" s="567"/>
      <c r="P221" s="567"/>
      <c r="Q221" s="567"/>
      <c r="R221" s="567"/>
      <c r="S221" s="567"/>
      <c r="T221" s="567"/>
      <c r="U221" s="567"/>
      <c r="V221" s="567"/>
      <c r="W221" s="567"/>
      <c r="X221" s="567"/>
      <c r="Y221" s="567"/>
      <c r="Z221" s="567"/>
      <c r="AA221" s="567"/>
      <c r="AB221" s="567"/>
      <c r="AC221" s="567"/>
      <c r="AD221" s="567"/>
      <c r="AE221" s="567"/>
      <c r="AF221" s="567"/>
    </row>
    <row r="222" spans="2:32">
      <c r="B222" s="612" t="s">
        <v>898</v>
      </c>
      <c r="C222" s="620">
        <f ca="1">ROUND('VRU Legform'!E36,1)</f>
        <v>0</v>
      </c>
      <c r="D222" s="567"/>
      <c r="E222" s="567"/>
      <c r="F222" s="567"/>
      <c r="G222" s="567"/>
      <c r="H222" s="567"/>
      <c r="I222" s="567"/>
      <c r="J222" s="567"/>
      <c r="K222" s="567"/>
      <c r="L222" s="567"/>
      <c r="M222" s="567"/>
      <c r="N222" s="567"/>
      <c r="O222" s="567"/>
      <c r="P222" s="567"/>
      <c r="Q222" s="567"/>
      <c r="R222" s="567"/>
      <c r="S222" s="567"/>
      <c r="T222" s="567"/>
      <c r="U222" s="567"/>
      <c r="V222" s="567"/>
      <c r="W222" s="567"/>
      <c r="X222" s="567"/>
      <c r="Y222" s="567"/>
      <c r="Z222" s="567"/>
      <c r="AA222" s="567"/>
      <c r="AB222" s="567"/>
      <c r="AC222" s="567"/>
      <c r="AD222" s="567"/>
      <c r="AE222" s="567"/>
      <c r="AF222" s="567"/>
    </row>
    <row r="223" spans="2:32">
      <c r="B223" s="612" t="s">
        <v>899</v>
      </c>
      <c r="C223" s="1060">
        <v>9</v>
      </c>
      <c r="D223" s="560"/>
      <c r="E223" s="567"/>
      <c r="F223" s="567"/>
      <c r="G223" s="567"/>
      <c r="H223" s="567"/>
      <c r="I223" s="567"/>
      <c r="J223" s="567"/>
      <c r="K223" s="567"/>
      <c r="L223" s="567"/>
      <c r="M223" s="567"/>
      <c r="N223" s="567"/>
      <c r="O223" s="567"/>
      <c r="P223" s="567"/>
      <c r="Q223" s="567"/>
      <c r="R223" s="567"/>
      <c r="S223" s="567"/>
      <c r="T223" s="567"/>
      <c r="U223" s="567"/>
      <c r="V223" s="567"/>
      <c r="W223" s="567"/>
      <c r="X223" s="567"/>
      <c r="Y223" s="567"/>
      <c r="Z223" s="567"/>
      <c r="AA223" s="567"/>
      <c r="AB223" s="567"/>
      <c r="AC223" s="567"/>
      <c r="AD223" s="567"/>
      <c r="AE223" s="567"/>
      <c r="AF223" s="567"/>
    </row>
    <row r="224" spans="2:32" s="156" customFormat="1">
      <c r="B224" s="1059"/>
      <c r="C224" s="1060"/>
      <c r="D224" s="1061"/>
      <c r="E224" s="1060"/>
      <c r="F224" s="1060"/>
      <c r="G224" s="1060"/>
      <c r="H224" s="1060"/>
      <c r="I224" s="1060"/>
      <c r="J224" s="1060"/>
      <c r="K224" s="1060"/>
      <c r="L224" s="1060"/>
      <c r="M224" s="1060"/>
      <c r="N224" s="1060"/>
      <c r="O224" s="1060"/>
      <c r="P224" s="1060"/>
      <c r="Q224" s="1060"/>
      <c r="R224" s="1060"/>
      <c r="S224" s="1060"/>
      <c r="T224" s="1060"/>
      <c r="U224" s="1060"/>
      <c r="V224" s="1060"/>
      <c r="W224" s="1060"/>
      <c r="X224" s="1060"/>
      <c r="Y224" s="1060"/>
      <c r="Z224" s="1060"/>
      <c r="AA224" s="1060"/>
      <c r="AB224" s="1060"/>
      <c r="AC224" s="1060"/>
      <c r="AD224" s="1060"/>
      <c r="AE224" s="1060"/>
      <c r="AF224" s="1060"/>
    </row>
    <row r="225" spans="2:32">
      <c r="B225" s="616"/>
      <c r="C225" s="2299" t="s">
        <v>2793</v>
      </c>
      <c r="D225" s="2300"/>
      <c r="E225" s="2301" t="s">
        <v>2792</v>
      </c>
      <c r="F225" s="2300"/>
      <c r="G225" s="567"/>
      <c r="H225" s="567"/>
      <c r="I225" s="567"/>
      <c r="J225" s="567"/>
      <c r="K225" s="567"/>
      <c r="L225" s="567"/>
      <c r="M225" s="567"/>
      <c r="N225" s="567"/>
      <c r="O225" s="567"/>
      <c r="P225" s="567"/>
      <c r="Q225" s="567"/>
      <c r="R225" s="567"/>
      <c r="S225" s="567"/>
      <c r="T225" s="567"/>
      <c r="U225" s="567"/>
      <c r="V225" s="567"/>
      <c r="W225" s="567"/>
      <c r="X225" s="567"/>
      <c r="Y225" s="567"/>
      <c r="Z225" s="567"/>
      <c r="AA225" s="567"/>
      <c r="AB225" s="567"/>
      <c r="AC225" s="567"/>
      <c r="AD225" s="567"/>
      <c r="AE225" s="567"/>
      <c r="AF225" s="567"/>
    </row>
    <row r="226" spans="2:32">
      <c r="B226" s="612" t="s">
        <v>2772</v>
      </c>
      <c r="C226" s="1058" t="s">
        <v>125</v>
      </c>
      <c r="D226" s="1058" t="s">
        <v>2775</v>
      </c>
      <c r="E226" s="1058" t="s">
        <v>125</v>
      </c>
      <c r="F226" s="1058" t="s">
        <v>2775</v>
      </c>
      <c r="G226" s="1058" t="s">
        <v>2786</v>
      </c>
      <c r="H226" s="560" t="s">
        <v>886</v>
      </c>
      <c r="I226" s="567"/>
      <c r="J226" s="567"/>
      <c r="K226" s="567"/>
      <c r="L226" s="567"/>
      <c r="M226" s="567"/>
      <c r="N226" s="567"/>
      <c r="O226" s="567"/>
      <c r="P226" s="567"/>
      <c r="Q226" s="567"/>
      <c r="R226" s="567"/>
      <c r="S226" s="567"/>
      <c r="T226" s="567"/>
      <c r="U226" s="567"/>
      <c r="V226" s="567"/>
      <c r="W226" s="567"/>
      <c r="X226" s="567"/>
      <c r="Y226" s="567"/>
      <c r="Z226" s="567"/>
      <c r="AA226" s="567"/>
      <c r="AB226" s="567"/>
      <c r="AC226" s="567"/>
      <c r="AD226" s="567"/>
      <c r="AE226" s="567"/>
      <c r="AF226" s="567"/>
    </row>
    <row r="227" spans="2:32">
      <c r="B227" s="612" t="s">
        <v>549</v>
      </c>
      <c r="C227">
        <f ca="1">ROUND('OVERALL RATING'!H11,1)</f>
        <v>0</v>
      </c>
      <c r="D227" s="1020" t="str" cm="1">
        <f t="array" aca="1" ref="D227" ca="1">Colour_ADAS('OVERALL RATING'!H11/9)</f>
        <v>Red</v>
      </c>
      <c r="E227" s="1062"/>
      <c r="F227" s="1062"/>
      <c r="G227" s="1062"/>
      <c r="H227" s="567">
        <v>9</v>
      </c>
      <c r="J227" s="567"/>
      <c r="K227" s="567"/>
      <c r="L227" s="567"/>
      <c r="M227" s="567"/>
      <c r="N227" s="567"/>
      <c r="O227" s="567"/>
      <c r="P227" s="567"/>
      <c r="Q227" s="567"/>
      <c r="R227" s="567"/>
      <c r="S227" s="567"/>
      <c r="T227" s="567"/>
      <c r="U227" s="567"/>
      <c r="V227" s="567"/>
      <c r="W227" s="567"/>
      <c r="X227" s="567"/>
      <c r="Y227" s="567"/>
      <c r="Z227" s="567"/>
      <c r="AA227" s="567"/>
      <c r="AB227" s="567"/>
      <c r="AC227" s="567"/>
      <c r="AD227" s="567"/>
      <c r="AE227" s="567"/>
      <c r="AF227" s="567"/>
    </row>
    <row r="228" spans="2:32">
      <c r="B228" s="1057" t="s">
        <v>2776</v>
      </c>
      <c r="C228" s="1063"/>
      <c r="D228" s="620" t="str" cm="1">
        <f t="array" ref="D228">Colour_ADAS('VRU AEB Pedestrian'!G91/2)</f>
        <v>Red</v>
      </c>
      <c r="E228" s="1063"/>
      <c r="F228" s="1063"/>
      <c r="G228" s="1063"/>
      <c r="H228" s="567"/>
      <c r="I228" s="560" t="s">
        <v>838</v>
      </c>
      <c r="J228" s="567"/>
      <c r="K228" s="567"/>
      <c r="L228" s="567"/>
      <c r="M228" s="567"/>
      <c r="N228" s="567"/>
      <c r="O228" s="567"/>
      <c r="P228" s="567"/>
      <c r="Q228" s="567"/>
      <c r="R228" s="567"/>
      <c r="S228" s="567"/>
      <c r="T228" s="567"/>
      <c r="U228" s="567"/>
      <c r="V228" s="567"/>
      <c r="W228" s="567"/>
      <c r="X228" s="567"/>
      <c r="Y228" s="567"/>
      <c r="Z228" s="567"/>
      <c r="AA228" s="567"/>
      <c r="AB228" s="567"/>
      <c r="AC228" s="567"/>
      <c r="AD228" s="567"/>
      <c r="AE228" s="567"/>
      <c r="AF228" s="567"/>
    </row>
    <row r="229" spans="2:32">
      <c r="B229" s="1057" t="s">
        <v>2777</v>
      </c>
      <c r="C229" s="1063"/>
      <c r="D229" s="620" t="str" cm="1">
        <f t="array" ref="D229">Colour_ADAS('VRU AEB Pedestrian'!G90/2)</f>
        <v>Red</v>
      </c>
      <c r="E229" s="1063"/>
      <c r="F229" s="1063"/>
      <c r="G229" s="1063"/>
      <c r="H229" s="567"/>
      <c r="I229" s="560" t="s">
        <v>837</v>
      </c>
      <c r="J229" s="567"/>
      <c r="K229" s="567"/>
      <c r="L229" s="567"/>
      <c r="M229" s="567"/>
      <c r="N229" s="567"/>
      <c r="O229" s="567"/>
      <c r="P229" s="567"/>
      <c r="Q229" s="567"/>
      <c r="R229" s="567"/>
      <c r="S229" s="567"/>
      <c r="T229" s="567"/>
      <c r="U229" s="567"/>
      <c r="V229" s="567"/>
      <c r="W229" s="567"/>
      <c r="X229" s="567"/>
      <c r="Y229" s="567"/>
      <c r="Z229" s="567"/>
      <c r="AA229" s="567"/>
      <c r="AB229" s="567"/>
      <c r="AC229" s="567"/>
      <c r="AD229" s="567"/>
      <c r="AE229" s="567"/>
      <c r="AF229" s="567"/>
    </row>
    <row r="230" spans="2:32">
      <c r="B230" s="1057" t="s">
        <v>2778</v>
      </c>
      <c r="C230" s="1063"/>
      <c r="D230" s="620" t="str" cm="1">
        <f t="array" aca="1" ref="D230" ca="1">Colour_ADAS(SUM('VRU AEB Pedestrian'!G85:G87)/0.5)</f>
        <v>Red</v>
      </c>
      <c r="E230" s="1063"/>
      <c r="F230" s="620" t="str" cm="1">
        <f t="array" aca="1" ref="F230" ca="1">Colour_ADAS(SUM('VRU AEB Pedestrian'!M85:M87)/1.5)</f>
        <v>Red</v>
      </c>
      <c r="G230" s="1063"/>
      <c r="H230" s="567"/>
      <c r="I230" s="560" t="s">
        <v>2794</v>
      </c>
      <c r="J230" s="567"/>
      <c r="K230" s="567"/>
      <c r="L230" s="567"/>
      <c r="M230" s="567"/>
      <c r="N230" s="567"/>
      <c r="O230" s="567"/>
      <c r="P230" s="567"/>
      <c r="Q230" s="567"/>
      <c r="R230" s="567"/>
      <c r="S230" s="567"/>
      <c r="T230" s="567"/>
      <c r="U230" s="567"/>
      <c r="V230" s="567"/>
      <c r="W230" s="567"/>
      <c r="X230" s="567"/>
      <c r="Y230" s="567"/>
      <c r="Z230" s="567"/>
      <c r="AA230" s="567"/>
      <c r="AB230" s="567"/>
      <c r="AC230" s="567"/>
      <c r="AD230" s="567"/>
      <c r="AE230" s="567"/>
      <c r="AF230" s="567"/>
    </row>
    <row r="231" spans="2:32">
      <c r="B231" s="1057" t="s">
        <v>2779</v>
      </c>
      <c r="C231" s="1063"/>
      <c r="D231" s="620" t="str" cm="1">
        <f t="array" aca="1" ref="D231" ca="1">Colour_ADAS('VRU AEB Pedestrian'!G88/1)</f>
        <v>Red</v>
      </c>
      <c r="E231" s="1063"/>
      <c r="F231" s="620" t="str" cm="1">
        <f t="array" aca="1" ref="F231" ca="1">Colour_ADAS('VRU AEB Pedestrian'!M88/0.5)</f>
        <v>Red</v>
      </c>
      <c r="G231" s="1063"/>
      <c r="H231" s="567"/>
      <c r="I231" s="560" t="s">
        <v>2796</v>
      </c>
      <c r="J231" s="567"/>
      <c r="K231" s="567"/>
      <c r="L231" s="567"/>
      <c r="M231" s="567"/>
      <c r="N231" s="567"/>
      <c r="O231" s="567"/>
      <c r="P231" s="567"/>
      <c r="Q231" s="567"/>
      <c r="R231" s="567"/>
      <c r="S231" s="567"/>
      <c r="T231" s="567"/>
      <c r="U231" s="567"/>
      <c r="V231" s="567"/>
      <c r="W231" s="567"/>
      <c r="X231" s="567"/>
      <c r="Y231" s="567"/>
      <c r="Z231" s="567"/>
      <c r="AA231" s="567"/>
      <c r="AB231" s="567"/>
      <c r="AC231" s="567"/>
      <c r="AD231" s="567"/>
      <c r="AE231" s="567"/>
      <c r="AF231" s="567"/>
    </row>
    <row r="232" spans="2:32">
      <c r="B232" s="1057" t="s">
        <v>2780</v>
      </c>
      <c r="C232" s="1063"/>
      <c r="D232" s="620" t="str" cm="1">
        <f t="array" ref="D232">Colour_ADAS('VRU AEB Pedestrian'!G90/0.5)</f>
        <v>Red</v>
      </c>
      <c r="E232" s="1063"/>
      <c r="F232" s="620" t="str" cm="1">
        <f t="array" aca="1" ref="F232" ca="1">Colour_ADAS('VRU AEB Pedestrian'!M89/1)</f>
        <v>Red</v>
      </c>
      <c r="G232" s="1063"/>
      <c r="H232" s="567"/>
      <c r="I232" s="560" t="s">
        <v>692</v>
      </c>
      <c r="J232" s="567"/>
      <c r="K232" s="567"/>
      <c r="L232" s="567"/>
      <c r="M232" s="567"/>
      <c r="N232" s="567"/>
      <c r="O232" s="567"/>
      <c r="P232" s="567"/>
      <c r="Q232" s="567"/>
      <c r="R232" s="567"/>
      <c r="S232" s="567"/>
      <c r="T232" s="567"/>
      <c r="U232" s="567"/>
      <c r="V232" s="567"/>
      <c r="W232" s="567"/>
      <c r="X232" s="567"/>
      <c r="Y232" s="567"/>
      <c r="Z232" s="567"/>
      <c r="AA232" s="567"/>
      <c r="AB232" s="567"/>
      <c r="AC232" s="567"/>
      <c r="AD232" s="567"/>
      <c r="AE232" s="567"/>
      <c r="AF232" s="567"/>
    </row>
    <row r="233" spans="2:32">
      <c r="B233" s="612" t="s">
        <v>636</v>
      </c>
      <c r="C233" s="567">
        <f ca="1">ROUND(SUM('VRU AEB Bicyclist'!G68:G72),1)</f>
        <v>0</v>
      </c>
      <c r="D233" s="620" t="str" cm="1">
        <f t="array" aca="1" ref="D233" ca="1">Colour_ADAS(SUM('VRU AEB Bicyclist'!G68:G72)/8)</f>
        <v>Red</v>
      </c>
      <c r="E233" s="1063"/>
      <c r="F233" s="1063"/>
      <c r="G233" s="1063"/>
      <c r="H233" s="567">
        <v>8</v>
      </c>
      <c r="I233" s="567"/>
      <c r="J233" s="567"/>
      <c r="K233" s="567"/>
      <c r="L233" s="567"/>
      <c r="M233" s="567"/>
      <c r="N233" s="567"/>
      <c r="O233" s="567"/>
      <c r="P233" s="567"/>
      <c r="Q233" s="567"/>
      <c r="R233" s="567"/>
      <c r="S233" s="567"/>
      <c r="T233" s="567"/>
      <c r="U233" s="567"/>
      <c r="V233" s="567"/>
      <c r="W233" s="567"/>
      <c r="X233" s="567"/>
      <c r="Y233" s="567"/>
      <c r="Z233" s="567"/>
      <c r="AA233" s="567"/>
      <c r="AB233" s="567"/>
      <c r="AC233" s="567"/>
      <c r="AD233" s="567"/>
      <c r="AE233" s="567"/>
      <c r="AF233" s="567"/>
    </row>
    <row r="234" spans="2:32">
      <c r="B234" s="1057" t="s">
        <v>2781</v>
      </c>
      <c r="C234" s="1063"/>
      <c r="D234" s="620" t="str" cm="1">
        <f t="array" aca="1" ref="D234" ca="1">Colour_ADAS('VRU AEB Bicyclist'!G70/1)</f>
        <v>Red</v>
      </c>
      <c r="E234" s="1063"/>
      <c r="F234" s="1063"/>
      <c r="G234" s="1063"/>
      <c r="H234" s="567"/>
      <c r="I234" s="567"/>
      <c r="J234" s="567"/>
      <c r="K234" s="567"/>
      <c r="L234" s="567"/>
      <c r="M234" s="567"/>
      <c r="N234" s="567"/>
      <c r="O234" s="567"/>
      <c r="P234" s="567"/>
      <c r="Q234" s="567"/>
      <c r="R234" s="567"/>
      <c r="S234" s="567"/>
      <c r="T234" s="567"/>
      <c r="U234" s="567"/>
      <c r="V234" s="567"/>
      <c r="W234" s="567"/>
      <c r="X234" s="567"/>
      <c r="Y234" s="567"/>
      <c r="Z234" s="567"/>
      <c r="AA234" s="567"/>
      <c r="AB234" s="567"/>
      <c r="AC234" s="567"/>
      <c r="AD234" s="567"/>
      <c r="AE234" s="567"/>
      <c r="AF234" s="567"/>
    </row>
    <row r="235" spans="2:32">
      <c r="B235" s="1057" t="s">
        <v>2782</v>
      </c>
      <c r="C235" s="1063"/>
      <c r="D235" s="620" t="str" cm="1">
        <f t="array" ref="D235">Colour_ADAS('VRU AEB Bicyclist'!G72/2)</f>
        <v>Red</v>
      </c>
      <c r="E235" s="1063"/>
      <c r="F235" s="1063"/>
      <c r="G235" s="1063"/>
      <c r="H235" s="567"/>
      <c r="I235" s="567"/>
      <c r="J235" s="567"/>
      <c r="K235" s="567"/>
      <c r="L235" s="567"/>
      <c r="M235" s="567"/>
      <c r="N235" s="567"/>
      <c r="O235" s="567"/>
      <c r="P235" s="567"/>
      <c r="Q235" s="567"/>
      <c r="R235" s="567"/>
      <c r="S235" s="567"/>
      <c r="T235" s="567"/>
      <c r="U235" s="567"/>
      <c r="V235" s="567"/>
      <c r="W235" s="567"/>
      <c r="X235" s="567"/>
      <c r="Y235" s="567"/>
      <c r="Z235" s="567"/>
      <c r="AA235" s="567"/>
      <c r="AB235" s="567"/>
      <c r="AC235" s="567"/>
      <c r="AD235" s="567"/>
      <c r="AE235" s="567"/>
      <c r="AF235" s="567"/>
    </row>
    <row r="236" spans="2:32">
      <c r="B236" s="1057" t="s">
        <v>2783</v>
      </c>
      <c r="C236" s="1063"/>
      <c r="D236" s="620" t="str" cm="1">
        <f t="array" aca="1" ref="D236" ca="1">Colour_ADAS(SUM('VRU AEB Bicyclist'!G68:G70)/4)</f>
        <v>Red</v>
      </c>
      <c r="E236" s="1063"/>
      <c r="F236" s="1063"/>
      <c r="G236" s="1063"/>
      <c r="H236" s="567"/>
      <c r="I236" s="567"/>
      <c r="J236" s="567"/>
      <c r="K236" s="567"/>
      <c r="L236" s="567"/>
      <c r="M236" s="567"/>
      <c r="N236" s="567"/>
      <c r="O236" s="567"/>
      <c r="P236" s="567"/>
      <c r="Q236" s="567"/>
      <c r="R236" s="567"/>
      <c r="S236" s="567"/>
      <c r="T236" s="567"/>
      <c r="U236" s="567"/>
      <c r="V236" s="567"/>
      <c r="W236" s="567"/>
      <c r="X236" s="567"/>
      <c r="Y236" s="567"/>
      <c r="Z236" s="567"/>
      <c r="AA236" s="567"/>
      <c r="AB236" s="567"/>
      <c r="AC236" s="567"/>
      <c r="AD236" s="567"/>
      <c r="AE236" s="567"/>
      <c r="AF236" s="567"/>
    </row>
    <row r="237" spans="2:32">
      <c r="B237" s="1057" t="s">
        <v>2784</v>
      </c>
      <c r="C237" s="1063"/>
      <c r="D237" s="620" t="str" cm="1">
        <f t="array" aca="1" ref="D237" ca="1">Colour_ADAS('VRU AEB Bicyclist'!G71/2)</f>
        <v>Red</v>
      </c>
      <c r="E237" s="1063"/>
      <c r="F237" s="1063"/>
      <c r="G237" s="1063"/>
      <c r="H237" s="567"/>
      <c r="I237" s="567"/>
      <c r="J237" s="567"/>
      <c r="K237" s="567"/>
      <c r="L237" s="567"/>
      <c r="M237" s="567"/>
      <c r="N237" s="567"/>
      <c r="O237" s="567"/>
      <c r="P237" s="567"/>
      <c r="Q237" s="567"/>
      <c r="R237" s="567"/>
      <c r="S237" s="567"/>
      <c r="T237" s="567"/>
      <c r="U237" s="567"/>
      <c r="V237" s="567"/>
      <c r="W237" s="567"/>
      <c r="X237" s="567"/>
      <c r="Y237" s="567"/>
      <c r="Z237" s="567"/>
      <c r="AA237" s="567"/>
      <c r="AB237" s="567"/>
      <c r="AC237" s="567"/>
      <c r="AD237" s="567"/>
      <c r="AE237" s="567"/>
      <c r="AF237" s="567"/>
    </row>
    <row r="238" spans="2:32">
      <c r="B238" s="612" t="s">
        <v>2773</v>
      </c>
      <c r="C238" s="567">
        <f>ROUND('VRU AEB Bicyclist'!G73,1)</f>
        <v>0</v>
      </c>
      <c r="D238" s="620" t="str" cm="1">
        <f t="array" ref="D238">Colour_ADAS('VRU AEB Bicyclist'!G73/1)</f>
        <v>Red</v>
      </c>
      <c r="E238" s="1063"/>
      <c r="F238" s="1063"/>
      <c r="G238" s="1063"/>
      <c r="H238" s="567">
        <v>1</v>
      </c>
      <c r="I238" s="567"/>
      <c r="J238" s="567"/>
      <c r="K238" s="567"/>
      <c r="L238" s="567"/>
      <c r="M238" s="567"/>
      <c r="N238" s="567"/>
      <c r="O238" s="567"/>
      <c r="P238" s="567"/>
      <c r="Q238" s="567"/>
      <c r="R238" s="567"/>
      <c r="S238" s="567"/>
      <c r="T238" s="567"/>
      <c r="U238" s="567"/>
      <c r="V238" s="567"/>
      <c r="W238" s="567"/>
      <c r="X238" s="567"/>
      <c r="Y238" s="567"/>
      <c r="Z238" s="567"/>
      <c r="AA238" s="567"/>
      <c r="AB238" s="567"/>
      <c r="AC238" s="567"/>
      <c r="AD238" s="567"/>
      <c r="AE238" s="567"/>
      <c r="AF238" s="567"/>
    </row>
    <row r="239" spans="2:32">
      <c r="B239" s="1057" t="s">
        <v>2785</v>
      </c>
      <c r="C239" s="1063"/>
      <c r="D239" s="1063"/>
      <c r="E239" s="1063"/>
      <c r="F239" s="1063"/>
      <c r="G239" s="1021" t="s">
        <v>2617</v>
      </c>
      <c r="H239" s="567"/>
      <c r="I239" s="567"/>
      <c r="J239" s="567"/>
      <c r="K239" s="567"/>
      <c r="L239" s="567"/>
      <c r="M239" s="567"/>
      <c r="N239" s="567"/>
      <c r="O239" s="567"/>
      <c r="P239" s="567"/>
      <c r="Q239" s="567"/>
      <c r="R239" s="567"/>
      <c r="S239" s="567"/>
      <c r="T239" s="567"/>
      <c r="U239" s="567"/>
      <c r="V239" s="567"/>
      <c r="W239" s="567"/>
      <c r="X239" s="567"/>
      <c r="Y239" s="567"/>
      <c r="Z239" s="567"/>
      <c r="AA239" s="567"/>
      <c r="AB239" s="567"/>
      <c r="AC239" s="567"/>
      <c r="AD239" s="567"/>
      <c r="AE239" s="567"/>
      <c r="AF239" s="567"/>
    </row>
    <row r="240" spans="2:32">
      <c r="B240" s="612" t="s">
        <v>2633</v>
      </c>
      <c r="C240" s="560">
        <f>ROUND(SUM('VRU AEB Motorcyclist'!G58:G59,'VRU AEB Motorcyclist'!G61:G62,'VRU AEB Motorcyclist'!G64:I66),1)</f>
        <v>0</v>
      </c>
      <c r="D240" s="620" t="str" cm="1">
        <f t="array" ref="D240">Colour_ADAS(SUM('VRU AEB Motorcyclist'!G58:G59,'VRU AEB Motorcyclist'!G61:G62,'VRU AEB Motorcyclist'!G64:I66)/6)</f>
        <v>Red</v>
      </c>
      <c r="E240" s="1063"/>
      <c r="F240" s="1063"/>
      <c r="G240" s="1063"/>
      <c r="H240" s="567">
        <v>6</v>
      </c>
      <c r="I240" s="567"/>
      <c r="J240" s="567"/>
      <c r="K240" s="567"/>
      <c r="L240" s="567"/>
      <c r="M240" s="567"/>
      <c r="N240" s="567"/>
      <c r="O240" s="567"/>
      <c r="P240" s="567"/>
      <c r="Q240" s="567"/>
      <c r="R240" s="567"/>
      <c r="S240" s="567"/>
      <c r="T240" s="567"/>
      <c r="U240" s="567"/>
      <c r="V240" s="567"/>
      <c r="W240" s="567"/>
      <c r="X240" s="567"/>
      <c r="Y240" s="567"/>
      <c r="Z240" s="567"/>
      <c r="AA240" s="567"/>
      <c r="AB240" s="567"/>
      <c r="AC240" s="567"/>
      <c r="AD240" s="567"/>
      <c r="AE240" s="567"/>
      <c r="AF240" s="567"/>
    </row>
    <row r="241" spans="2:32">
      <c r="B241" s="1057" t="s">
        <v>2787</v>
      </c>
      <c r="C241" s="1063"/>
      <c r="D241" s="620" t="str" cm="1">
        <f t="array" ref="D241">Colour_ADAS('VRU AEB Motorcyclist'!G58/1)</f>
        <v>Red</v>
      </c>
      <c r="E241" s="1063"/>
      <c r="F241" s="620" t="str" cm="1">
        <f t="array" ref="F241">Colour_ADAS('VRU AEB Motorcyclist'!G59/0.5)</f>
        <v>Red</v>
      </c>
      <c r="G241" s="1063"/>
      <c r="H241" s="567"/>
      <c r="I241" s="567"/>
      <c r="J241" s="567"/>
      <c r="K241" s="567"/>
      <c r="L241" s="567"/>
      <c r="M241" s="567"/>
      <c r="N241" s="567"/>
      <c r="O241" s="567"/>
      <c r="P241" s="567"/>
      <c r="Q241" s="567"/>
      <c r="R241" s="567"/>
      <c r="S241" s="567"/>
      <c r="T241" s="567"/>
      <c r="U241" s="567"/>
      <c r="V241" s="567"/>
      <c r="W241" s="567"/>
      <c r="X241" s="567"/>
      <c r="Y241" s="567"/>
      <c r="Z241" s="567"/>
      <c r="AA241" s="567"/>
      <c r="AB241" s="567"/>
      <c r="AC241" s="567"/>
      <c r="AD241" s="567"/>
      <c r="AE241" s="567"/>
      <c r="AF241" s="567"/>
    </row>
    <row r="242" spans="2:32">
      <c r="B242" s="1057" t="s">
        <v>2788</v>
      </c>
      <c r="C242" s="1063"/>
      <c r="D242" s="620" t="str" cm="1">
        <f t="array" ref="D242">Colour_ADAS(SUM('VRU AEB Motorcyclist'!G61,'VRU AEB Motorcyclist'!G64)/1)</f>
        <v>Red</v>
      </c>
      <c r="E242" s="1063"/>
      <c r="F242" s="620" t="str" cm="1">
        <f t="array" ref="F242">Colour_ADAS(SUM('VRU AEB Motorcyclist'!G62,'VRU AEB Motorcyclist'!G65)/0.5)</f>
        <v>Red</v>
      </c>
      <c r="G242" s="1063"/>
      <c r="H242" s="567"/>
      <c r="I242" s="567"/>
      <c r="J242" s="567"/>
      <c r="K242" s="567"/>
      <c r="L242" s="567"/>
      <c r="M242" s="567"/>
      <c r="N242" s="567"/>
      <c r="O242" s="567"/>
      <c r="P242" s="567"/>
      <c r="Q242" s="567"/>
      <c r="R242" s="567"/>
      <c r="S242" s="567"/>
      <c r="T242" s="567"/>
      <c r="U242" s="567"/>
      <c r="V242" s="567"/>
      <c r="W242" s="567"/>
      <c r="X242" s="567"/>
      <c r="Y242" s="567"/>
      <c r="Z242" s="567"/>
      <c r="AA242" s="567"/>
      <c r="AB242" s="567"/>
      <c r="AC242" s="567"/>
      <c r="AD242" s="567"/>
      <c r="AE242" s="567"/>
      <c r="AF242" s="567"/>
    </row>
    <row r="243" spans="2:32">
      <c r="B243" s="1057" t="s">
        <v>2789</v>
      </c>
      <c r="C243" s="1064"/>
      <c r="D243" s="620" t="str" cm="1">
        <f t="array" ref="D243">Colour_ADAS('VRU AEB Motorcyclist'!G66/3)</f>
        <v>Red</v>
      </c>
      <c r="E243" s="1063"/>
      <c r="F243" s="1063"/>
      <c r="G243" s="1063"/>
      <c r="H243" s="567"/>
      <c r="I243" s="567"/>
      <c r="J243" s="567"/>
      <c r="K243" s="567"/>
      <c r="L243" s="567"/>
      <c r="M243" s="567"/>
      <c r="N243" s="567"/>
      <c r="O243" s="567"/>
      <c r="P243" s="567"/>
      <c r="Q243" s="567"/>
      <c r="R243" s="567"/>
      <c r="S243" s="567"/>
      <c r="T243" s="567"/>
      <c r="U243" s="567"/>
      <c r="V243" s="567"/>
      <c r="W243" s="567"/>
      <c r="X243" s="567"/>
      <c r="Y243" s="567"/>
      <c r="Z243" s="567"/>
      <c r="AA243" s="567"/>
      <c r="AB243" s="567"/>
      <c r="AC243" s="567"/>
      <c r="AD243" s="567"/>
      <c r="AE243" s="567"/>
      <c r="AF243" s="567"/>
    </row>
    <row r="244" spans="2:32">
      <c r="B244" s="612" t="s">
        <v>2774</v>
      </c>
      <c r="C244" s="567">
        <f>ROUND(SUM('VRU AEB Motorcyclist'!G67:G68),1)</f>
        <v>0</v>
      </c>
      <c r="D244" s="560" t="str" cm="1">
        <f t="array" ref="D244">Colour_ADAS(SUM('VRU AEB Motorcyclist'!G67:G68)/3)</f>
        <v>Red</v>
      </c>
      <c r="E244" s="1063"/>
      <c r="F244" s="1063"/>
      <c r="G244" s="1063"/>
      <c r="H244" s="567">
        <v>3</v>
      </c>
      <c r="I244" s="560" t="s">
        <v>2795</v>
      </c>
      <c r="J244" s="567"/>
      <c r="K244" s="567"/>
      <c r="L244" s="567"/>
      <c r="M244" s="567"/>
      <c r="N244" s="567"/>
      <c r="O244" s="567"/>
      <c r="P244" s="567"/>
      <c r="Q244" s="567"/>
      <c r="R244" s="567"/>
      <c r="S244" s="567"/>
      <c r="T244" s="567"/>
      <c r="U244" s="567"/>
      <c r="V244" s="567"/>
      <c r="W244" s="567"/>
      <c r="X244" s="567"/>
      <c r="Y244" s="567"/>
      <c r="Z244" s="567"/>
      <c r="AA244" s="567"/>
      <c r="AB244" s="567"/>
      <c r="AC244" s="567"/>
      <c r="AD244" s="567"/>
      <c r="AE244" s="567"/>
      <c r="AF244" s="567"/>
    </row>
    <row r="245" spans="2:32">
      <c r="B245" s="1057" t="s">
        <v>2790</v>
      </c>
      <c r="C245" s="1063"/>
      <c r="D245" s="620" t="str" cm="1">
        <f t="array" ref="D245">Colour_ADAS('VRU AEB Motorcyclist'!G67/2)</f>
        <v>Red</v>
      </c>
      <c r="E245" s="1063"/>
      <c r="F245" s="1063"/>
      <c r="G245" s="1063"/>
      <c r="H245" s="567"/>
      <c r="I245" s="567"/>
      <c r="J245" s="567"/>
      <c r="K245" s="567"/>
      <c r="L245" s="567"/>
      <c r="M245" s="567"/>
      <c r="N245" s="567"/>
      <c r="O245" s="567"/>
      <c r="P245" s="567"/>
      <c r="Q245" s="567"/>
      <c r="R245" s="567"/>
      <c r="S245" s="567"/>
      <c r="T245" s="567"/>
      <c r="U245" s="567"/>
      <c r="V245" s="567"/>
      <c r="W245" s="567"/>
      <c r="X245" s="567"/>
      <c r="Y245" s="567"/>
      <c r="Z245" s="567"/>
      <c r="AA245" s="567"/>
      <c r="AB245" s="567"/>
      <c r="AC245" s="567"/>
      <c r="AD245" s="567"/>
      <c r="AE245" s="567"/>
      <c r="AF245" s="567"/>
    </row>
    <row r="246" spans="2:32">
      <c r="B246" s="1057" t="s">
        <v>2791</v>
      </c>
      <c r="C246" s="1063"/>
      <c r="D246" s="620" t="str" cm="1">
        <f t="array" ref="D246">Colour_ADAS('VRU AEB Motorcyclist'!G68/1)</f>
        <v>Red</v>
      </c>
      <c r="E246" s="1063"/>
      <c r="F246" s="1063"/>
      <c r="G246" s="1063"/>
      <c r="H246" s="567"/>
      <c r="I246" s="567"/>
      <c r="J246" s="567"/>
      <c r="K246" s="567"/>
      <c r="L246" s="567"/>
      <c r="M246" s="567"/>
      <c r="N246" s="567"/>
      <c r="O246" s="567"/>
      <c r="P246" s="567"/>
      <c r="Q246" s="567"/>
      <c r="R246" s="567"/>
      <c r="S246" s="567"/>
      <c r="T246" s="567"/>
      <c r="U246" s="567"/>
      <c r="V246" s="567"/>
      <c r="W246" s="567"/>
      <c r="X246" s="567"/>
      <c r="Y246" s="567"/>
      <c r="Z246" s="567"/>
      <c r="AA246" s="567"/>
      <c r="AB246" s="567"/>
      <c r="AC246" s="567"/>
      <c r="AD246" s="567"/>
      <c r="AE246" s="567"/>
      <c r="AF246" s="567"/>
    </row>
    <row r="247" spans="2:32" ht="13.5" thickBot="1">
      <c r="B247" s="618"/>
      <c r="C247" s="567"/>
      <c r="D247" s="567"/>
      <c r="E247" s="567"/>
      <c r="F247" s="567"/>
      <c r="G247" s="567"/>
      <c r="H247" s="567"/>
      <c r="I247" s="567"/>
      <c r="J247" s="567"/>
      <c r="K247" s="567"/>
      <c r="L247" s="567"/>
      <c r="M247" s="567"/>
      <c r="N247" s="567"/>
      <c r="O247" s="567"/>
      <c r="P247" s="567"/>
      <c r="Q247" s="567"/>
      <c r="R247" s="567"/>
      <c r="S247" s="567"/>
      <c r="T247" s="567"/>
      <c r="U247" s="567"/>
      <c r="V247" s="567"/>
      <c r="W247" s="567"/>
      <c r="X247" s="567"/>
      <c r="Y247" s="567"/>
    </row>
    <row r="248" spans="2:32" ht="13.5" thickTop="1"/>
    <row r="250" spans="2:32">
      <c r="B250" s="594" t="s">
        <v>173</v>
      </c>
      <c r="Z250" s="567"/>
      <c r="AA250" s="567"/>
    </row>
    <row r="251" spans="2:32">
      <c r="B251" s="589" t="s">
        <v>13</v>
      </c>
      <c r="C251" s="567"/>
      <c r="D251" s="567"/>
      <c r="E251" s="567"/>
      <c r="F251" s="567"/>
      <c r="G251" s="567"/>
      <c r="H251" s="567"/>
      <c r="I251" s="567"/>
      <c r="J251" s="567"/>
      <c r="K251" s="567"/>
      <c r="L251" s="567"/>
      <c r="M251" s="567"/>
      <c r="N251" s="567"/>
      <c r="O251" s="567"/>
      <c r="P251" s="567"/>
      <c r="Q251" s="567"/>
      <c r="R251" s="567"/>
      <c r="S251" s="567"/>
      <c r="T251" s="567"/>
      <c r="U251" s="567"/>
      <c r="V251" s="567"/>
      <c r="W251" s="567"/>
      <c r="X251" s="567"/>
      <c r="Y251" s="567"/>
      <c r="Z251" s="567"/>
      <c r="AA251" s="567"/>
    </row>
    <row r="252" spans="2:32">
      <c r="B252" s="589" t="s">
        <v>888</v>
      </c>
      <c r="C252" s="567">
        <f>ROUND('SA SAS'!D72,1)</f>
        <v>0</v>
      </c>
      <c r="D252" s="560">
        <f>'SA SAS'!D72/Datasheet!C253</f>
        <v>0</v>
      </c>
      <c r="E252" s="567"/>
      <c r="F252" s="567"/>
      <c r="G252" s="567"/>
      <c r="H252" s="567"/>
      <c r="I252" s="567"/>
      <c r="J252" s="567" t="s">
        <v>2669</v>
      </c>
      <c r="K252" s="567"/>
      <c r="L252" s="567"/>
      <c r="M252" s="567"/>
      <c r="N252" s="567"/>
      <c r="O252" s="567"/>
      <c r="P252" s="567"/>
      <c r="Q252" s="567"/>
      <c r="R252" s="567"/>
      <c r="S252" s="567"/>
      <c r="T252" s="567"/>
      <c r="U252" s="567"/>
      <c r="V252" s="567"/>
      <c r="W252" s="567"/>
      <c r="X252" s="567"/>
      <c r="Y252" s="567"/>
      <c r="Z252" s="567"/>
      <c r="AA252" s="567"/>
    </row>
    <row r="253" spans="2:32">
      <c r="B253" s="589" t="s">
        <v>907</v>
      </c>
      <c r="C253" s="567">
        <v>3</v>
      </c>
      <c r="D253" s="567"/>
      <c r="E253" s="567"/>
      <c r="F253" s="567"/>
      <c r="G253" s="567"/>
      <c r="H253" s="567"/>
      <c r="I253" s="567"/>
      <c r="J253" s="567" t="s">
        <v>2670</v>
      </c>
      <c r="K253" s="567"/>
      <c r="L253" s="567"/>
      <c r="M253" s="567"/>
      <c r="N253" s="567"/>
      <c r="O253" s="567"/>
      <c r="P253" s="567"/>
      <c r="Q253" s="567"/>
      <c r="R253" s="567"/>
      <c r="S253" s="567"/>
      <c r="T253" s="567"/>
      <c r="U253" s="567"/>
      <c r="V253" s="567"/>
      <c r="W253" s="567"/>
      <c r="X253" s="567"/>
      <c r="Y253" s="567"/>
      <c r="Z253" s="567"/>
      <c r="AA253" s="567"/>
    </row>
    <row r="254" spans="2:32">
      <c r="B254" s="589" t="s">
        <v>924</v>
      </c>
      <c r="C254" s="1029" t="str">
        <f>IF(D252&gt;=0.75,"Green",IF(D252&gt;=0.5,"Yellow",IF(D252&gt;=0.25,"Orange",IF(D252&gt;0,"Brown","Red"))))</f>
        <v>Red</v>
      </c>
      <c r="D254" s="567"/>
      <c r="E254" s="567"/>
      <c r="F254" s="567"/>
      <c r="G254" s="567"/>
      <c r="H254" s="567"/>
      <c r="I254" s="567"/>
      <c r="J254" s="589" t="s">
        <v>2671</v>
      </c>
      <c r="K254" s="567"/>
      <c r="L254" s="567"/>
      <c r="M254" s="567"/>
      <c r="N254" s="567"/>
      <c r="O254" s="567"/>
      <c r="P254" s="567"/>
      <c r="Q254" s="567"/>
      <c r="R254" s="567"/>
      <c r="S254" s="567"/>
      <c r="T254" s="567"/>
      <c r="U254" s="567"/>
      <c r="V254" s="567"/>
      <c r="W254" s="567"/>
      <c r="X254" s="567"/>
      <c r="Y254" s="567"/>
      <c r="Z254" s="567"/>
      <c r="AA254" s="567"/>
    </row>
    <row r="255" spans="2:32">
      <c r="B255" s="589" t="s">
        <v>949</v>
      </c>
      <c r="C255" s="620" t="str">
        <f>CONCATENATE('SA SAS'!D9,Datasheet!D255)</f>
        <v/>
      </c>
      <c r="D255" s="567" t="str">
        <f t="array" ref="D255">IF(OR('SA SAS'!D17:D26="Pass"),", subsigns supported","")</f>
        <v/>
      </c>
      <c r="E255" s="567"/>
      <c r="F255" s="567"/>
      <c r="G255" s="567"/>
      <c r="H255" s="567"/>
      <c r="I255" s="567"/>
      <c r="J255" s="560" t="s">
        <v>2566</v>
      </c>
      <c r="K255" s="567"/>
      <c r="L255" s="567"/>
      <c r="M255" s="567"/>
      <c r="N255" s="567"/>
      <c r="O255" s="567"/>
      <c r="P255" s="567"/>
      <c r="Q255" s="567"/>
      <c r="R255" s="567"/>
      <c r="S255" s="567"/>
      <c r="T255" s="567"/>
      <c r="U255" s="567"/>
      <c r="V255" s="567"/>
      <c r="W255" s="567"/>
      <c r="X255" s="567"/>
      <c r="Y255" s="567"/>
      <c r="Z255" s="567"/>
      <c r="AA255" s="567"/>
    </row>
    <row r="256" spans="2:32">
      <c r="B256" s="589" t="s">
        <v>950</v>
      </c>
      <c r="C256" s="620" t="str">
        <f>CONCATENATE('SA SAS'!D55,Datasheet!D256)</f>
        <v/>
      </c>
      <c r="D256" s="567" t="str">
        <f>IF(AND('SA SAS'!D59&lt;=5,'SA SAS'!D62&lt;=5,'SA SAS'!D65&lt;=5)," (accurate to 5km/h)",IF(AND('SA SAS'!D59&lt;=10,'SA SAS'!D62&lt;=10,'SA SAS'!D65&lt;=10)," (accurate to 10km/h)",""))</f>
        <v/>
      </c>
      <c r="E256" s="567"/>
      <c r="F256" s="567"/>
      <c r="G256" s="567"/>
      <c r="H256" s="567"/>
      <c r="I256" s="567"/>
      <c r="J256" s="567"/>
      <c r="K256" s="567"/>
      <c r="L256" s="567"/>
      <c r="M256" s="567"/>
      <c r="N256" s="567"/>
      <c r="O256" s="567"/>
      <c r="P256" s="567"/>
      <c r="Q256" s="567"/>
      <c r="R256" s="567"/>
      <c r="S256" s="567"/>
      <c r="T256" s="567"/>
      <c r="U256" s="567"/>
      <c r="V256" s="567"/>
      <c r="W256" s="567"/>
      <c r="X256" s="567"/>
      <c r="Y256" s="567"/>
      <c r="Z256" s="567"/>
      <c r="AA256" s="567"/>
    </row>
    <row r="257" spans="2:27">
      <c r="C257" s="567"/>
      <c r="D257" s="567"/>
      <c r="E257" s="567"/>
      <c r="F257" s="567"/>
      <c r="G257" s="567"/>
      <c r="H257" s="567"/>
      <c r="I257" s="567"/>
      <c r="J257" s="567"/>
      <c r="K257" s="567"/>
      <c r="L257" s="567"/>
      <c r="M257" s="567"/>
      <c r="N257" s="567"/>
      <c r="O257" s="567"/>
      <c r="P257" s="567"/>
      <c r="Q257" s="567"/>
      <c r="R257" s="567"/>
      <c r="S257" s="567"/>
      <c r="T257" s="567"/>
      <c r="U257" s="567"/>
      <c r="V257" s="567"/>
      <c r="W257" s="567"/>
      <c r="X257" s="567"/>
      <c r="Y257" s="567"/>
      <c r="Z257" s="567"/>
      <c r="AA257" s="567"/>
    </row>
    <row r="258" spans="2:27">
      <c r="C258" s="567"/>
      <c r="D258" s="567"/>
      <c r="E258" s="567"/>
      <c r="F258" s="567"/>
      <c r="G258" s="567"/>
      <c r="H258" s="567"/>
      <c r="I258" s="567"/>
      <c r="J258" s="567"/>
      <c r="K258" s="567"/>
      <c r="L258" s="567"/>
      <c r="M258" s="567"/>
      <c r="N258" s="567"/>
      <c r="O258" s="567"/>
      <c r="P258" s="567"/>
      <c r="Q258" s="567"/>
      <c r="R258" s="567"/>
      <c r="S258" s="567"/>
      <c r="T258" s="567"/>
      <c r="U258" s="567"/>
      <c r="V258" s="567"/>
      <c r="W258" s="567"/>
      <c r="X258" s="567"/>
      <c r="Y258" s="567"/>
      <c r="Z258" s="567"/>
      <c r="AA258" s="567"/>
    </row>
    <row r="259" spans="2:27">
      <c r="B259" s="594" t="s">
        <v>603</v>
      </c>
      <c r="C259" s="567"/>
      <c r="D259" s="567"/>
      <c r="E259" s="567"/>
      <c r="F259" s="567"/>
      <c r="G259" s="567"/>
      <c r="H259" s="567"/>
      <c r="I259" s="567"/>
      <c r="J259" s="567"/>
      <c r="K259" s="567"/>
      <c r="L259" s="567"/>
      <c r="M259" s="567"/>
      <c r="N259" s="567"/>
      <c r="O259" s="567"/>
      <c r="P259" s="567"/>
      <c r="Q259" s="567"/>
      <c r="R259" s="567"/>
      <c r="S259" s="567"/>
      <c r="T259" s="567"/>
      <c r="U259" s="567"/>
      <c r="V259" s="567"/>
      <c r="W259" s="567"/>
      <c r="X259" s="567"/>
      <c r="Y259" s="567"/>
      <c r="Z259" s="567"/>
      <c r="AA259" s="567"/>
    </row>
    <row r="260" spans="2:27">
      <c r="B260" s="589" t="s">
        <v>888</v>
      </c>
      <c r="C260" s="567">
        <f>ROUND('SA LSS'!D78,1)</f>
        <v>0</v>
      </c>
      <c r="D260" s="560">
        <f>'SA LSS'!D78/C261</f>
        <v>0</v>
      </c>
      <c r="E260" s="567"/>
      <c r="F260" s="567"/>
      <c r="G260" s="567"/>
      <c r="H260" s="567"/>
      <c r="I260" s="567"/>
      <c r="J260" s="567"/>
      <c r="K260" s="567"/>
      <c r="L260" s="567"/>
      <c r="M260" s="567"/>
      <c r="N260" s="567"/>
      <c r="O260" s="567"/>
      <c r="P260" s="567">
        <v>10</v>
      </c>
      <c r="Q260" s="567"/>
      <c r="R260" s="567"/>
      <c r="S260" s="567"/>
      <c r="T260" s="567"/>
      <c r="U260" s="567"/>
      <c r="V260" s="567"/>
      <c r="W260" s="567"/>
      <c r="X260" s="567"/>
      <c r="Y260" s="567"/>
      <c r="Z260" s="567"/>
      <c r="AA260" s="567"/>
    </row>
    <row r="261" spans="2:27">
      <c r="B261" s="589" t="s">
        <v>907</v>
      </c>
      <c r="C261" s="567">
        <v>3</v>
      </c>
      <c r="D261" s="567"/>
      <c r="E261" s="567"/>
      <c r="F261" s="567"/>
      <c r="G261" s="567"/>
      <c r="H261" s="567"/>
      <c r="I261" s="567"/>
      <c r="J261" s="567"/>
      <c r="K261" s="567"/>
      <c r="L261" s="567"/>
      <c r="M261" s="567"/>
      <c r="N261" s="567"/>
      <c r="O261" s="567"/>
      <c r="P261" s="567">
        <f>P260+26.67</f>
        <v>36.67</v>
      </c>
      <c r="Q261" s="567"/>
      <c r="R261" s="567"/>
      <c r="S261" s="567"/>
      <c r="T261" s="567"/>
      <c r="U261" s="567"/>
      <c r="V261" s="567"/>
      <c r="W261" s="567"/>
      <c r="X261" s="567"/>
      <c r="Y261" s="567"/>
      <c r="Z261" s="567"/>
      <c r="AA261" s="567"/>
    </row>
    <row r="262" spans="2:27">
      <c r="B262" s="589" t="s">
        <v>924</v>
      </c>
      <c r="C262" s="1029" t="str">
        <f>IF(D260&gt;=0.75,"Green",IF(D260&gt;=0.5,"Yellow",IF(D260&gt;=0.25,"Orange",IF(D260&gt;0,"Brown","Red"))))</f>
        <v>Red</v>
      </c>
      <c r="D262" s="567"/>
      <c r="E262" s="567"/>
      <c r="F262" s="567"/>
      <c r="G262" s="567"/>
      <c r="H262" s="567"/>
      <c r="I262" s="567"/>
      <c r="J262" s="567"/>
      <c r="K262" s="567"/>
      <c r="L262" s="567"/>
      <c r="M262" s="567"/>
      <c r="N262" s="567"/>
      <c r="O262" s="567"/>
      <c r="P262" s="567">
        <f>P261+26.67</f>
        <v>63.34</v>
      </c>
      <c r="Q262" s="567"/>
      <c r="R262" s="567"/>
      <c r="S262" s="567"/>
      <c r="T262" s="567"/>
      <c r="U262" s="567"/>
      <c r="V262" s="567"/>
      <c r="W262" s="567"/>
      <c r="X262" s="567"/>
      <c r="Y262" s="567"/>
      <c r="Z262" s="567"/>
      <c r="AA262" s="567"/>
    </row>
    <row r="263" spans="2:27">
      <c r="B263" s="589" t="s">
        <v>934</v>
      </c>
      <c r="C263" s="567">
        <f>ROUND('SA LSS'!D55,1)</f>
        <v>0</v>
      </c>
      <c r="D263" s="567"/>
      <c r="E263" s="567"/>
      <c r="F263" s="567"/>
      <c r="G263" s="567"/>
      <c r="H263" s="567"/>
      <c r="I263" s="567"/>
      <c r="J263" s="567"/>
      <c r="K263" s="567"/>
      <c r="L263" s="567"/>
      <c r="M263" s="567"/>
      <c r="N263" s="567"/>
      <c r="O263" s="567"/>
      <c r="P263" s="567">
        <f>P262+26.67</f>
        <v>90.01</v>
      </c>
      <c r="Q263" s="567"/>
      <c r="R263" s="567"/>
      <c r="S263" s="567"/>
      <c r="T263" s="567"/>
      <c r="U263" s="567"/>
      <c r="V263" s="567"/>
      <c r="W263" s="567"/>
      <c r="X263" s="567"/>
      <c r="Y263" s="567"/>
      <c r="Z263" s="567"/>
      <c r="AA263" s="567"/>
    </row>
    <row r="264" spans="2:27">
      <c r="B264" s="589" t="s">
        <v>940</v>
      </c>
      <c r="C264" s="567">
        <v>2</v>
      </c>
      <c r="D264" s="567">
        <f>'SA LSS'!D55/Datasheet!C264</f>
        <v>0</v>
      </c>
      <c r="E264" s="567"/>
      <c r="F264" s="567"/>
      <c r="G264" s="567"/>
      <c r="H264" s="567"/>
      <c r="I264" s="567"/>
      <c r="J264" s="567"/>
      <c r="K264" s="567"/>
      <c r="L264" s="567"/>
      <c r="M264" s="567"/>
      <c r="N264" s="567"/>
      <c r="O264" s="567"/>
      <c r="P264" s="567"/>
      <c r="Q264" s="567"/>
      <c r="R264" s="567"/>
      <c r="S264" s="567"/>
      <c r="T264" s="567"/>
      <c r="U264" s="567"/>
      <c r="V264" s="567"/>
      <c r="W264" s="567"/>
      <c r="X264" s="567"/>
      <c r="Y264" s="567"/>
      <c r="Z264" s="567"/>
      <c r="AA264" s="567"/>
    </row>
    <row r="265" spans="2:27">
      <c r="B265" s="589" t="s">
        <v>935</v>
      </c>
      <c r="C265" s="620" t="str">
        <f>IF(D264&gt;=0.75,"Green",IF(D264&gt;=0.5,"Yellow",IF(D264&gt;=0.25,"Orange",IF(D264&gt;0,"Brown","Red"))))</f>
        <v>Red</v>
      </c>
      <c r="D265" s="567"/>
      <c r="E265" s="567"/>
      <c r="F265" s="567"/>
      <c r="G265" s="567"/>
      <c r="H265" s="567"/>
      <c r="I265" s="567"/>
      <c r="J265" s="567"/>
      <c r="K265" s="567"/>
      <c r="L265" s="567"/>
      <c r="M265" s="567"/>
      <c r="N265" s="567"/>
      <c r="O265" s="567"/>
      <c r="P265" s="567"/>
      <c r="Q265" s="567"/>
      <c r="R265" s="567"/>
      <c r="S265" s="567"/>
      <c r="T265" s="567"/>
      <c r="U265" s="567"/>
      <c r="V265" s="567"/>
      <c r="W265" s="567"/>
      <c r="X265" s="567"/>
      <c r="Y265" s="567"/>
      <c r="Z265" s="567"/>
      <c r="AA265" s="567"/>
    </row>
    <row r="266" spans="2:27">
      <c r="B266" s="589" t="s">
        <v>936</v>
      </c>
      <c r="C266" s="567">
        <f>ROUND('SA LSS'!D66,1)</f>
        <v>0</v>
      </c>
      <c r="D266" s="567"/>
      <c r="E266" s="567"/>
      <c r="F266" s="567"/>
      <c r="G266" s="567"/>
      <c r="H266" s="567"/>
      <c r="I266" s="567"/>
      <c r="J266" s="567"/>
      <c r="K266" s="567"/>
      <c r="L266" s="567"/>
      <c r="M266" s="567"/>
      <c r="N266" s="567"/>
      <c r="O266" s="567"/>
      <c r="P266" s="567"/>
      <c r="Q266" s="567"/>
      <c r="R266" s="567"/>
      <c r="S266" s="567"/>
      <c r="T266" s="567"/>
      <c r="U266" s="567"/>
      <c r="V266" s="567"/>
      <c r="W266" s="567"/>
      <c r="X266" s="567"/>
      <c r="Y266" s="567"/>
      <c r="Z266" s="567"/>
      <c r="AA266" s="567"/>
    </row>
    <row r="267" spans="2:27">
      <c r="B267" s="589" t="s">
        <v>941</v>
      </c>
      <c r="C267" s="567">
        <v>0.5</v>
      </c>
      <c r="D267" s="567"/>
      <c r="E267" s="567"/>
      <c r="F267" s="567"/>
      <c r="G267" s="567"/>
      <c r="H267" s="567"/>
      <c r="I267" s="567"/>
      <c r="J267" s="567"/>
      <c r="K267" s="567"/>
      <c r="L267" s="567"/>
      <c r="M267" s="567"/>
      <c r="N267" s="567"/>
      <c r="O267" s="567"/>
      <c r="P267" s="567"/>
      <c r="Q267" s="567"/>
      <c r="R267" s="567"/>
      <c r="S267" s="567"/>
      <c r="T267" s="567"/>
      <c r="U267" s="567"/>
      <c r="V267" s="567"/>
      <c r="W267" s="567"/>
      <c r="X267" s="567"/>
      <c r="Y267" s="567"/>
      <c r="Z267" s="567"/>
      <c r="AA267" s="567"/>
    </row>
    <row r="268" spans="2:27">
      <c r="B268" s="589" t="s">
        <v>937</v>
      </c>
      <c r="C268" s="620" t="str">
        <f>IF('SA LSS'!D66=0.5,"Green",IF('SA LSS'!D66=0.25,"Orange","Red"))</f>
        <v>Red</v>
      </c>
      <c r="D268" s="567"/>
      <c r="E268" s="567"/>
      <c r="F268" s="567"/>
      <c r="G268" s="567"/>
      <c r="H268" s="567"/>
      <c r="I268" s="567"/>
      <c r="J268" s="567"/>
      <c r="K268" s="567"/>
      <c r="L268" s="567"/>
      <c r="M268" s="567"/>
      <c r="N268" s="567"/>
      <c r="O268" s="567"/>
      <c r="P268" s="567"/>
      <c r="Q268" s="567"/>
      <c r="R268" s="567"/>
      <c r="S268" s="567"/>
      <c r="T268" s="567"/>
      <c r="U268" s="567"/>
      <c r="V268" s="567"/>
      <c r="W268" s="567"/>
      <c r="X268" s="567"/>
      <c r="Y268" s="567"/>
      <c r="Z268" s="567"/>
      <c r="AA268" s="567"/>
    </row>
    <row r="269" spans="2:27">
      <c r="B269" s="589" t="s">
        <v>938</v>
      </c>
      <c r="C269" s="567">
        <f>ROUND('SA LSS'!D71,1)</f>
        <v>0</v>
      </c>
      <c r="D269" s="567"/>
      <c r="E269" s="567"/>
      <c r="F269" s="567"/>
      <c r="G269" s="567"/>
      <c r="H269" s="567"/>
      <c r="I269" s="567"/>
      <c r="J269" s="567"/>
      <c r="K269" s="567"/>
      <c r="L269" s="567"/>
      <c r="M269" s="567"/>
      <c r="N269" s="567"/>
      <c r="O269" s="567"/>
      <c r="P269" s="567"/>
      <c r="Q269" s="567"/>
      <c r="R269" s="567"/>
      <c r="S269" s="567"/>
      <c r="T269" s="567"/>
      <c r="U269" s="567"/>
      <c r="V269" s="567"/>
      <c r="W269" s="567"/>
      <c r="X269" s="567"/>
      <c r="Y269" s="567"/>
      <c r="Z269" s="567"/>
      <c r="AA269" s="567"/>
    </row>
    <row r="270" spans="2:27">
      <c r="B270" s="589" t="s">
        <v>942</v>
      </c>
      <c r="C270" s="567">
        <v>0.5</v>
      </c>
      <c r="D270" s="567"/>
      <c r="E270" s="567"/>
      <c r="F270" s="567"/>
      <c r="G270" s="567"/>
      <c r="H270" s="567"/>
      <c r="I270" s="567"/>
      <c r="J270" s="567"/>
      <c r="K270" s="567"/>
      <c r="L270" s="567"/>
      <c r="M270" s="567"/>
      <c r="N270" s="567"/>
      <c r="O270" s="567"/>
      <c r="P270" s="567"/>
      <c r="Q270" s="567"/>
      <c r="R270" s="567"/>
      <c r="S270" s="567"/>
      <c r="T270" s="567"/>
      <c r="U270" s="567"/>
      <c r="V270" s="567"/>
      <c r="W270" s="567"/>
      <c r="X270" s="567"/>
      <c r="Y270" s="567"/>
      <c r="Z270" s="567"/>
      <c r="AA270" s="567"/>
    </row>
    <row r="271" spans="2:27">
      <c r="B271" s="589" t="s">
        <v>939</v>
      </c>
      <c r="C271" s="620" t="str">
        <f>IF(C269=0.5,"Green",IF(C269=0.25,"Orange","Red"))</f>
        <v>Red</v>
      </c>
      <c r="D271" s="567"/>
      <c r="E271" s="567"/>
      <c r="F271" s="567"/>
      <c r="G271" s="567"/>
      <c r="H271" s="567"/>
      <c r="I271" s="567"/>
      <c r="J271" s="567"/>
      <c r="K271" s="567"/>
      <c r="L271" s="567"/>
      <c r="M271" s="567"/>
      <c r="N271" s="567"/>
      <c r="O271" s="567"/>
      <c r="P271" s="567"/>
      <c r="Q271" s="567"/>
      <c r="R271" s="567"/>
      <c r="S271" s="567"/>
      <c r="T271" s="567"/>
      <c r="U271" s="567"/>
      <c r="V271" s="567"/>
      <c r="W271" s="567"/>
      <c r="X271" s="567"/>
      <c r="Y271" s="567"/>
      <c r="Z271" s="567"/>
      <c r="AA271" s="567"/>
    </row>
    <row r="272" spans="2:27">
      <c r="C272" s="567"/>
      <c r="D272" s="567"/>
      <c r="E272" s="567"/>
      <c r="F272" s="567"/>
      <c r="G272" s="567"/>
      <c r="H272" s="567"/>
      <c r="I272" s="567"/>
      <c r="J272" s="567"/>
      <c r="K272" s="567"/>
      <c r="L272" s="567"/>
      <c r="M272" s="567"/>
      <c r="N272" s="567"/>
      <c r="O272" s="567"/>
      <c r="P272" s="567"/>
      <c r="Q272" s="567"/>
      <c r="R272" s="567"/>
      <c r="S272" s="567"/>
      <c r="T272" s="567"/>
      <c r="U272" s="567"/>
      <c r="V272" s="567"/>
      <c r="W272" s="567"/>
      <c r="X272" s="567"/>
      <c r="Y272" s="567"/>
      <c r="Z272" s="567"/>
      <c r="AA272" s="567"/>
    </row>
    <row r="273" spans="2:28">
      <c r="C273" s="567"/>
      <c r="D273" s="567"/>
      <c r="E273" s="567"/>
      <c r="F273" s="567"/>
      <c r="G273" s="567">
        <v>0</v>
      </c>
      <c r="H273" s="567"/>
      <c r="I273" s="567"/>
      <c r="J273" s="567"/>
      <c r="K273" s="567"/>
      <c r="L273" s="567"/>
      <c r="M273" s="567"/>
      <c r="N273" s="567"/>
      <c r="O273" s="567"/>
      <c r="P273" s="567"/>
      <c r="Q273" s="567"/>
      <c r="R273" s="567"/>
      <c r="S273" s="567"/>
      <c r="T273" s="567"/>
      <c r="U273" s="567"/>
      <c r="V273" s="567"/>
      <c r="W273" s="567"/>
      <c r="X273" s="567"/>
      <c r="Y273" s="567"/>
      <c r="Z273" s="567"/>
      <c r="AA273" s="567"/>
    </row>
    <row r="274" spans="2:28">
      <c r="C274" s="567"/>
      <c r="D274" s="567"/>
      <c r="E274" s="567"/>
      <c r="F274" s="567"/>
      <c r="G274" s="567">
        <v>1</v>
      </c>
      <c r="H274" s="567" t="s">
        <v>933</v>
      </c>
      <c r="I274" s="567"/>
      <c r="J274" s="567"/>
      <c r="K274" s="567"/>
      <c r="L274" s="567"/>
      <c r="M274" s="567"/>
      <c r="N274" s="567"/>
      <c r="O274" s="567"/>
      <c r="P274" s="567"/>
      <c r="Q274" s="567"/>
      <c r="R274" s="567"/>
      <c r="S274" s="567"/>
      <c r="T274" s="567"/>
      <c r="U274" s="567"/>
      <c r="V274" s="567"/>
      <c r="W274" s="567"/>
      <c r="X274" s="567"/>
      <c r="Y274" s="567"/>
      <c r="Z274" s="567"/>
      <c r="AA274" s="567"/>
    </row>
    <row r="275" spans="2:28">
      <c r="B275" s="594" t="s">
        <v>236</v>
      </c>
      <c r="C275" s="567"/>
      <c r="D275" s="567"/>
      <c r="E275" s="567"/>
      <c r="F275" s="567"/>
      <c r="G275" s="567">
        <v>2</v>
      </c>
      <c r="H275" s="567" t="s">
        <v>931</v>
      </c>
      <c r="I275" s="567"/>
      <c r="J275" s="567"/>
      <c r="K275" s="567"/>
      <c r="L275" s="567"/>
      <c r="M275" s="567"/>
      <c r="N275" s="567"/>
      <c r="O275" s="567"/>
      <c r="P275" s="567"/>
      <c r="Q275" s="567"/>
      <c r="R275" s="567"/>
      <c r="S275" s="567"/>
      <c r="T275" s="567"/>
      <c r="U275" s="567"/>
      <c r="V275" s="567"/>
      <c r="W275" s="567"/>
      <c r="X275" s="567"/>
      <c r="Y275" s="567"/>
      <c r="Z275" s="567"/>
      <c r="AA275" s="567"/>
    </row>
    <row r="276" spans="2:28">
      <c r="B276" s="589" t="s">
        <v>923</v>
      </c>
      <c r="C276" s="567">
        <f>ROUND('SA AEB Car-to-Car'!D135,1)</f>
        <v>0</v>
      </c>
      <c r="D276" s="567"/>
      <c r="E276" s="567"/>
      <c r="F276" s="567"/>
      <c r="G276" s="567">
        <v>3</v>
      </c>
      <c r="H276" s="567" t="s">
        <v>932</v>
      </c>
      <c r="I276" s="567"/>
      <c r="J276" s="567"/>
      <c r="K276" s="567"/>
      <c r="L276" s="567"/>
      <c r="M276" s="567"/>
      <c r="N276" s="567"/>
      <c r="O276" s="567"/>
      <c r="P276" s="567"/>
      <c r="Q276" s="567"/>
      <c r="R276" s="567"/>
      <c r="S276" s="567"/>
      <c r="T276" s="567"/>
      <c r="U276" s="567"/>
      <c r="V276" s="567"/>
      <c r="W276" s="567"/>
      <c r="X276" s="567"/>
      <c r="Y276" s="567"/>
      <c r="Z276" s="567"/>
      <c r="AA276" s="567"/>
    </row>
    <row r="277" spans="2:28">
      <c r="B277" s="589" t="s">
        <v>897</v>
      </c>
      <c r="C277" s="567">
        <v>9</v>
      </c>
      <c r="D277" s="560">
        <f>'SA AEB Car-to-Car'!D135/C277</f>
        <v>0</v>
      </c>
      <c r="E277" s="567"/>
      <c r="F277" s="567"/>
      <c r="G277" s="567"/>
      <c r="H277" s="567"/>
      <c r="I277" s="567"/>
      <c r="J277" s="567"/>
      <c r="K277" s="567"/>
      <c r="L277" s="567"/>
      <c r="M277" s="567"/>
      <c r="N277" s="567"/>
      <c r="O277" s="567"/>
      <c r="P277" s="567"/>
      <c r="Q277" s="567"/>
      <c r="R277" s="567"/>
      <c r="S277" s="567"/>
      <c r="T277" s="567"/>
      <c r="U277" s="567"/>
      <c r="V277" s="567"/>
      <c r="W277" s="567"/>
      <c r="X277" s="567"/>
      <c r="Y277" s="567"/>
      <c r="Z277" s="567"/>
      <c r="AA277" s="567"/>
    </row>
    <row r="278" spans="2:28">
      <c r="B278" s="589" t="s">
        <v>924</v>
      </c>
      <c r="C278" s="560" t="str" cm="1">
        <f t="array" ref="C278">Colour_ADAS(D277)</f>
        <v>Red</v>
      </c>
      <c r="D278" s="567"/>
      <c r="E278" s="567"/>
      <c r="F278" s="567"/>
      <c r="G278" s="567"/>
      <c r="H278" s="567"/>
      <c r="I278" s="567"/>
      <c r="J278" s="567"/>
      <c r="K278" s="567"/>
      <c r="L278" s="567"/>
      <c r="M278" s="567"/>
      <c r="N278" s="567"/>
      <c r="O278" s="567"/>
      <c r="P278" s="567"/>
      <c r="Q278" s="567"/>
      <c r="R278" s="567"/>
      <c r="S278" s="567"/>
      <c r="T278" s="567"/>
      <c r="U278" s="567"/>
      <c r="V278" s="567"/>
      <c r="W278" s="567"/>
      <c r="X278" s="567"/>
      <c r="Y278" s="567"/>
      <c r="Z278" s="567"/>
      <c r="AA278" s="567"/>
    </row>
    <row r="279" spans="2:28">
      <c r="B279" s="589" t="s">
        <v>925</v>
      </c>
      <c r="C279" s="620" t="str">
        <f>VLOOKUP(F279,G279:H284,2)</f>
        <v>No supplementary warning or dynamic seatbelt retractors</v>
      </c>
      <c r="D279" s="567">
        <f>IF('SA AEB Car-to-Car'!D117="Yes",1,0)</f>
        <v>0</v>
      </c>
      <c r="E279" s="567">
        <f>IF('SA AEB Car-to-Car'!D118="Yes",2,0)</f>
        <v>0</v>
      </c>
      <c r="F279" s="567">
        <f>SUM(D279:E279)</f>
        <v>0</v>
      </c>
      <c r="G279" s="567">
        <v>0</v>
      </c>
      <c r="H279" s="567" t="s">
        <v>926</v>
      </c>
      <c r="I279" s="567"/>
      <c r="J279" s="567"/>
      <c r="K279" s="567"/>
      <c r="L279" s="567"/>
      <c r="M279" s="567"/>
      <c r="N279" s="567"/>
      <c r="O279" s="567"/>
      <c r="P279" s="567"/>
      <c r="Q279" s="567"/>
      <c r="R279" s="567"/>
      <c r="S279" s="567"/>
      <c r="T279" s="567"/>
      <c r="U279" s="567"/>
      <c r="V279" s="567"/>
      <c r="W279" s="567"/>
      <c r="X279" s="567"/>
      <c r="Y279" s="567"/>
      <c r="Z279" s="567"/>
      <c r="AA279" s="567"/>
    </row>
    <row r="280" spans="2:28">
      <c r="B280" s="589" t="s">
        <v>983</v>
      </c>
      <c r="C280" s="567">
        <f>MIN('SA AEB Car-to-Car'!D8,'SA AEB Car-to-Car'!I8)</f>
        <v>0</v>
      </c>
      <c r="D280" s="567">
        <f>IF('SA AEB Car-to-Car'!D7="Yes",1,0)</f>
        <v>0</v>
      </c>
      <c r="E280" s="567">
        <f>IF('SA AEB Car-to-Car'!I7="Yes",2,0)</f>
        <v>0</v>
      </c>
      <c r="F280" s="567">
        <f>SUM(D280:E280)</f>
        <v>0</v>
      </c>
      <c r="G280" s="567">
        <v>1</v>
      </c>
      <c r="H280" s="567" t="s">
        <v>927</v>
      </c>
      <c r="I280" s="567"/>
      <c r="J280" s="567"/>
      <c r="K280" s="567"/>
      <c r="L280" s="567"/>
      <c r="M280" s="567"/>
      <c r="N280" s="567"/>
      <c r="O280" s="567"/>
      <c r="P280" s="567"/>
      <c r="Q280" s="567"/>
      <c r="R280" s="567"/>
      <c r="S280" s="567"/>
      <c r="T280" s="567"/>
      <c r="U280" s="567"/>
      <c r="V280" s="567"/>
      <c r="W280" s="567"/>
      <c r="X280" s="567"/>
      <c r="Y280" s="567"/>
      <c r="Z280" s="567"/>
      <c r="AA280" s="567"/>
    </row>
    <row r="281" spans="2:28">
      <c r="B281" s="589" t="s">
        <v>930</v>
      </c>
      <c r="C281" s="620" t="str">
        <f>IF(F280=0,"",VLOOKUP(F280,G274:H276,2))</f>
        <v/>
      </c>
      <c r="D281" s="620" t="str">
        <f>C281</f>
        <v/>
      </c>
      <c r="E281" s="567"/>
      <c r="F281" s="567"/>
      <c r="G281" s="567"/>
      <c r="H281" s="567"/>
      <c r="I281" s="567"/>
      <c r="J281" s="567"/>
      <c r="K281" s="567"/>
      <c r="L281" s="567"/>
      <c r="M281" s="567"/>
      <c r="N281" s="567"/>
      <c r="O281" s="567"/>
      <c r="P281" s="567"/>
      <c r="Q281" s="567"/>
      <c r="R281" s="567"/>
      <c r="S281" s="567"/>
      <c r="T281" s="567"/>
      <c r="U281" s="567"/>
      <c r="V281" s="567"/>
      <c r="W281" s="567"/>
      <c r="X281" s="567"/>
      <c r="Y281" s="567"/>
      <c r="Z281" s="567"/>
      <c r="AA281" s="567"/>
    </row>
    <row r="282" spans="2:28">
      <c r="B282" s="589" t="s">
        <v>981</v>
      </c>
      <c r="C282" s="620" t="s">
        <v>982</v>
      </c>
      <c r="D282" s="567"/>
      <c r="E282" s="567"/>
      <c r="F282" s="567"/>
      <c r="G282" s="567">
        <v>2</v>
      </c>
      <c r="H282" s="567" t="s">
        <v>928</v>
      </c>
      <c r="I282" s="567"/>
      <c r="J282" s="567"/>
      <c r="K282" s="567"/>
      <c r="L282" s="567"/>
      <c r="M282" s="567"/>
      <c r="N282" s="567"/>
      <c r="O282" s="567"/>
      <c r="P282" s="567"/>
      <c r="Q282" s="567"/>
      <c r="R282" s="567"/>
      <c r="S282" s="567"/>
      <c r="T282" s="567"/>
      <c r="U282" s="567"/>
      <c r="V282" s="567"/>
      <c r="W282" s="567"/>
      <c r="X282" s="567"/>
      <c r="Y282" s="567"/>
      <c r="Z282" s="567"/>
      <c r="AA282" s="567"/>
    </row>
    <row r="283" spans="2:28">
      <c r="B283" s="594"/>
      <c r="C283" s="567"/>
      <c r="D283" s="567"/>
      <c r="E283" s="567"/>
      <c r="F283" s="567"/>
      <c r="G283" s="567"/>
      <c r="H283" s="567"/>
      <c r="I283" s="567"/>
      <c r="J283" s="567"/>
      <c r="K283" s="567"/>
      <c r="L283" s="567"/>
      <c r="M283" s="567"/>
      <c r="N283" s="567"/>
      <c r="O283" s="567"/>
      <c r="P283" s="567"/>
      <c r="Q283" s="567"/>
      <c r="R283" s="567"/>
      <c r="S283" s="567"/>
      <c r="T283" s="567"/>
      <c r="U283" s="567"/>
      <c r="V283" s="567"/>
      <c r="W283" s="567"/>
      <c r="X283" s="567"/>
      <c r="Y283" s="567"/>
      <c r="Z283" s="567"/>
      <c r="AA283" s="567"/>
    </row>
    <row r="284" spans="2:28">
      <c r="B284" s="589"/>
      <c r="C284" s="567"/>
      <c r="D284" s="567"/>
      <c r="E284" s="567"/>
      <c r="F284" s="567"/>
      <c r="G284" s="567">
        <v>3</v>
      </c>
      <c r="H284" s="567" t="s">
        <v>929</v>
      </c>
      <c r="I284" s="567"/>
      <c r="J284" s="567"/>
      <c r="K284" s="567"/>
      <c r="L284" s="567"/>
      <c r="M284" s="567"/>
      <c r="N284" s="567"/>
      <c r="O284" s="567"/>
      <c r="P284" s="567"/>
      <c r="Q284" s="567"/>
      <c r="R284" s="567"/>
      <c r="S284" s="567"/>
      <c r="T284" s="567"/>
      <c r="U284" s="567"/>
      <c r="V284" s="567"/>
      <c r="W284" s="567"/>
      <c r="X284" s="567"/>
      <c r="Y284" s="567"/>
      <c r="Z284" s="567"/>
      <c r="AA284" s="567"/>
    </row>
    <row r="285" spans="2:28">
      <c r="B285" s="589"/>
      <c r="C285" s="560" t="s">
        <v>2804</v>
      </c>
      <c r="D285" s="560" t="s">
        <v>2806</v>
      </c>
      <c r="E285" s="560" t="s">
        <v>2805</v>
      </c>
      <c r="F285" s="560" t="s">
        <v>2807</v>
      </c>
      <c r="G285" s="560" t="s">
        <v>2786</v>
      </c>
      <c r="H285" s="560" t="s">
        <v>380</v>
      </c>
      <c r="I285" s="567"/>
      <c r="J285" s="567"/>
      <c r="K285" s="567"/>
      <c r="L285" s="567"/>
      <c r="M285" s="567"/>
      <c r="N285" s="567"/>
      <c r="O285" s="567"/>
      <c r="P285" s="589"/>
      <c r="Q285" s="560"/>
      <c r="R285" s="560"/>
      <c r="S285" s="560"/>
      <c r="T285" s="560"/>
      <c r="U285" s="560"/>
      <c r="V285" s="560"/>
      <c r="W285" s="567"/>
      <c r="X285" s="567"/>
      <c r="Y285" s="567"/>
      <c r="Z285" s="567"/>
      <c r="AA285" s="567"/>
    </row>
    <row r="286" spans="2:28">
      <c r="B286" s="612" t="s">
        <v>2797</v>
      </c>
      <c r="C286">
        <f>ROUND('OVERALL RATING'!J9,1)</f>
        <v>0</v>
      </c>
      <c r="D286" s="1068" t="str" cm="1">
        <f t="array" ref="D286">Colour_ADAS('OVERALL RATING'!J9/9)</f>
        <v>Red</v>
      </c>
      <c r="E286" s="1062"/>
      <c r="F286" s="1062"/>
      <c r="G286" s="1062"/>
      <c r="H286" s="567">
        <v>9</v>
      </c>
      <c r="I286" s="567"/>
      <c r="J286" s="567"/>
      <c r="K286" s="567"/>
      <c r="L286" s="567"/>
      <c r="M286" s="567"/>
      <c r="N286" s="567"/>
      <c r="O286" s="567"/>
      <c r="P286" s="612"/>
      <c r="R286" s="589"/>
      <c r="S286" s="1062"/>
      <c r="T286" s="1062"/>
      <c r="U286" s="1062"/>
      <c r="V286" s="567"/>
      <c r="W286" s="567"/>
      <c r="X286" s="567"/>
      <c r="Y286" s="567"/>
      <c r="Z286" s="567"/>
      <c r="AA286" s="567"/>
      <c r="AB286" s="589"/>
    </row>
    <row r="287" spans="2:28">
      <c r="B287" s="1057" t="s">
        <v>2798</v>
      </c>
      <c r="C287" s="1063"/>
      <c r="D287" s="1029" t="str" cm="1">
        <f t="array" ref="D287">Colour_ADAS('SA AEB Car-to-Car'!D126)</f>
        <v>Red</v>
      </c>
      <c r="E287" s="1063"/>
      <c r="F287" s="620" t="str" cm="1">
        <f t="array" ref="F287">Colour_ADAS('SA AEB Car-to-Car'!I126)</f>
        <v>Red</v>
      </c>
      <c r="G287" s="1063"/>
      <c r="H287" s="567"/>
      <c r="I287" s="567"/>
      <c r="J287" s="567"/>
      <c r="K287" s="567"/>
      <c r="L287" s="567"/>
      <c r="M287" s="567"/>
      <c r="N287" s="567"/>
      <c r="O287" s="567"/>
      <c r="P287" s="1057"/>
      <c r="Q287" s="1063"/>
      <c r="R287" s="589"/>
      <c r="S287" s="1063"/>
      <c r="T287" s="589"/>
      <c r="U287" s="1063"/>
      <c r="V287" s="567"/>
      <c r="W287" s="567"/>
      <c r="X287" s="567"/>
      <c r="Y287" s="567"/>
      <c r="Z287" s="567"/>
      <c r="AA287" s="567"/>
    </row>
    <row r="288" spans="2:28">
      <c r="B288" s="1057" t="s">
        <v>2799</v>
      </c>
      <c r="C288" s="1063"/>
      <c r="D288" s="620" t="str" cm="1">
        <f t="array" ref="D288">Colour_ADAS('SA AEB Car-to-Car'!D127)</f>
        <v>Red</v>
      </c>
      <c r="E288" s="1063"/>
      <c r="F288" s="1063"/>
      <c r="G288" s="1063"/>
      <c r="H288" s="567"/>
      <c r="I288" s="567"/>
      <c r="J288" s="567"/>
      <c r="K288" s="567"/>
      <c r="L288" s="567"/>
      <c r="M288" s="567"/>
      <c r="N288" s="567"/>
      <c r="O288" s="567"/>
      <c r="P288" s="1057"/>
      <c r="Q288" s="1063"/>
      <c r="R288" s="589"/>
      <c r="S288" s="1063"/>
      <c r="T288" s="1063"/>
      <c r="U288" s="1063"/>
      <c r="V288" s="567"/>
      <c r="W288" s="567"/>
      <c r="X288" s="567"/>
      <c r="Y288" s="567"/>
      <c r="Z288" s="567"/>
      <c r="AA288" s="567"/>
    </row>
    <row r="289" spans="2:29">
      <c r="B289" s="1057" t="s">
        <v>2800</v>
      </c>
      <c r="C289" s="1063"/>
      <c r="D289" s="620" t="str" cm="1">
        <f t="array" ref="D289">Colour_ADAS('SA AEB Car-to-Car'!D125)</f>
        <v>Red</v>
      </c>
      <c r="E289" s="1063"/>
      <c r="F289" s="1067"/>
      <c r="G289" s="1063"/>
      <c r="H289" s="567"/>
      <c r="I289" s="567"/>
      <c r="J289" s="567"/>
      <c r="K289" s="567"/>
      <c r="L289" s="567"/>
      <c r="M289" s="567"/>
      <c r="N289" s="567"/>
      <c r="O289" s="567"/>
      <c r="P289" s="1057"/>
      <c r="Q289" s="1063"/>
      <c r="R289" s="589"/>
      <c r="S289" s="1063"/>
      <c r="T289" s="1067"/>
      <c r="U289" s="1063"/>
      <c r="V289" s="567"/>
      <c r="W289" s="567"/>
      <c r="X289" s="567"/>
      <c r="Y289" s="567"/>
      <c r="Z289" s="567"/>
      <c r="AA289" s="567"/>
    </row>
    <row r="290" spans="2:29">
      <c r="B290" s="1057" t="s">
        <v>2801</v>
      </c>
      <c r="C290" s="1063"/>
      <c r="D290" s="620" t="str" cm="1">
        <f t="array" ref="D290">Colour_ADAS('SA AEB Car-to-Car'!D122)</f>
        <v>Red</v>
      </c>
      <c r="E290" s="1063"/>
      <c r="F290" s="1029" t="str" cm="1">
        <f t="array" ref="F290">Colour_ADAS('SA AEB Car-to-Car'!I122)</f>
        <v>Red</v>
      </c>
      <c r="G290" s="1063"/>
      <c r="H290" s="567"/>
      <c r="I290" s="567"/>
      <c r="J290" s="567"/>
      <c r="K290" s="567"/>
      <c r="L290" s="567"/>
      <c r="M290" s="567"/>
      <c r="N290" s="567"/>
      <c r="O290" s="567"/>
      <c r="P290" s="1057"/>
      <c r="Q290" s="1063"/>
      <c r="R290" s="589"/>
      <c r="S290" s="1063"/>
      <c r="T290" s="589"/>
      <c r="U290" s="1063"/>
      <c r="V290" s="567"/>
      <c r="W290" s="567"/>
      <c r="X290" s="567"/>
      <c r="Y290" s="567"/>
      <c r="Z290" s="567"/>
      <c r="AA290" s="567"/>
    </row>
    <row r="291" spans="2:29">
      <c r="B291" s="1057" t="s">
        <v>2802</v>
      </c>
      <c r="C291" s="1063"/>
      <c r="D291" s="620" t="str" cm="1">
        <f t="array" ref="D291">Colour_ADAS('SA AEB Car-to-Car'!D123)</f>
        <v>Red</v>
      </c>
      <c r="E291" s="1063"/>
      <c r="F291" s="1067"/>
      <c r="G291" s="1063"/>
      <c r="H291" s="567"/>
      <c r="I291" s="567"/>
      <c r="J291" s="567"/>
      <c r="K291" s="567"/>
      <c r="L291" s="567"/>
      <c r="M291" s="567"/>
      <c r="N291" s="567"/>
      <c r="O291" s="567"/>
      <c r="P291" s="1057"/>
      <c r="Q291" s="1063"/>
      <c r="R291" s="589"/>
      <c r="S291" s="1063"/>
      <c r="T291" s="1067"/>
      <c r="U291" s="1063"/>
      <c r="V291" s="567"/>
      <c r="W291" s="567"/>
      <c r="X291" s="567"/>
      <c r="Y291" s="567"/>
      <c r="Z291" s="567"/>
      <c r="AA291" s="567"/>
      <c r="AB291" s="619"/>
    </row>
    <row r="292" spans="2:29">
      <c r="B292" s="1057" t="s">
        <v>2803</v>
      </c>
      <c r="C292" s="1063"/>
      <c r="D292" s="620" t="str" cm="1">
        <f t="array" ref="D292">Colour_ADAS('SA AEB Car-to-Car'!D124)</f>
        <v>Red</v>
      </c>
      <c r="E292" s="1063"/>
      <c r="F292" s="1063"/>
      <c r="G292" s="1063"/>
      <c r="H292" s="567"/>
      <c r="I292" s="567"/>
      <c r="J292" s="567"/>
      <c r="K292" s="567"/>
      <c r="L292" s="567"/>
      <c r="M292" s="567"/>
      <c r="N292" s="567"/>
      <c r="O292" s="567"/>
      <c r="P292" s="1057"/>
      <c r="Q292" s="1063"/>
      <c r="R292" s="589"/>
      <c r="S292" s="1063"/>
      <c r="T292" s="1063"/>
      <c r="U292" s="1063"/>
      <c r="V292" s="567"/>
      <c r="W292" s="567"/>
      <c r="X292" s="567"/>
      <c r="Y292" s="567"/>
      <c r="Z292" s="567"/>
      <c r="AA292" s="567"/>
      <c r="AB292" s="619"/>
    </row>
    <row r="293" spans="2:29">
      <c r="C293" s="567"/>
      <c r="D293" s="567"/>
      <c r="E293" s="567"/>
      <c r="F293" s="567"/>
      <c r="G293" s="567"/>
      <c r="H293" s="567"/>
      <c r="I293" s="567"/>
      <c r="J293" s="567"/>
      <c r="K293" s="567"/>
      <c r="L293" s="567"/>
      <c r="M293" s="567"/>
      <c r="N293" s="567"/>
      <c r="O293" s="567"/>
      <c r="P293" s="567"/>
      <c r="Q293" s="567"/>
      <c r="R293" s="567"/>
      <c r="S293" s="567"/>
      <c r="T293" s="567"/>
      <c r="U293" s="567"/>
      <c r="V293" s="567"/>
      <c r="W293" s="567"/>
      <c r="X293" s="567"/>
      <c r="Y293" s="567"/>
      <c r="Z293" s="567"/>
      <c r="AA293" s="567"/>
      <c r="AC293" s="589" t="s">
        <v>2652</v>
      </c>
    </row>
    <row r="294" spans="2:29">
      <c r="C294" s="567"/>
      <c r="D294" s="567"/>
      <c r="E294" s="567"/>
      <c r="F294" s="567"/>
      <c r="G294" s="567"/>
      <c r="H294" s="567"/>
      <c r="I294" s="567"/>
      <c r="J294" s="567"/>
      <c r="K294" s="567"/>
      <c r="L294" s="567"/>
      <c r="M294" s="567"/>
      <c r="N294" s="567"/>
      <c r="O294" s="567"/>
      <c r="P294" s="567"/>
      <c r="Q294" s="567"/>
      <c r="R294" s="567"/>
      <c r="S294" s="567"/>
      <c r="T294" s="567"/>
      <c r="U294" s="567"/>
      <c r="V294" s="567"/>
      <c r="W294" s="567"/>
      <c r="X294" s="567"/>
      <c r="Y294" s="567"/>
      <c r="Z294" s="567"/>
      <c r="AA294" s="567"/>
      <c r="AC294" s="589" t="s">
        <v>2925</v>
      </c>
    </row>
    <row r="295" spans="2:29">
      <c r="B295" s="594" t="s">
        <v>848</v>
      </c>
      <c r="C295" s="567"/>
      <c r="D295" s="567"/>
      <c r="E295" s="567"/>
      <c r="F295" s="567"/>
      <c r="G295" s="567"/>
      <c r="H295" s="567"/>
      <c r="I295" s="567"/>
      <c r="J295" s="567"/>
      <c r="K295" s="567"/>
      <c r="L295" s="567"/>
      <c r="M295" s="567"/>
      <c r="N295" s="567"/>
      <c r="O295" s="567"/>
      <c r="P295" s="567"/>
      <c r="Q295" s="567"/>
      <c r="R295" s="567"/>
      <c r="S295" s="567"/>
      <c r="T295" s="567"/>
      <c r="U295" s="567"/>
      <c r="V295" s="567"/>
      <c r="W295" s="567"/>
      <c r="X295" s="567"/>
      <c r="Y295" s="567"/>
      <c r="Z295" s="567"/>
      <c r="AA295" s="567"/>
    </row>
    <row r="296" spans="2:29">
      <c r="B296" s="589" t="s">
        <v>924</v>
      </c>
      <c r="C296" s="560" t="str" cm="1">
        <f t="array" aca="1" ref="C296" ca="1">Colour_ADAS(D296)</f>
        <v>Red</v>
      </c>
      <c r="D296" s="567">
        <f ca="1">C297/C298</f>
        <v>0</v>
      </c>
      <c r="E296" s="567"/>
      <c r="F296" s="567"/>
      <c r="G296" s="567"/>
      <c r="H296" s="567"/>
      <c r="I296" s="567"/>
      <c r="J296" s="567"/>
      <c r="K296" s="567"/>
      <c r="L296" s="567"/>
      <c r="M296" s="567"/>
      <c r="N296" s="567"/>
      <c r="O296" s="567"/>
      <c r="P296" s="567"/>
      <c r="Q296" s="567"/>
      <c r="R296" s="567"/>
      <c r="S296" s="567"/>
      <c r="T296" s="567"/>
      <c r="U296" s="567"/>
      <c r="V296" s="567"/>
      <c r="W296" s="567"/>
      <c r="X296" s="567"/>
      <c r="Y296" s="567"/>
      <c r="Z296" s="567"/>
      <c r="AA296" s="567"/>
    </row>
    <row r="297" spans="2:29">
      <c r="B297" s="589" t="s">
        <v>917</v>
      </c>
      <c r="C297" s="567">
        <f ca="1">ROUND('SA OSM'!D51,1)</f>
        <v>0</v>
      </c>
      <c r="D297" s="567"/>
      <c r="E297" s="567"/>
      <c r="F297" s="567"/>
      <c r="G297" s="567"/>
      <c r="H297" s="567"/>
      <c r="I297" s="567"/>
      <c r="J297" s="567"/>
      <c r="K297" s="567"/>
      <c r="L297" s="567"/>
      <c r="M297" s="567"/>
      <c r="N297" s="567"/>
      <c r="O297" s="567"/>
      <c r="P297" s="567"/>
      <c r="Q297" s="567"/>
      <c r="R297" s="567"/>
      <c r="S297" s="567"/>
      <c r="T297" s="567"/>
      <c r="U297" s="567"/>
      <c r="V297" s="567"/>
      <c r="W297" s="567"/>
      <c r="X297" s="567"/>
      <c r="Y297" s="567"/>
      <c r="Z297" s="567"/>
      <c r="AA297" s="567"/>
    </row>
    <row r="298" spans="2:29">
      <c r="B298" s="589" t="s">
        <v>918</v>
      </c>
      <c r="C298" s="1060">
        <v>3</v>
      </c>
      <c r="D298" s="567"/>
      <c r="E298" s="567"/>
      <c r="F298" s="567"/>
      <c r="G298" s="567"/>
      <c r="H298" s="567"/>
      <c r="I298" s="567"/>
      <c r="J298" s="567"/>
      <c r="K298" s="567"/>
      <c r="L298" s="567"/>
      <c r="M298" s="567"/>
      <c r="N298" s="567"/>
      <c r="O298" s="567"/>
      <c r="P298" s="567"/>
      <c r="Q298" s="567"/>
      <c r="R298" s="567"/>
      <c r="S298" s="567"/>
      <c r="T298" s="567"/>
      <c r="U298" s="567"/>
      <c r="V298" s="567"/>
      <c r="W298" s="567"/>
      <c r="X298" s="567"/>
      <c r="Y298" s="567"/>
      <c r="Z298" s="567"/>
      <c r="AA298" s="567"/>
    </row>
    <row r="299" spans="2:29">
      <c r="B299" s="589" t="s">
        <v>919</v>
      </c>
      <c r="C299" s="620" t="str">
        <f>VLOOKUP(G299,I299:J303,2)</f>
        <v>No seats</v>
      </c>
      <c r="D299" s="567">
        <f t="array" ref="D299">IF(AND('General Overview'!E64:F64="Standard"),1,0)</f>
        <v>0</v>
      </c>
      <c r="E299" s="567">
        <f>IF('General Overview'!G64="standard",2,0)</f>
        <v>0</v>
      </c>
      <c r="F299" s="567">
        <f>IF('General Overview'!H64="standard",4,0)</f>
        <v>0</v>
      </c>
      <c r="G299" s="567">
        <f>SUM(D299:F299)</f>
        <v>0</v>
      </c>
      <c r="H299" s="567"/>
      <c r="I299" s="567">
        <v>0</v>
      </c>
      <c r="J299" s="567" t="s">
        <v>920</v>
      </c>
      <c r="K299" s="567"/>
      <c r="L299" s="567"/>
      <c r="M299" s="567"/>
      <c r="N299" s="567"/>
      <c r="O299" s="567"/>
      <c r="P299" s="567"/>
      <c r="Q299" s="567"/>
      <c r="R299" s="567"/>
      <c r="S299" s="567"/>
      <c r="T299" s="567"/>
      <c r="U299" s="567"/>
      <c r="V299" s="567"/>
      <c r="W299" s="567"/>
      <c r="X299" s="567"/>
      <c r="Y299" s="567"/>
      <c r="Z299" s="567"/>
      <c r="AA299" s="567"/>
    </row>
    <row r="300" spans="2:29">
      <c r="B300" s="589" t="s">
        <v>943</v>
      </c>
      <c r="C300" s="620">
        <f>ROUND('SA OSM'!D48,1)</f>
        <v>0</v>
      </c>
      <c r="D300" s="567"/>
      <c r="E300" s="567"/>
      <c r="F300" s="567"/>
      <c r="G300" s="567"/>
      <c r="H300" s="567"/>
      <c r="I300" s="567">
        <v>1</v>
      </c>
      <c r="J300" s="567" t="s">
        <v>921</v>
      </c>
      <c r="K300" s="567"/>
      <c r="L300" s="567"/>
      <c r="M300" s="567"/>
      <c r="N300" s="567"/>
      <c r="O300" s="567"/>
      <c r="P300" s="567"/>
      <c r="Q300" s="567"/>
      <c r="R300" s="567"/>
      <c r="S300" s="567"/>
      <c r="T300" s="567"/>
      <c r="U300" s="567"/>
      <c r="V300" s="567"/>
      <c r="W300" s="567"/>
      <c r="X300" s="567"/>
      <c r="Y300" s="567"/>
      <c r="Z300" s="567"/>
      <c r="AA300" s="567"/>
    </row>
    <row r="301" spans="2:29">
      <c r="B301" s="589" t="s">
        <v>944</v>
      </c>
      <c r="C301" s="567">
        <v>1</v>
      </c>
      <c r="D301" s="567"/>
      <c r="E301" s="567"/>
      <c r="F301" s="567"/>
      <c r="G301" s="567"/>
      <c r="H301" s="567"/>
      <c r="I301" s="567">
        <v>3</v>
      </c>
      <c r="J301" s="567" t="s">
        <v>922</v>
      </c>
      <c r="K301" s="567"/>
      <c r="L301" s="567"/>
      <c r="M301" s="567"/>
      <c r="N301" s="567"/>
      <c r="O301" s="567"/>
      <c r="P301" s="567"/>
      <c r="Q301" s="567"/>
      <c r="R301" s="567"/>
      <c r="S301" s="567"/>
      <c r="T301" s="567"/>
      <c r="U301" s="567"/>
      <c r="V301" s="567"/>
      <c r="W301" s="567"/>
      <c r="X301" s="567"/>
      <c r="Y301" s="567"/>
      <c r="Z301" s="567"/>
      <c r="AA301" s="567"/>
    </row>
    <row r="302" spans="2:29">
      <c r="B302" s="589" t="s">
        <v>945</v>
      </c>
      <c r="C302" s="560" t="str" cm="1">
        <f t="array" ref="C302">Colour_ADAS(C300/C301)</f>
        <v>Red</v>
      </c>
      <c r="D302" s="567"/>
      <c r="E302" s="567"/>
      <c r="F302" s="567"/>
      <c r="G302" s="567"/>
      <c r="H302" s="567"/>
      <c r="I302" s="567">
        <v>5</v>
      </c>
      <c r="J302" s="567" t="str">
        <f>CONCATENATE("Front and ",IF('General Overview'!E18="Optional","optional ",""),"third row seats")</f>
        <v>Front and third row seats</v>
      </c>
      <c r="K302" s="567"/>
      <c r="L302" s="567"/>
      <c r="M302" s="567"/>
      <c r="N302" s="567"/>
      <c r="O302" s="567"/>
      <c r="P302" s="567"/>
      <c r="Q302" s="567"/>
      <c r="R302" s="567"/>
      <c r="S302" s="567"/>
      <c r="T302" s="567"/>
      <c r="U302" s="567"/>
      <c r="V302" s="567"/>
      <c r="W302" s="567"/>
      <c r="X302" s="567"/>
      <c r="Y302" s="567"/>
      <c r="Z302" s="567"/>
      <c r="AA302" s="567"/>
    </row>
    <row r="303" spans="2:29">
      <c r="B303" s="589" t="s">
        <v>946</v>
      </c>
      <c r="C303" s="567" t="e">
        <f ca="1">ROUND('SA OSM'!D49,1)</f>
        <v>#VALUE!</v>
      </c>
      <c r="D303" s="567"/>
      <c r="E303" s="567"/>
      <c r="F303" s="567"/>
      <c r="G303" s="567"/>
      <c r="H303" s="567"/>
      <c r="I303" s="567">
        <v>7</v>
      </c>
      <c r="J303" s="567" t="str">
        <f>CONCATENATE("Front and rear seats, including ",IF('General Overview'!E18="Optional","optional ",""),"third row")</f>
        <v>Front and rear seats, including third row</v>
      </c>
      <c r="K303" s="567"/>
      <c r="L303" s="567"/>
      <c r="M303" s="567"/>
      <c r="N303" s="567"/>
      <c r="O303" s="567"/>
      <c r="P303" s="567"/>
      <c r="Q303" s="567"/>
      <c r="R303" s="567"/>
      <c r="S303" s="567"/>
      <c r="T303" s="567"/>
      <c r="U303" s="567"/>
      <c r="V303" s="567"/>
      <c r="W303" s="567"/>
      <c r="X303" s="567"/>
      <c r="Y303" s="567"/>
      <c r="Z303" s="567"/>
      <c r="AA303" s="567"/>
    </row>
    <row r="304" spans="2:29">
      <c r="B304" s="589" t="s">
        <v>947</v>
      </c>
      <c r="C304" s="1029" t="s">
        <v>2924</v>
      </c>
      <c r="D304" s="567"/>
      <c r="E304" s="567"/>
      <c r="F304" s="567"/>
      <c r="G304" s="567"/>
      <c r="H304" s="567"/>
      <c r="I304" s="567"/>
      <c r="J304" s="567"/>
      <c r="K304" s="567"/>
      <c r="L304" s="567"/>
      <c r="M304" s="567"/>
      <c r="N304" s="567"/>
      <c r="O304" s="567"/>
      <c r="P304" s="567"/>
      <c r="Q304" s="567"/>
      <c r="R304" s="567"/>
      <c r="S304" s="567"/>
      <c r="T304" s="567"/>
      <c r="U304" s="567"/>
      <c r="V304" s="567"/>
      <c r="W304" s="567"/>
      <c r="X304" s="567"/>
      <c r="Y304" s="567"/>
      <c r="Z304" s="567"/>
      <c r="AA304" s="567"/>
    </row>
    <row r="305" spans="1:27">
      <c r="A305" s="660" t="s">
        <v>2419</v>
      </c>
      <c r="B305" s="589" t="s">
        <v>948</v>
      </c>
      <c r="C305" s="1174" t="e" cm="1">
        <f t="array" aca="1" ref="C305" ca="1">IF(OR('General Overview'!E65="Not available",'General Overview'!E65="Optional not meeting fitment"),"Grey",Colour_ADAS(C303/C304))</f>
        <v>#VALUE!</v>
      </c>
      <c r="D305" s="620" t="e">
        <f ca="1">C305</f>
        <v>#VALUE!</v>
      </c>
      <c r="E305" s="567"/>
      <c r="F305" s="567"/>
      <c r="G305" s="567"/>
      <c r="H305" s="567"/>
      <c r="I305" s="567"/>
      <c r="J305" s="567"/>
      <c r="K305" s="567"/>
      <c r="L305" s="567"/>
      <c r="M305" s="567"/>
      <c r="N305" s="567"/>
      <c r="O305" s="567"/>
      <c r="P305" s="567"/>
      <c r="Q305" s="567"/>
      <c r="R305" s="567"/>
      <c r="S305" s="567"/>
      <c r="T305" s="567"/>
      <c r="U305" s="567"/>
      <c r="V305" s="567"/>
      <c r="W305" s="567"/>
      <c r="X305" s="567"/>
      <c r="Y305" s="567"/>
      <c r="Z305" s="567"/>
      <c r="AA305" s="567"/>
    </row>
    <row r="306" spans="1:27">
      <c r="A306" s="660" t="s">
        <v>2419</v>
      </c>
      <c r="B306" s="589" t="s">
        <v>984</v>
      </c>
      <c r="C306" s="1021" t="s">
        <v>987</v>
      </c>
      <c r="D306" s="567"/>
      <c r="E306" s="567"/>
      <c r="F306" s="567"/>
      <c r="G306" s="567"/>
      <c r="H306" s="567"/>
      <c r="I306" s="567"/>
      <c r="J306" s="567"/>
      <c r="K306" s="567"/>
      <c r="L306" s="567"/>
      <c r="M306" s="567"/>
      <c r="N306" s="567"/>
      <c r="O306" s="567"/>
      <c r="P306" s="567"/>
      <c r="Q306" s="567"/>
      <c r="R306" s="567"/>
      <c r="S306" s="567"/>
      <c r="T306" s="567"/>
      <c r="U306" s="567"/>
      <c r="V306" s="567"/>
      <c r="W306" s="567"/>
      <c r="X306" s="567"/>
      <c r="Y306" s="567"/>
      <c r="Z306" s="567"/>
      <c r="AA306" s="567"/>
    </row>
    <row r="307" spans="1:27">
      <c r="A307" s="660" t="s">
        <v>2419</v>
      </c>
      <c r="B307" s="589" t="s">
        <v>985</v>
      </c>
      <c r="C307" s="1174" t="str">
        <f>IF('SA OSM'!D14="Direct","Direct eye monitoring",IF('SA OSM'!D14="Indirect","Indirect monitoring","-"))</f>
        <v>-</v>
      </c>
      <c r="D307" s="567"/>
      <c r="E307" s="567"/>
      <c r="F307" s="567"/>
      <c r="G307" s="567"/>
      <c r="H307" s="567"/>
      <c r="I307" s="567"/>
      <c r="J307" s="567"/>
      <c r="K307" s="567"/>
      <c r="L307" s="567"/>
      <c r="M307" s="567"/>
      <c r="N307" s="567"/>
      <c r="O307" s="567"/>
      <c r="P307" s="567"/>
      <c r="Q307" s="567"/>
      <c r="R307" s="567"/>
      <c r="S307" s="567"/>
      <c r="T307" s="567"/>
      <c r="U307" s="567"/>
      <c r="V307" s="567"/>
      <c r="W307" s="567"/>
      <c r="X307" s="567"/>
      <c r="Y307" s="567"/>
      <c r="Z307" s="567"/>
      <c r="AA307" s="567"/>
    </row>
    <row r="308" spans="1:27">
      <c r="A308" s="660" t="s">
        <v>2419</v>
      </c>
      <c r="B308" s="589" t="s">
        <v>986</v>
      </c>
      <c r="C308" s="659">
        <v>30</v>
      </c>
      <c r="D308" s="567"/>
      <c r="E308" s="567"/>
      <c r="F308" s="567"/>
      <c r="G308" s="567"/>
      <c r="H308" s="567"/>
      <c r="K308" s="567"/>
      <c r="L308" s="567"/>
      <c r="M308" s="567"/>
      <c r="P308" s="567"/>
      <c r="Q308" s="567"/>
      <c r="R308" s="567"/>
      <c r="S308" s="567"/>
      <c r="T308" s="567"/>
      <c r="U308" s="567"/>
      <c r="V308" s="567"/>
      <c r="W308" s="567"/>
      <c r="X308" s="567"/>
      <c r="Y308" s="567"/>
      <c r="Z308" s="567"/>
    </row>
    <row r="309" spans="1:27">
      <c r="B309" s="589" t="s">
        <v>2810</v>
      </c>
      <c r="C309" s="589" t="str">
        <f>VLOOKUP(G309,I309:J316,2)</f>
        <v>-</v>
      </c>
      <c r="D309">
        <f>IF('SA OSM'!G39="Yes",1,0)</f>
        <v>0</v>
      </c>
      <c r="E309">
        <f>IF('SA OSM'!G40="Yes",2,0)</f>
        <v>0</v>
      </c>
      <c r="F309">
        <f>IF('SA OSM'!G41="Yes",4,0)</f>
        <v>0</v>
      </c>
      <c r="G309">
        <f>SUM(D309:F309)</f>
        <v>0</v>
      </c>
      <c r="I309" s="567">
        <v>0</v>
      </c>
      <c r="J309" s="1173" t="s">
        <v>2423</v>
      </c>
      <c r="N309" s="567">
        <v>0</v>
      </c>
      <c r="O309" s="1173" t="s">
        <v>2423</v>
      </c>
    </row>
    <row r="310" spans="1:27">
      <c r="B310" s="589" t="s">
        <v>2811</v>
      </c>
      <c r="C310" s="589" t="str">
        <f>VLOOKUP(G310,N309:O316,2)</f>
        <v>-</v>
      </c>
      <c r="D310" cm="1">
        <f t="array" ref="D310">IF(OR('SA OSM'!G26:G30="Yes"),1,0)</f>
        <v>0</v>
      </c>
      <c r="E310" cm="1">
        <f t="array" ref="E310">IF(OR('SA OSM'!G31:G35="Yes"),2,0)</f>
        <v>0</v>
      </c>
      <c r="F310" cm="1">
        <f t="array" ref="F310">IF(OR('SA OSM'!G36:G38="Yes"),4,0)</f>
        <v>0</v>
      </c>
      <c r="G310">
        <f>SUM(D310:F310)</f>
        <v>0</v>
      </c>
      <c r="I310">
        <v>1</v>
      </c>
      <c r="J310" s="589" t="s">
        <v>2527</v>
      </c>
      <c r="N310">
        <v>1</v>
      </c>
      <c r="O310" s="589" t="s">
        <v>2516</v>
      </c>
    </row>
    <row r="311" spans="1:27">
      <c r="B311" s="589" t="s">
        <v>2812</v>
      </c>
      <c r="C311" s="589" t="str">
        <f>IF('SA OSM'!H42="Yes","Unresponsive Driver","-")</f>
        <v>-</v>
      </c>
      <c r="I311">
        <v>2</v>
      </c>
      <c r="J311" s="589" t="s">
        <v>2528</v>
      </c>
      <c r="N311">
        <v>2</v>
      </c>
      <c r="O311" s="589" t="s">
        <v>2915</v>
      </c>
    </row>
    <row r="312" spans="1:27">
      <c r="I312">
        <v>3</v>
      </c>
      <c r="J312" s="589" t="s">
        <v>2911</v>
      </c>
      <c r="N312">
        <v>3</v>
      </c>
      <c r="O312" s="589" t="s">
        <v>2916</v>
      </c>
    </row>
    <row r="313" spans="1:27">
      <c r="I313">
        <v>4</v>
      </c>
      <c r="J313" s="589" t="s">
        <v>2529</v>
      </c>
      <c r="N313">
        <v>4</v>
      </c>
      <c r="O313" s="589" t="s">
        <v>2917</v>
      </c>
    </row>
    <row r="314" spans="1:27">
      <c r="I314">
        <v>5</v>
      </c>
      <c r="J314" s="589" t="s">
        <v>2912</v>
      </c>
      <c r="N314">
        <v>5</v>
      </c>
      <c r="O314" s="589" t="s">
        <v>2918</v>
      </c>
    </row>
    <row r="315" spans="1:27">
      <c r="I315">
        <v>6</v>
      </c>
      <c r="J315" s="589" t="s">
        <v>2913</v>
      </c>
      <c r="N315">
        <v>6</v>
      </c>
      <c r="O315" s="589" t="s">
        <v>2919</v>
      </c>
    </row>
    <row r="316" spans="1:27">
      <c r="I316">
        <v>7</v>
      </c>
      <c r="J316" s="589" t="s">
        <v>2914</v>
      </c>
      <c r="N316">
        <v>7</v>
      </c>
      <c r="O316" s="589" t="s">
        <v>2920</v>
      </c>
    </row>
    <row r="457" spans="2:3">
      <c r="B457" s="589" t="s">
        <v>2427</v>
      </c>
    </row>
    <row r="458" spans="2:3">
      <c r="B458" s="589" t="s">
        <v>2424</v>
      </c>
      <c r="C458" t="str">
        <f>IF('AOP Frontal MPDB'!D50&lt;&gt;-1,"The passenger compartment of the "&amp;'General Overview'!C5&amp;" remained stable in the frontal offset test.","PASS CELL STABILITY")</f>
        <v>The passenger compartment of the  remained stable in the frontal offset test.</v>
      </c>
    </row>
    <row r="459" spans="2:3">
      <c r="B459" s="589" t="s">
        <v>2425</v>
      </c>
      <c r="C459" t="str" cm="1">
        <f t="array" ref="C459">IF(AND('AOP Frontal MPDB'!E60:E61=4,'AOP Frontal MPDB'!G60:G61=4,'AOP Frontal MPDB'!E67:E68=4,'AOP Frontal MPDB'!G67:G68=4),"Dummy numbers showed good protection of the knees and femurs of both the driver and passenger.","KFP READINGS")</f>
        <v>KFP READINGS</v>
      </c>
    </row>
    <row r="460" spans="2:3">
      <c r="B460" s="589" t="s">
        <v>2426</v>
      </c>
      <c r="C460" t="str">
        <f t="array" ref="C460">IF(AND('AOP Frontal MPDB'!D63:D64=0,'AOP Frontal MPDB'!F63:F64=0,'AOP Frontal MPDB'!D70:D71=0,'AOP Frontal MPDB'!F70:F71=0),'General Overview'!C4&amp;" showed that a similar level of protection would be provided to occupants of different sizes and to those sitting in different positions.","KFP MODS")</f>
        <v xml:space="preserve"> showed that a similar level of protection would be provided to occupants of different sizes and to those sitting in different positions.</v>
      </c>
    </row>
    <row r="461" spans="2:3">
      <c r="B461" s="589" t="s">
        <v>2428</v>
      </c>
      <c r="C461" t="str">
        <f>IF(C22=TRUE,"SOMETHING LESS THAN ADEQUATE","")</f>
        <v>SOMETHING LESS THAN ADEQUATE</v>
      </c>
    </row>
    <row r="462" spans="2:3">
      <c r="B462" s="589" t="s">
        <v>2429</v>
      </c>
      <c r="C462" t="str">
        <f>"Analysis of the deceleration of the impact trolley during the test, and analysis of the deformable barrier after the test, revealed that the "&amp;'General Overview'!C5&amp;" would be a "&amp;Datasheet!C28&amp;" impact partner in a frontal collision."</f>
        <v>Analysis of the deceleration of the impact trolley during the test, and analysis of the deformable barrier after the test, revealed that the  would be a benign impact partner in a frontal collision.</v>
      </c>
    </row>
    <row r="463" spans="2:3" ht="15.75" customHeight="1">
      <c r="B463" s="589" t="s">
        <v>810</v>
      </c>
      <c r="C463" t="str">
        <f>IF(C37=TRUE,"In the full-width rigid barrier test, good protection was provided to all critical body areas of the driver and rear passenger, and the "&amp;'General Overview'!C5&amp;" scored maximum points in this part of the assessment",IF(NOT(C36=TRUE),"In the full-width rigid barrier test, good or adequate protection was provided to all critical body areas, for both the driver and rear passenger.","FW COMMENT"))</f>
        <v>FW COMMENT</v>
      </c>
    </row>
    <row r="464" spans="2:3" ht="15.75" customHeight="1">
      <c r="B464" s="589" t="s">
        <v>594</v>
      </c>
      <c r="C464" t="str">
        <f t="array" ref="C464">IF(AND(D46:D49="Green"),"In the side barrier test, protection of all critical body areas was good and the car scored maximum points in this part of the assessment.",IF(NOT(OR(D46:D49="Red",D46:D49="Brown",D46:D49="Orange")),"In the side barrier test, protection of all critical body areas was good or adequate.","SIDE BARRIER COMMENTS"))</f>
        <v>SIDE BARRIER COMMENTS</v>
      </c>
    </row>
    <row r="465" spans="2:6" ht="15.75" customHeight="1">
      <c r="B465" s="589" t="s">
        <v>679</v>
      </c>
      <c r="C465" t="str" cm="1">
        <f t="array" ref="C465">IF(AND(D54:D57="Green"),"In the more severe side pole impact, protection of all critical body areas was good and the car scored maximum points in this part of the assessment.",IF(NOT(OR(D54:D57="Red",D54:D57="Brown",D54:D57="Orange")),"In the more severe side pole impact, protection of all critical body areas was good or adequate.","SIDE POLE COMMENTS"))</f>
        <v>SIDE POLE COMMENTS</v>
      </c>
    </row>
    <row r="466" spans="2:6" ht="15.75" customHeight="1">
      <c r="B466" s="589" t="s">
        <v>2430</v>
      </c>
      <c r="C466" t="e">
        <f>CONCATENATE("Control of excursion (the extent to which a body is thrown to the other side of the vehicle when it is hit from the far side) was found to be "&amp;VLOOKUP(C62,I62:J66,2))</f>
        <v>#N/A</v>
      </c>
    </row>
    <row r="467" spans="2:6" ht="15.75" customHeight="1">
      <c r="B467" s="589"/>
      <c r="C467" t="str">
        <f>IF('General Overview'!M33="Standard",CONCATENATE("The "&amp;'General Overview'!C5&amp;" has a counter-measure to mitigate against occupant to occupant injuries in such impacts and this performed well in Euro NCAP's test."),CONCATENATE("The "&amp;'General Overview'!C5&amp;" does not have a counter-measure, such as a centre airbag, to mitigate against occupant to occupant injuries in such impacts."))</f>
        <v>The  does not have a counter-measure, such as a centre airbag, to mitigate against occupant to occupant injuries in such impacts.</v>
      </c>
    </row>
    <row r="468" spans="2:6" ht="15.75" customHeight="1">
      <c r="B468" s="589"/>
    </row>
    <row r="469" spans="2:6">
      <c r="B469" s="589" t="s">
        <v>7</v>
      </c>
      <c r="C469" t="str">
        <f>"Tests on the front seats and head restraints demonstrated "&amp;E78&amp;" protection against whiplash injuries in the event of a rear-end collision.  A geometric analysis of the rear seats "&amp;E80&amp;"indicated "&amp;E79&amp;" whiplash protection."</f>
        <v>Tests on the front seats and head restraints demonstrated poor protection against whiplash injuries in the event of a rear-end collision.  A geometric analysis of the rear seats also indicated poor whiplash protection.</v>
      </c>
    </row>
    <row r="470" spans="2:6">
      <c r="B470" s="589" t="s">
        <v>717</v>
      </c>
      <c r="C470" t="str">
        <f>IF('General Overview'!E35="Standard","  The "&amp;'General Overview'!C5&amp;" has an advanced eCall system which alerts the emergency services in the event of a crash.","eCall??")</f>
        <v>eCall??</v>
      </c>
    </row>
    <row r="471" spans="2:6">
      <c r="C471" t="str">
        <f>IF('General Overview'!E36="Standard","  The car also has a system which applies the brakes after an impact, to avoid secondary collisions.","MCB??")</f>
        <v>MCB??</v>
      </c>
    </row>
    <row r="480" spans="2:6">
      <c r="B480" s="2298" t="e">
        <f>CONCATENATE(C458," ",C459," ",C460," ",C461," ",C462," ",C463," ",C464," ",C465," ",C466," ",C467," ",C469," ",C470," ",C471)</f>
        <v>#N/A</v>
      </c>
      <c r="C480" s="2298"/>
      <c r="D480" s="2298"/>
      <c r="E480" s="2298"/>
      <c r="F480" s="2298"/>
    </row>
    <row r="481" spans="2:6">
      <c r="B481" s="2298"/>
      <c r="C481" s="2298"/>
      <c r="D481" s="2298"/>
      <c r="E481" s="2298"/>
      <c r="F481" s="2298"/>
    </row>
    <row r="482" spans="2:6">
      <c r="B482" s="2298"/>
      <c r="C482" s="2298"/>
      <c r="D482" s="2298"/>
      <c r="E482" s="2298"/>
      <c r="F482" s="2298"/>
    </row>
    <row r="483" spans="2:6">
      <c r="B483" s="2298"/>
      <c r="C483" s="2298"/>
      <c r="D483" s="2298"/>
      <c r="E483" s="2298"/>
      <c r="F483" s="2298"/>
    </row>
    <row r="484" spans="2:6">
      <c r="B484" s="2298"/>
      <c r="C484" s="2298"/>
      <c r="D484" s="2298"/>
      <c r="E484" s="2298"/>
      <c r="F484" s="2298"/>
    </row>
    <row r="485" spans="2:6">
      <c r="B485" s="2298"/>
      <c r="C485" s="2298"/>
      <c r="D485" s="2298"/>
      <c r="E485" s="2298"/>
      <c r="F485" s="2298"/>
    </row>
    <row r="486" spans="2:6">
      <c r="B486" s="2298"/>
      <c r="C486" s="2298"/>
      <c r="D486" s="2298"/>
      <c r="E486" s="2298"/>
      <c r="F486" s="2298"/>
    </row>
    <row r="490" spans="2:6">
      <c r="B490" s="589" t="s">
        <v>2436</v>
      </c>
    </row>
    <row r="491" spans="2:6">
      <c r="B491" s="589" t="s">
        <v>8</v>
      </c>
    </row>
  </sheetData>
  <mergeCells count="3">
    <mergeCell ref="B480:F486"/>
    <mergeCell ref="C225:D225"/>
    <mergeCell ref="E225:F225"/>
  </mergeCells>
  <conditionalFormatting sqref="J125:AF125 C7:F94 Z250:AA289 C251:Y253 C254:I254 K254:Y254 C255:Y284 C99:I122 Z126:AF246 C126:Y224 H227:H228 J227:Y228 I228 H229:Y246 C247:Y247 C226:Y226 C225 E225 G225:Y225 H286:O292 AA290:AA307 Z290:Z308 C285:O285 W285:Y292 Q285:V285 V286:V292 C293:Y307 C308:H308 I309:J309 K308:M308 P308:Y308 N309:O309">
    <cfRule type="expression" dxfId="6" priority="14">
      <formula>_xlfn.ISFORMULA(C7)=TRUE</formula>
    </cfRule>
  </conditionalFormatting>
  <conditionalFormatting sqref="K22:P28">
    <cfRule type="cellIs" dxfId="5" priority="2" stopIfTrue="1" operator="lessThanOrEqual">
      <formula>160</formula>
    </cfRule>
    <cfRule type="cellIs" dxfId="4" priority="7" stopIfTrue="1" operator="lessThanOrEqual">
      <formula>320</formula>
    </cfRule>
    <cfRule type="cellIs" dxfId="3" priority="8" stopIfTrue="1" operator="lessThanOrEqual">
      <formula>480</formula>
    </cfRule>
    <cfRule type="cellIs" dxfId="2" priority="9" stopIfTrue="1" operator="lessThanOrEqual">
      <formula>630</formula>
    </cfRule>
    <cfRule type="cellIs" dxfId="1" priority="10" stopIfTrue="1" operator="greaterThan">
      <formula>630</formula>
    </cfRule>
  </conditionalFormatting>
  <conditionalFormatting sqref="C5">
    <cfRule type="expression" dxfId="0" priority="1">
      <formula>_xlfn.ISFORMULA(C5)=TRUE</formula>
    </cfRule>
  </conditionalFormatting>
  <dataValidations count="2">
    <dataValidation type="list" allowBlank="1" showInputMessage="1" showErrorMessage="1" sqref="G239" xr:uid="{8983F146-6F8A-42FF-A04C-9742171A837B}">
      <formula1>"Sudden opening prevention,Warning,Information"</formula1>
    </dataValidation>
    <dataValidation type="list" allowBlank="1" showInputMessage="1" showErrorMessage="1" sqref="C6" xr:uid="{F376EB3B-351E-464C-9B4F-75C4B7CEA628}">
      <formula1>"Yes,No"</formula1>
    </dataValidation>
  </dataValidations>
  <pageMargins left="0.7" right="0.7" top="0.75" bottom="0.75" header="0.3" footer="0.3"/>
  <pageSetup paperSize="9" orientation="portrait" horizont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B69F391B22B80499A00E4DEFBF5E652" ma:contentTypeVersion="19" ma:contentTypeDescription="Create a new document." ma:contentTypeScope="" ma:versionID="1b4ffdcc1555deef396350c6f5255b9a">
  <xsd:schema xmlns:xsd="http://www.w3.org/2001/XMLSchema" xmlns:xs="http://www.w3.org/2001/XMLSchema" xmlns:p="http://schemas.microsoft.com/office/2006/metadata/properties" xmlns:ns2="4c2bae30-dd35-4efd-9de9-4c884b9f4564" xmlns:ns3="97f1e0a5-694c-4c69-a89e-558e5a385c20" xmlns:ns4="ee778dc3-f09c-458e-8857-afcef2d34b10" targetNamespace="http://schemas.microsoft.com/office/2006/metadata/properties" ma:root="true" ma:fieldsID="589a92b6dcd454ed288efcc49c81df28" ns2:_="" ns3:_="" ns4:_="">
    <xsd:import namespace="4c2bae30-dd35-4efd-9de9-4c884b9f4564"/>
    <xsd:import namespace="97f1e0a5-694c-4c69-a89e-558e5a385c20"/>
    <xsd:import namespace="ee778dc3-f09c-458e-8857-afcef2d34b1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sorting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Versionchanges" minOccurs="0"/>
                <xsd:element ref="ns2:VersionChanges0" minOccurs="0"/>
                <xsd:element ref="ns2:lcf76f155ced4ddcb4097134ff3c332f" minOccurs="0"/>
                <xsd:element ref="ns4:TaxCatchAll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2bae30-dd35-4efd-9de9-4c884b9f45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sorting" ma:index="10" nillable="true" ma:displayName="sorting" ma:internalName="sorting">
      <xsd:simpleType>
        <xsd:restriction base="dms:Number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Versionchanges" ma:index="20" nillable="true" ma:displayName="Version changes" ma:format="Dropdown" ma:internalName="Versionchanges">
      <xsd:simpleType>
        <xsd:restriction base="dms:Note">
          <xsd:maxLength value="255"/>
        </xsd:restriction>
      </xsd:simpleType>
    </xsd:element>
    <xsd:element name="VersionChanges0" ma:index="21" nillable="true" ma:displayName="Version Changes" ma:format="Dropdown" ma:internalName="VersionChanges0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bbf6c9af-4717-4cf7-a1e0-12f9a045727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f1e0a5-694c-4c69-a89e-558e5a385c2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778dc3-f09c-458e-8857-afcef2d34b10" elementFormDefault="qualified">
    <xsd:import namespace="http://schemas.microsoft.com/office/2006/documentManagement/types"/>
    <xsd:import namespace="http://schemas.microsoft.com/office/infopath/2007/PartnerControls"/>
    <xsd:element name="TaxCatchAll" ma:index="24" nillable="true" ma:displayName="Taxonomy Catch All Column" ma:hidden="true" ma:list="{aca87148-928d-4233-bb7c-b30d63666fd4}" ma:internalName="TaxCatchAll" ma:showField="CatchAllData" ma:web="ee778dc3-f09c-458e-8857-afcef2d34b1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97f1e0a5-694c-4c69-a89e-558e5a385c20">
      <UserInfo>
        <DisplayName>Sofie Verheyen</DisplayName>
        <AccountId>311</AccountId>
        <AccountType/>
      </UserInfo>
      <UserInfo>
        <DisplayName>Richard Schram</DisplayName>
        <AccountId>12</AccountId>
        <AccountType/>
      </UserInfo>
      <UserInfo>
        <DisplayName>Adriano Palao</DisplayName>
        <AccountId>1520</AccountId>
        <AccountType/>
      </UserInfo>
      <UserInfo>
        <DisplayName>James Ellway</DisplayName>
        <AccountId>53</AccountId>
        <AccountType/>
      </UserInfo>
    </SharedWithUsers>
    <lcf76f155ced4ddcb4097134ff3c332f xmlns="4c2bae30-dd35-4efd-9de9-4c884b9f4564">
      <Terms xmlns="http://schemas.microsoft.com/office/infopath/2007/PartnerControls"/>
    </lcf76f155ced4ddcb4097134ff3c332f>
    <sorting xmlns="4c2bae30-dd35-4efd-9de9-4c884b9f4564" xsi:nil="true"/>
    <Versionchanges xmlns="4c2bae30-dd35-4efd-9de9-4c884b9f4564" xsi:nil="true"/>
    <VersionChanges0 xmlns="4c2bae30-dd35-4efd-9de9-4c884b9f4564" xsi:nil="true"/>
    <TaxCatchAll xmlns="ee778dc3-f09c-458e-8857-afcef2d34b10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07B6942-86F3-4CAE-A0C8-B3E22C2F465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C5403F8-9412-48B0-BB26-6FFAA996D110}"/>
</file>

<file path=customXml/itemProps3.xml><?xml version="1.0" encoding="utf-8"?>
<ds:datastoreItem xmlns:ds="http://schemas.openxmlformats.org/officeDocument/2006/customXml" ds:itemID="{247919C7-0F7E-41A2-835C-C50CBB97B7A8}">
  <ds:schemaRefs>
    <ds:schemaRef ds:uri="http://purl.org/dc/terms/"/>
    <ds:schemaRef ds:uri="http://schemas.microsoft.com/office/2006/documentManagement/types"/>
    <ds:schemaRef ds:uri="97f1e0a5-694c-4c69-a89e-558e5a385c20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4c2bae30-dd35-4efd-9de9-4c884b9f4564"/>
    <ds:schemaRef ds:uri="ee778dc3-f09c-458e-8857-afcef2d34b10"/>
    <ds:schemaRef ds:uri="http://purl.org/dc/dcmitype/"/>
    <ds:schemaRef ds:uri="http://purl.org/dc/elements/1.1/"/>
    <ds:schemaRef ds:uri="28cfe558-c114-4099-a405-ad15b4ba885e"/>
    <ds:schemaRef ds:uri="2e970091-2bfb-4f10-aa0e-dcbbf5bee039"/>
  </ds:schemaRefs>
</ds:datastoreItem>
</file>

<file path=customXml/itemProps4.xml><?xml version="1.0" encoding="utf-8"?>
<ds:datastoreItem xmlns:ds="http://schemas.openxmlformats.org/officeDocument/2006/customXml" ds:itemID="{F89C7BAB-02C1-4417-8D97-2FEA341434B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41</vt:i4>
      </vt:variant>
    </vt:vector>
  </HeadingPairs>
  <TitlesOfParts>
    <vt:vector size="65" baseType="lpstr">
      <vt:lpstr>General Overview</vt:lpstr>
      <vt:lpstr>OVERALL RATING</vt:lpstr>
      <vt:lpstr>AOP Frontal MPDB</vt:lpstr>
      <vt:lpstr>AOP Frontal FW</vt:lpstr>
      <vt:lpstr>AOP Side MDB</vt:lpstr>
      <vt:lpstr>AOP Side Pole</vt:lpstr>
      <vt:lpstr>AOP Farside</vt:lpstr>
      <vt:lpstr>AOP Whiplash</vt:lpstr>
      <vt:lpstr>AOP Rescue</vt:lpstr>
      <vt:lpstr>COP Dynamic</vt:lpstr>
      <vt:lpstr>COP Vehicle Based</vt:lpstr>
      <vt:lpstr>COP CRS Installation</vt:lpstr>
      <vt:lpstr>COP OEM Information</vt:lpstr>
      <vt:lpstr>VRU Headform</vt:lpstr>
      <vt:lpstr>VRU Upper Legform</vt:lpstr>
      <vt:lpstr>VRU Legform</vt:lpstr>
      <vt:lpstr>VRU AEB Pedestrian</vt:lpstr>
      <vt:lpstr>VRU AEB Bicyclist</vt:lpstr>
      <vt:lpstr>VRU AEB Motorcyclist</vt:lpstr>
      <vt:lpstr>SA OSM</vt:lpstr>
      <vt:lpstr>SA SAS</vt:lpstr>
      <vt:lpstr>SA AEB Car-to-Car</vt:lpstr>
      <vt:lpstr>SA LSS</vt:lpstr>
      <vt:lpstr>Datasheet</vt:lpstr>
      <vt:lpstr>'VRU Headform'!adult</vt:lpstr>
      <vt:lpstr>AutoDoorLockRange</vt:lpstr>
      <vt:lpstr>'VRU Headform'!BRRL</vt:lpstr>
      <vt:lpstr>'VRU Headform'!BRRL_adult</vt:lpstr>
      <vt:lpstr>'VRU Headform'!BRRL_child</vt:lpstr>
      <vt:lpstr>CBFA50Brown</vt:lpstr>
      <vt:lpstr>CBFA50Green</vt:lpstr>
      <vt:lpstr>CBFA50Orange</vt:lpstr>
      <vt:lpstr>CBFA50Red</vt:lpstr>
      <vt:lpstr>CBFA50Yellow</vt:lpstr>
      <vt:lpstr>'VRU Headform'!child</vt:lpstr>
      <vt:lpstr>CPFA50Brown</vt:lpstr>
      <vt:lpstr>CPFA50Green</vt:lpstr>
      <vt:lpstr>CPFA50Orange</vt:lpstr>
      <vt:lpstr>CPFA50Red</vt:lpstr>
      <vt:lpstr>CPFA50Yellow</vt:lpstr>
      <vt:lpstr>CPLA50Brown</vt:lpstr>
      <vt:lpstr>CPLA50Green</vt:lpstr>
      <vt:lpstr>CPLA50Orange</vt:lpstr>
      <vt:lpstr>CPLA50Red</vt:lpstr>
      <vt:lpstr>CPLA50Yellow</vt:lpstr>
      <vt:lpstr>'VRU Headform'!cyclist</vt:lpstr>
      <vt:lpstr>Dec_Sep</vt:lpstr>
      <vt:lpstr>DoorForcesRange</vt:lpstr>
      <vt:lpstr>FrontBeltUnlatchingRange</vt:lpstr>
      <vt:lpstr>FWRB_Capping</vt:lpstr>
      <vt:lpstr>MPDB_Capping</vt:lpstr>
      <vt:lpstr>NoOEMFarSideData</vt:lpstr>
      <vt:lpstr>Pass_1</vt:lpstr>
      <vt:lpstr>Pass_2</vt:lpstr>
      <vt:lpstr>Pass_3</vt:lpstr>
      <vt:lpstr>Pass_4</vt:lpstr>
      <vt:lpstr>Pass_5</vt:lpstr>
      <vt:lpstr>Pass_6</vt:lpstr>
      <vt:lpstr>POLE_Capping</vt:lpstr>
      <vt:lpstr>RetractHandlesRange</vt:lpstr>
      <vt:lpstr>Round</vt:lpstr>
      <vt:lpstr>SIDE_MDB_Capping</vt:lpstr>
      <vt:lpstr>SideBeltUnlatchingRange</vt:lpstr>
      <vt:lpstr>version</vt:lpstr>
      <vt:lpstr>VRU_Capping</vt:lpstr>
    </vt:vector>
  </TitlesOfParts>
  <Company>Euro NCAP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Euro NCAP Spreadsheet 2023 v1.0</dc:title>
  <dc:creator>Euro NCAP</dc:creator>
  <cp:lastModifiedBy>Aled Williams</cp:lastModifiedBy>
  <cp:lastPrinted>2022-12-21T14:51:57Z</cp:lastPrinted>
  <dcterms:created xsi:type="dcterms:W3CDTF">2000-07-21T08:56:37Z</dcterms:created>
  <dcterms:modified xsi:type="dcterms:W3CDTF">2023-07-12T10:08:24Z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0x0101006B69F391B22B80499A00E4DEFBF5E652</vt:lpwstr>
  </property>
  <property fmtid="{D5CDD505-2E9C-101B-9397-08002B2CF9AE}" pid="3" name="IsMyDocuments">
    <vt:bool>true</vt:bool>
  </property>
  <property fmtid="{D5CDD505-2E9C-101B-9397-08002B2CF9AE}" pid="4" name="Category">
    <vt:lpwstr>11;#General|69d68ca3-8bd3-4921-ae8b-add180e9cf03</vt:lpwstr>
  </property>
  <property fmtid="{D5CDD505-2E9C-101B-9397-08002B2CF9AE}" pid="5" name="odfe3c6e925f45dfafc887e492f68296">
    <vt:lpwstr>General|69d68ca3-8bd3-4921-ae8b-add180e9cf03</vt:lpwstr>
  </property>
  <property fmtid="{D5CDD505-2E9C-101B-9397-08002B2CF9AE}" pid="6" name="AuthorIds_UIVersion_1024">
    <vt:lpwstr>12</vt:lpwstr>
  </property>
  <property fmtid="{D5CDD505-2E9C-101B-9397-08002B2CF9AE}" pid="7" name="MediaServiceImageTags">
    <vt:lpwstr/>
  </property>
</Properties>
</file>