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u\Documents\projects\#diotappet\logs\ict-HP-EliteDesk-800-1\ipv6 d 10 r 100 l 8 m 9 g 1 G 1 c 1 C 1 simple\"/>
    </mc:Choice>
  </mc:AlternateContent>
  <xr:revisionPtr revIDLastSave="0" documentId="13_ncr:1_{5AC8E369-0CCD-475D-B0FA-18249A4B2435}" xr6:coauthVersionLast="47" xr6:coauthVersionMax="47" xr10:uidLastSave="{00000000-0000-0000-0000-000000000000}"/>
  <bookViews>
    <workbookView xWindow="17100" yWindow="2370" windowWidth="21600" windowHeight="11220" activeTab="1" xr2:uid="{00000000-000D-0000-FFFF-FFFF00000000}"/>
  </bookViews>
  <sheets>
    <sheet name="running-stats-xls" sheetId="1" r:id="rId1"/>
    <sheet name="summary" sheetId="2" r:id="rId2"/>
  </sheets>
  <definedNames>
    <definedName name="_xlnm._FilterDatabase" localSheetId="0" hidden="1">'running-stats-xls'!$A$1:$L$191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1" i="1" l="1"/>
  <c r="J191" i="1"/>
  <c r="I191" i="1"/>
  <c r="H191" i="1"/>
  <c r="G191" i="1"/>
  <c r="F191" i="1"/>
  <c r="E191" i="1"/>
  <c r="D191" i="1"/>
  <c r="K190" i="1"/>
  <c r="J190" i="1"/>
  <c r="I190" i="1"/>
  <c r="H190" i="1"/>
  <c r="G190" i="1"/>
  <c r="F190" i="1"/>
  <c r="E190" i="1"/>
  <c r="D190" i="1"/>
  <c r="K189" i="1"/>
  <c r="J189" i="1"/>
  <c r="I189" i="1"/>
  <c r="H189" i="1"/>
  <c r="G189" i="1"/>
  <c r="F189" i="1"/>
  <c r="E189" i="1"/>
  <c r="D189" i="1"/>
  <c r="K188" i="1"/>
  <c r="J188" i="1"/>
  <c r="I188" i="1"/>
  <c r="H188" i="1"/>
  <c r="G188" i="1"/>
  <c r="F188" i="1"/>
  <c r="E188" i="1"/>
  <c r="D188" i="1"/>
  <c r="K187" i="1"/>
  <c r="J187" i="1"/>
  <c r="I187" i="1"/>
  <c r="H187" i="1"/>
  <c r="G187" i="1"/>
  <c r="F187" i="1"/>
  <c r="E187" i="1"/>
  <c r="D187" i="1"/>
  <c r="K186" i="1"/>
  <c r="J186" i="1"/>
  <c r="I186" i="1"/>
  <c r="H186" i="1"/>
  <c r="G186" i="1"/>
  <c r="F186" i="1"/>
  <c r="E186" i="1"/>
  <c r="D186" i="1"/>
  <c r="K185" i="1"/>
  <c r="J185" i="1"/>
  <c r="I185" i="1"/>
  <c r="H185" i="1"/>
  <c r="G185" i="1"/>
  <c r="F185" i="1"/>
  <c r="E185" i="1"/>
  <c r="D185" i="1"/>
  <c r="K184" i="1"/>
  <c r="J184" i="1"/>
  <c r="I184" i="1"/>
  <c r="H184" i="1"/>
  <c r="G184" i="1"/>
  <c r="F184" i="1"/>
  <c r="E184" i="1"/>
  <c r="D184" i="1"/>
  <c r="K183" i="1"/>
  <c r="J183" i="1"/>
  <c r="I183" i="1"/>
  <c r="H183" i="1"/>
  <c r="G183" i="1"/>
  <c r="F183" i="1"/>
  <c r="E183" i="1"/>
  <c r="D183" i="1"/>
  <c r="K182" i="1"/>
  <c r="J182" i="1"/>
  <c r="I182" i="1"/>
  <c r="H182" i="1"/>
  <c r="G182" i="1"/>
  <c r="F182" i="1"/>
  <c r="E182" i="1"/>
  <c r="D182" i="1"/>
  <c r="K181" i="1"/>
  <c r="J181" i="1"/>
  <c r="I181" i="1"/>
  <c r="H181" i="1"/>
  <c r="G181" i="1"/>
  <c r="F181" i="1"/>
  <c r="E181" i="1"/>
  <c r="D181" i="1"/>
  <c r="K180" i="1"/>
  <c r="J180" i="1"/>
  <c r="I180" i="1"/>
  <c r="H180" i="1"/>
  <c r="G180" i="1"/>
  <c r="F180" i="1"/>
  <c r="E180" i="1"/>
  <c r="D180" i="1"/>
  <c r="K179" i="1"/>
  <c r="J179" i="1"/>
  <c r="I179" i="1"/>
  <c r="H179" i="1"/>
  <c r="G179" i="1"/>
  <c r="F179" i="1"/>
  <c r="E179" i="1"/>
  <c r="D179" i="1"/>
  <c r="K178" i="1"/>
  <c r="J178" i="1"/>
  <c r="I178" i="1"/>
  <c r="H178" i="1"/>
  <c r="G178" i="1"/>
  <c r="F178" i="1"/>
  <c r="E178" i="1"/>
  <c r="D178" i="1"/>
  <c r="K177" i="1"/>
  <c r="J177" i="1"/>
  <c r="I177" i="1"/>
  <c r="H177" i="1"/>
  <c r="G177" i="1"/>
  <c r="F177" i="1"/>
  <c r="E177" i="1"/>
  <c r="D177" i="1"/>
  <c r="K176" i="1"/>
  <c r="J176" i="1"/>
  <c r="I176" i="1"/>
  <c r="H176" i="1"/>
  <c r="G176" i="1"/>
  <c r="F176" i="1"/>
  <c r="E176" i="1"/>
  <c r="D176" i="1"/>
  <c r="K175" i="1"/>
  <c r="J175" i="1"/>
  <c r="I175" i="1"/>
  <c r="H175" i="1"/>
  <c r="G175" i="1"/>
  <c r="F175" i="1"/>
  <c r="E175" i="1"/>
  <c r="D175" i="1"/>
  <c r="K174" i="1"/>
  <c r="J174" i="1"/>
  <c r="I174" i="1"/>
  <c r="H174" i="1"/>
  <c r="G174" i="1"/>
  <c r="F174" i="1"/>
  <c r="E174" i="1"/>
  <c r="D174" i="1"/>
  <c r="K173" i="1"/>
  <c r="J173" i="1"/>
  <c r="I173" i="1"/>
  <c r="H173" i="1"/>
  <c r="G173" i="1"/>
  <c r="F173" i="1"/>
  <c r="E173" i="1"/>
  <c r="D173" i="1"/>
  <c r="K172" i="1"/>
  <c r="J172" i="1"/>
  <c r="I172" i="1"/>
  <c r="H172" i="1"/>
  <c r="G172" i="1"/>
  <c r="F172" i="1"/>
  <c r="E172" i="1"/>
  <c r="D172" i="1"/>
  <c r="K171" i="1"/>
  <c r="J171" i="1"/>
  <c r="I171" i="1"/>
  <c r="H171" i="1"/>
  <c r="G171" i="1"/>
  <c r="F171" i="1"/>
  <c r="E171" i="1"/>
  <c r="D171" i="1"/>
  <c r="K170" i="1"/>
  <c r="J170" i="1"/>
  <c r="I170" i="1"/>
  <c r="H170" i="1"/>
  <c r="G170" i="1"/>
  <c r="F170" i="1"/>
  <c r="E170" i="1"/>
  <c r="D170" i="1"/>
  <c r="K169" i="1"/>
  <c r="J169" i="1"/>
  <c r="I169" i="1"/>
  <c r="H169" i="1"/>
  <c r="G169" i="1"/>
  <c r="F169" i="1"/>
  <c r="E169" i="1"/>
  <c r="D169" i="1"/>
  <c r="K168" i="1"/>
  <c r="J168" i="1"/>
  <c r="I168" i="1"/>
  <c r="H168" i="1"/>
  <c r="G168" i="1"/>
  <c r="F168" i="1"/>
  <c r="E168" i="1"/>
  <c r="D168" i="1"/>
  <c r="K167" i="1"/>
  <c r="J167" i="1"/>
  <c r="I167" i="1"/>
  <c r="H167" i="1"/>
  <c r="G167" i="1"/>
  <c r="F167" i="1"/>
  <c r="E167" i="1"/>
  <c r="D167" i="1"/>
  <c r="K166" i="1"/>
  <c r="J166" i="1"/>
  <c r="I166" i="1"/>
  <c r="H166" i="1"/>
  <c r="G166" i="1"/>
  <c r="F166" i="1"/>
  <c r="E166" i="1"/>
  <c r="D166" i="1"/>
  <c r="K165" i="1"/>
  <c r="J165" i="1"/>
  <c r="I165" i="1"/>
  <c r="H165" i="1"/>
  <c r="G165" i="1"/>
  <c r="F165" i="1"/>
  <c r="E165" i="1"/>
  <c r="D165" i="1"/>
  <c r="K164" i="1"/>
  <c r="J164" i="1"/>
  <c r="I164" i="1"/>
  <c r="H164" i="1"/>
  <c r="G164" i="1"/>
  <c r="F164" i="1"/>
  <c r="E164" i="1"/>
  <c r="D164" i="1"/>
  <c r="K163" i="1"/>
  <c r="J163" i="1"/>
  <c r="I163" i="1"/>
  <c r="H163" i="1"/>
  <c r="G163" i="1"/>
  <c r="F163" i="1"/>
  <c r="E163" i="1"/>
  <c r="D163" i="1"/>
  <c r="K162" i="1"/>
  <c r="J162" i="1"/>
  <c r="I162" i="1"/>
  <c r="H162" i="1"/>
  <c r="G162" i="1"/>
  <c r="F162" i="1"/>
  <c r="E162" i="1"/>
  <c r="D162" i="1"/>
  <c r="K161" i="1"/>
  <c r="J161" i="1"/>
  <c r="I161" i="1"/>
  <c r="H161" i="1"/>
  <c r="G161" i="1"/>
  <c r="F161" i="1"/>
  <c r="E161" i="1"/>
  <c r="D161" i="1"/>
  <c r="K160" i="1"/>
  <c r="J160" i="1"/>
  <c r="I160" i="1"/>
  <c r="H160" i="1"/>
  <c r="G160" i="1"/>
  <c r="F160" i="1"/>
  <c r="E160" i="1"/>
  <c r="D160" i="1"/>
  <c r="K159" i="1"/>
  <c r="J159" i="1"/>
  <c r="I159" i="1"/>
  <c r="H159" i="1"/>
  <c r="G159" i="1"/>
  <c r="F159" i="1"/>
  <c r="E159" i="1"/>
  <c r="D159" i="1"/>
  <c r="K158" i="1"/>
  <c r="J158" i="1"/>
  <c r="I158" i="1"/>
  <c r="H158" i="1"/>
  <c r="G158" i="1"/>
  <c r="F158" i="1"/>
  <c r="E158" i="1"/>
  <c r="D158" i="1"/>
  <c r="K157" i="1"/>
  <c r="J157" i="1"/>
  <c r="I157" i="1"/>
  <c r="H157" i="1"/>
  <c r="G157" i="1"/>
  <c r="F157" i="1"/>
  <c r="E157" i="1"/>
  <c r="D157" i="1"/>
  <c r="K156" i="1"/>
  <c r="J156" i="1"/>
  <c r="I156" i="1"/>
  <c r="H156" i="1"/>
  <c r="G156" i="1"/>
  <c r="F156" i="1"/>
  <c r="E156" i="1"/>
  <c r="D156" i="1"/>
  <c r="K155" i="1"/>
  <c r="J155" i="1"/>
  <c r="I155" i="1"/>
  <c r="H155" i="1"/>
  <c r="G155" i="1"/>
  <c r="F155" i="1"/>
  <c r="E155" i="1"/>
  <c r="D155" i="1"/>
  <c r="K154" i="1"/>
  <c r="J154" i="1"/>
  <c r="I154" i="1"/>
  <c r="H154" i="1"/>
  <c r="G154" i="1"/>
  <c r="F154" i="1"/>
  <c r="E154" i="1"/>
  <c r="D154" i="1"/>
  <c r="K153" i="1"/>
  <c r="J153" i="1"/>
  <c r="I153" i="1"/>
  <c r="H153" i="1"/>
  <c r="G153" i="1"/>
  <c r="F153" i="1"/>
  <c r="E153" i="1"/>
  <c r="D153" i="1"/>
  <c r="K152" i="1"/>
  <c r="J152" i="1"/>
  <c r="I152" i="1"/>
  <c r="H152" i="1"/>
  <c r="G152" i="1"/>
  <c r="F152" i="1"/>
  <c r="E152" i="1"/>
  <c r="D152" i="1"/>
  <c r="K151" i="1"/>
  <c r="J151" i="1"/>
  <c r="I151" i="1"/>
  <c r="H151" i="1"/>
  <c r="G151" i="1"/>
  <c r="F151" i="1"/>
  <c r="E151" i="1"/>
  <c r="D151" i="1"/>
  <c r="K150" i="1"/>
  <c r="J150" i="1"/>
  <c r="I150" i="1"/>
  <c r="H150" i="1"/>
  <c r="G150" i="1"/>
  <c r="F150" i="1"/>
  <c r="E150" i="1"/>
  <c r="D150" i="1"/>
  <c r="K149" i="1"/>
  <c r="J149" i="1"/>
  <c r="I149" i="1"/>
  <c r="H149" i="1"/>
  <c r="G149" i="1"/>
  <c r="F149" i="1"/>
  <c r="E149" i="1"/>
  <c r="D149" i="1"/>
  <c r="K148" i="1"/>
  <c r="J148" i="1"/>
  <c r="I148" i="1"/>
  <c r="H148" i="1"/>
  <c r="G148" i="1"/>
  <c r="F148" i="1"/>
  <c r="E148" i="1"/>
  <c r="D148" i="1"/>
  <c r="K147" i="1"/>
  <c r="J147" i="1"/>
  <c r="I147" i="1"/>
  <c r="H147" i="1"/>
  <c r="G147" i="1"/>
  <c r="F147" i="1"/>
  <c r="E147" i="1"/>
  <c r="D147" i="1"/>
  <c r="K146" i="1"/>
  <c r="J146" i="1"/>
  <c r="I146" i="1"/>
  <c r="H146" i="1"/>
  <c r="G146" i="1"/>
  <c r="F146" i="1"/>
  <c r="E146" i="1"/>
  <c r="D146" i="1"/>
  <c r="K145" i="1"/>
  <c r="J145" i="1"/>
  <c r="I145" i="1"/>
  <c r="H145" i="1"/>
  <c r="G145" i="1"/>
  <c r="F145" i="1"/>
  <c r="E145" i="1"/>
  <c r="D145" i="1"/>
  <c r="K144" i="1"/>
  <c r="J144" i="1"/>
  <c r="I144" i="1"/>
  <c r="H144" i="1"/>
  <c r="G144" i="1"/>
  <c r="F144" i="1"/>
  <c r="E144" i="1"/>
  <c r="D144" i="1"/>
  <c r="K143" i="1"/>
  <c r="J143" i="1"/>
  <c r="I143" i="1"/>
  <c r="H143" i="1"/>
  <c r="G143" i="1"/>
  <c r="F143" i="1"/>
  <c r="E143" i="1"/>
  <c r="D143" i="1"/>
  <c r="K142" i="1"/>
  <c r="J142" i="1"/>
  <c r="I142" i="1"/>
  <c r="H142" i="1"/>
  <c r="G142" i="1"/>
  <c r="F142" i="1"/>
  <c r="E142" i="1"/>
  <c r="D142" i="1"/>
  <c r="K141" i="1"/>
  <c r="J141" i="1"/>
  <c r="I141" i="1"/>
  <c r="H141" i="1"/>
  <c r="G141" i="1"/>
  <c r="F141" i="1"/>
  <c r="E141" i="1"/>
  <c r="D141" i="1"/>
  <c r="K140" i="1"/>
  <c r="J140" i="1"/>
  <c r="I140" i="1"/>
  <c r="H140" i="1"/>
  <c r="G140" i="1"/>
  <c r="F140" i="1"/>
  <c r="E140" i="1"/>
  <c r="D140" i="1"/>
  <c r="K139" i="1"/>
  <c r="J139" i="1"/>
  <c r="I139" i="1"/>
  <c r="H139" i="1"/>
  <c r="G139" i="1"/>
  <c r="F139" i="1"/>
  <c r="E139" i="1"/>
  <c r="D139" i="1"/>
  <c r="K138" i="1"/>
  <c r="J138" i="1"/>
  <c r="I138" i="1"/>
  <c r="H138" i="1"/>
  <c r="G138" i="1"/>
  <c r="F138" i="1"/>
  <c r="E138" i="1"/>
  <c r="D138" i="1"/>
  <c r="K137" i="1"/>
  <c r="J137" i="1"/>
  <c r="I137" i="1"/>
  <c r="H137" i="1"/>
  <c r="G137" i="1"/>
  <c r="F137" i="1"/>
  <c r="E137" i="1"/>
  <c r="D137" i="1"/>
  <c r="K136" i="1"/>
  <c r="J136" i="1"/>
  <c r="I136" i="1"/>
  <c r="H136" i="1"/>
  <c r="G136" i="1"/>
  <c r="F136" i="1"/>
  <c r="E136" i="1"/>
  <c r="D136" i="1"/>
  <c r="K135" i="1"/>
  <c r="J135" i="1"/>
  <c r="I135" i="1"/>
  <c r="H135" i="1"/>
  <c r="G135" i="1"/>
  <c r="F135" i="1"/>
  <c r="E135" i="1"/>
  <c r="D135" i="1"/>
  <c r="K134" i="1"/>
  <c r="J134" i="1"/>
  <c r="I134" i="1"/>
  <c r="H134" i="1"/>
  <c r="G134" i="1"/>
  <c r="F134" i="1"/>
  <c r="E134" i="1"/>
  <c r="D134" i="1"/>
  <c r="K133" i="1"/>
  <c r="J133" i="1"/>
  <c r="I133" i="1"/>
  <c r="H133" i="1"/>
  <c r="G133" i="1"/>
  <c r="F133" i="1"/>
  <c r="E133" i="1"/>
  <c r="D133" i="1"/>
  <c r="K132" i="1"/>
  <c r="J132" i="1"/>
  <c r="I132" i="1"/>
  <c r="H132" i="1"/>
  <c r="G132" i="1"/>
  <c r="F132" i="1"/>
  <c r="E132" i="1"/>
  <c r="D132" i="1"/>
  <c r="K131" i="1"/>
  <c r="J131" i="1"/>
  <c r="I131" i="1"/>
  <c r="H131" i="1"/>
  <c r="G131" i="1"/>
  <c r="F131" i="1"/>
  <c r="E131" i="1"/>
  <c r="D131" i="1"/>
  <c r="K130" i="1"/>
  <c r="J130" i="1"/>
  <c r="I130" i="1"/>
  <c r="H130" i="1"/>
  <c r="G130" i="1"/>
  <c r="F130" i="1"/>
  <c r="E130" i="1"/>
  <c r="D130" i="1"/>
  <c r="K129" i="1"/>
  <c r="J129" i="1"/>
  <c r="I129" i="1"/>
  <c r="H129" i="1"/>
  <c r="G129" i="1"/>
  <c r="F129" i="1"/>
  <c r="E129" i="1"/>
  <c r="D129" i="1"/>
  <c r="K128" i="1"/>
  <c r="J128" i="1"/>
  <c r="I128" i="1"/>
  <c r="H128" i="1"/>
  <c r="G128" i="1"/>
  <c r="F128" i="1"/>
  <c r="E128" i="1"/>
  <c r="D128" i="1"/>
  <c r="K127" i="1"/>
  <c r="J127" i="1"/>
  <c r="I127" i="1"/>
  <c r="H127" i="1"/>
  <c r="G127" i="1"/>
  <c r="F127" i="1"/>
  <c r="E127" i="1"/>
  <c r="D127" i="1"/>
  <c r="K126" i="1"/>
  <c r="J126" i="1"/>
  <c r="I126" i="1"/>
  <c r="H126" i="1"/>
  <c r="G126" i="1"/>
  <c r="F126" i="1"/>
  <c r="E126" i="1"/>
  <c r="D126" i="1"/>
  <c r="K125" i="1"/>
  <c r="J125" i="1"/>
  <c r="I125" i="1"/>
  <c r="H125" i="1"/>
  <c r="G125" i="1"/>
  <c r="F125" i="1"/>
  <c r="E125" i="1"/>
  <c r="D125" i="1"/>
  <c r="K124" i="1"/>
  <c r="J124" i="1"/>
  <c r="I124" i="1"/>
  <c r="H124" i="1"/>
  <c r="G124" i="1"/>
  <c r="F124" i="1"/>
  <c r="E124" i="1"/>
  <c r="D124" i="1"/>
  <c r="K123" i="1"/>
  <c r="J123" i="1"/>
  <c r="I123" i="1"/>
  <c r="H123" i="1"/>
  <c r="G123" i="1"/>
  <c r="F123" i="1"/>
  <c r="E123" i="1"/>
  <c r="D123" i="1"/>
  <c r="K122" i="1"/>
  <c r="J122" i="1"/>
  <c r="I122" i="1"/>
  <c r="H122" i="1"/>
  <c r="G122" i="1"/>
  <c r="F122" i="1"/>
  <c r="E122" i="1"/>
  <c r="D122" i="1"/>
  <c r="K121" i="1"/>
  <c r="J121" i="1"/>
  <c r="I121" i="1"/>
  <c r="H121" i="1"/>
  <c r="G121" i="1"/>
  <c r="F121" i="1"/>
  <c r="E121" i="1"/>
  <c r="D121" i="1"/>
  <c r="K120" i="1"/>
  <c r="J120" i="1"/>
  <c r="I120" i="1"/>
  <c r="H120" i="1"/>
  <c r="G120" i="1"/>
  <c r="F120" i="1"/>
  <c r="E120" i="1"/>
  <c r="D120" i="1"/>
  <c r="K119" i="1"/>
  <c r="J119" i="1"/>
  <c r="I119" i="1"/>
  <c r="H119" i="1"/>
  <c r="G119" i="1"/>
  <c r="F119" i="1"/>
  <c r="E119" i="1"/>
  <c r="D119" i="1"/>
  <c r="K118" i="1"/>
  <c r="J118" i="1"/>
  <c r="I118" i="1"/>
  <c r="H118" i="1"/>
  <c r="G118" i="1"/>
  <c r="F118" i="1"/>
  <c r="E118" i="1"/>
  <c r="D118" i="1"/>
  <c r="K117" i="1"/>
  <c r="J117" i="1"/>
  <c r="I117" i="1"/>
  <c r="H117" i="1"/>
  <c r="G117" i="1"/>
  <c r="F117" i="1"/>
  <c r="E117" i="1"/>
  <c r="D117" i="1"/>
  <c r="K116" i="1"/>
  <c r="J116" i="1"/>
  <c r="I116" i="1"/>
  <c r="H116" i="1"/>
  <c r="G116" i="1"/>
  <c r="F116" i="1"/>
  <c r="E116" i="1"/>
  <c r="D116" i="1"/>
  <c r="K115" i="1"/>
  <c r="J115" i="1"/>
  <c r="I115" i="1"/>
  <c r="H115" i="1"/>
  <c r="G115" i="1"/>
  <c r="F115" i="1"/>
  <c r="E115" i="1"/>
  <c r="D115" i="1"/>
  <c r="K114" i="1"/>
  <c r="J114" i="1"/>
  <c r="I114" i="1"/>
  <c r="H114" i="1"/>
  <c r="G114" i="1"/>
  <c r="F114" i="1"/>
  <c r="E114" i="1"/>
  <c r="D114" i="1"/>
  <c r="K113" i="1"/>
  <c r="J113" i="1"/>
  <c r="I113" i="1"/>
  <c r="H113" i="1"/>
  <c r="G113" i="1"/>
  <c r="F113" i="1"/>
  <c r="E113" i="1"/>
  <c r="D113" i="1"/>
  <c r="K112" i="1"/>
  <c r="J112" i="1"/>
  <c r="I112" i="1"/>
  <c r="H112" i="1"/>
  <c r="G112" i="1"/>
  <c r="F112" i="1"/>
  <c r="E112" i="1"/>
  <c r="D112" i="1"/>
  <c r="K111" i="1"/>
  <c r="J111" i="1"/>
  <c r="I111" i="1"/>
  <c r="H111" i="1"/>
  <c r="G111" i="1"/>
  <c r="F111" i="1"/>
  <c r="E111" i="1"/>
  <c r="D111" i="1"/>
  <c r="K110" i="1"/>
  <c r="J110" i="1"/>
  <c r="I110" i="1"/>
  <c r="H110" i="1"/>
  <c r="G110" i="1"/>
  <c r="F110" i="1"/>
  <c r="E110" i="1"/>
  <c r="D110" i="1"/>
  <c r="K109" i="1"/>
  <c r="J109" i="1"/>
  <c r="I109" i="1"/>
  <c r="H109" i="1"/>
  <c r="G109" i="1"/>
  <c r="F109" i="1"/>
  <c r="E109" i="1"/>
  <c r="D109" i="1"/>
  <c r="K108" i="1"/>
  <c r="J108" i="1"/>
  <c r="I108" i="1"/>
  <c r="H108" i="1"/>
  <c r="G108" i="1"/>
  <c r="F108" i="1"/>
  <c r="E108" i="1"/>
  <c r="D108" i="1"/>
  <c r="K107" i="1"/>
  <c r="J107" i="1"/>
  <c r="I107" i="1"/>
  <c r="H107" i="1"/>
  <c r="G107" i="1"/>
  <c r="F107" i="1"/>
  <c r="E107" i="1"/>
  <c r="D107" i="1"/>
  <c r="K106" i="1"/>
  <c r="J106" i="1"/>
  <c r="I106" i="1"/>
  <c r="H106" i="1"/>
  <c r="G106" i="1"/>
  <c r="F106" i="1"/>
  <c r="E106" i="1"/>
  <c r="D106" i="1"/>
  <c r="K105" i="1"/>
  <c r="J105" i="1"/>
  <c r="I105" i="1"/>
  <c r="H105" i="1"/>
  <c r="G105" i="1"/>
  <c r="F105" i="1"/>
  <c r="E105" i="1"/>
  <c r="D105" i="1"/>
  <c r="K104" i="1"/>
  <c r="J104" i="1"/>
  <c r="I104" i="1"/>
  <c r="H104" i="1"/>
  <c r="G104" i="1"/>
  <c r="F104" i="1"/>
  <c r="E104" i="1"/>
  <c r="D104" i="1"/>
  <c r="K103" i="1"/>
  <c r="J103" i="1"/>
  <c r="I103" i="1"/>
  <c r="H103" i="1"/>
  <c r="G103" i="1"/>
  <c r="F103" i="1"/>
  <c r="E103" i="1"/>
  <c r="D103" i="1"/>
  <c r="K102" i="1"/>
  <c r="J102" i="1"/>
  <c r="I102" i="1"/>
  <c r="H102" i="1"/>
  <c r="G102" i="1"/>
  <c r="F102" i="1"/>
  <c r="E102" i="1"/>
  <c r="D102" i="1"/>
  <c r="K101" i="1"/>
  <c r="J101" i="1"/>
  <c r="I101" i="1"/>
  <c r="H101" i="1"/>
  <c r="G101" i="1"/>
  <c r="F101" i="1"/>
  <c r="E101" i="1"/>
  <c r="D101" i="1"/>
  <c r="K100" i="1"/>
  <c r="J100" i="1"/>
  <c r="I100" i="1"/>
  <c r="H100" i="1"/>
  <c r="G100" i="1"/>
  <c r="F100" i="1"/>
  <c r="E100" i="1"/>
  <c r="D100" i="1"/>
  <c r="K99" i="1"/>
  <c r="J99" i="1"/>
  <c r="I99" i="1"/>
  <c r="H99" i="1"/>
  <c r="G99" i="1"/>
  <c r="F99" i="1"/>
  <c r="E99" i="1"/>
  <c r="D99" i="1"/>
  <c r="K98" i="1"/>
  <c r="J98" i="1"/>
  <c r="I98" i="1"/>
  <c r="H98" i="1"/>
  <c r="G98" i="1"/>
  <c r="F98" i="1"/>
  <c r="E98" i="1"/>
  <c r="D98" i="1"/>
  <c r="K97" i="1"/>
  <c r="J97" i="1"/>
  <c r="I97" i="1"/>
  <c r="H97" i="1"/>
  <c r="G97" i="1"/>
  <c r="F97" i="1"/>
  <c r="E97" i="1"/>
  <c r="D97" i="1"/>
  <c r="K96" i="1"/>
  <c r="J96" i="1"/>
  <c r="I96" i="1"/>
  <c r="H96" i="1"/>
  <c r="G96" i="1"/>
  <c r="F96" i="1"/>
  <c r="E96" i="1"/>
  <c r="D96" i="1"/>
  <c r="K95" i="1"/>
  <c r="J95" i="1"/>
  <c r="I95" i="1"/>
  <c r="H95" i="1"/>
  <c r="G95" i="1"/>
  <c r="F95" i="1"/>
  <c r="E95" i="1"/>
  <c r="D95" i="1"/>
  <c r="K94" i="1"/>
  <c r="J94" i="1"/>
  <c r="I94" i="1"/>
  <c r="H94" i="1"/>
  <c r="G94" i="1"/>
  <c r="F94" i="1"/>
  <c r="E94" i="1"/>
  <c r="D94" i="1"/>
  <c r="K93" i="1"/>
  <c r="J93" i="1"/>
  <c r="I93" i="1"/>
  <c r="H93" i="1"/>
  <c r="G93" i="1"/>
  <c r="F93" i="1"/>
  <c r="E93" i="1"/>
  <c r="D93" i="1"/>
  <c r="K92" i="1"/>
  <c r="J92" i="1"/>
  <c r="I92" i="1"/>
  <c r="H92" i="1"/>
  <c r="G92" i="1"/>
  <c r="F92" i="1"/>
  <c r="E92" i="1"/>
  <c r="D92" i="1"/>
  <c r="K91" i="1"/>
  <c r="J91" i="1"/>
  <c r="I91" i="1"/>
  <c r="H91" i="1"/>
  <c r="G91" i="1"/>
  <c r="F91" i="1"/>
  <c r="E91" i="1"/>
  <c r="D91" i="1"/>
  <c r="K90" i="1"/>
  <c r="J90" i="1"/>
  <c r="I90" i="1"/>
  <c r="H90" i="1"/>
  <c r="G90" i="1"/>
  <c r="F90" i="1"/>
  <c r="E90" i="1"/>
  <c r="D90" i="1"/>
  <c r="K89" i="1"/>
  <c r="J89" i="1"/>
  <c r="I89" i="1"/>
  <c r="H89" i="1"/>
  <c r="G89" i="1"/>
  <c r="F89" i="1"/>
  <c r="E89" i="1"/>
  <c r="D89" i="1"/>
  <c r="K88" i="1"/>
  <c r="J88" i="1"/>
  <c r="I88" i="1"/>
  <c r="H88" i="1"/>
  <c r="G88" i="1"/>
  <c r="F88" i="1"/>
  <c r="E88" i="1"/>
  <c r="D88" i="1"/>
  <c r="K87" i="1"/>
  <c r="J87" i="1"/>
  <c r="I87" i="1"/>
  <c r="H87" i="1"/>
  <c r="G87" i="1"/>
  <c r="F87" i="1"/>
  <c r="E87" i="1"/>
  <c r="D87" i="1"/>
  <c r="K86" i="1"/>
  <c r="J86" i="1"/>
  <c r="I86" i="1"/>
  <c r="H86" i="1"/>
  <c r="G86" i="1"/>
  <c r="F86" i="1"/>
  <c r="E86" i="1"/>
  <c r="D86" i="1"/>
  <c r="K85" i="1"/>
  <c r="J85" i="1"/>
  <c r="I85" i="1"/>
  <c r="H85" i="1"/>
  <c r="G85" i="1"/>
  <c r="F85" i="1"/>
  <c r="E85" i="1"/>
  <c r="D85" i="1"/>
  <c r="K84" i="1"/>
  <c r="J84" i="1"/>
  <c r="I84" i="1"/>
  <c r="H84" i="1"/>
  <c r="G84" i="1"/>
  <c r="F84" i="1"/>
  <c r="E84" i="1"/>
  <c r="D84" i="1"/>
  <c r="K83" i="1"/>
  <c r="J83" i="1"/>
  <c r="I83" i="1"/>
  <c r="H83" i="1"/>
  <c r="G83" i="1"/>
  <c r="F83" i="1"/>
  <c r="E83" i="1"/>
  <c r="D83" i="1"/>
  <c r="K82" i="1"/>
  <c r="J82" i="1"/>
  <c r="I82" i="1"/>
  <c r="H82" i="1"/>
  <c r="G82" i="1"/>
  <c r="F82" i="1"/>
  <c r="E82" i="1"/>
  <c r="D82" i="1"/>
  <c r="K81" i="1"/>
  <c r="J81" i="1"/>
  <c r="I81" i="1"/>
  <c r="H81" i="1"/>
  <c r="G81" i="1"/>
  <c r="F81" i="1"/>
  <c r="E81" i="1"/>
  <c r="D81" i="1"/>
  <c r="K80" i="1"/>
  <c r="J80" i="1"/>
  <c r="I80" i="1"/>
  <c r="H80" i="1"/>
  <c r="G80" i="1"/>
  <c r="F80" i="1"/>
  <c r="E80" i="1"/>
  <c r="D80" i="1"/>
  <c r="K79" i="1"/>
  <c r="J79" i="1"/>
  <c r="I79" i="1"/>
  <c r="H79" i="1"/>
  <c r="G79" i="1"/>
  <c r="F79" i="1"/>
  <c r="E79" i="1"/>
  <c r="D79" i="1"/>
  <c r="K78" i="1"/>
  <c r="J78" i="1"/>
  <c r="I78" i="1"/>
  <c r="H78" i="1"/>
  <c r="G78" i="1"/>
  <c r="F78" i="1"/>
  <c r="E78" i="1"/>
  <c r="D78" i="1"/>
  <c r="K77" i="1"/>
  <c r="J77" i="1"/>
  <c r="I77" i="1"/>
  <c r="H77" i="1"/>
  <c r="G77" i="1"/>
  <c r="F77" i="1"/>
  <c r="E77" i="1"/>
  <c r="D77" i="1"/>
  <c r="K76" i="1"/>
  <c r="J76" i="1"/>
  <c r="I76" i="1"/>
  <c r="H76" i="1"/>
  <c r="G76" i="1"/>
  <c r="F76" i="1"/>
  <c r="E76" i="1"/>
  <c r="D76" i="1"/>
  <c r="K75" i="1"/>
  <c r="J75" i="1"/>
  <c r="I75" i="1"/>
  <c r="H75" i="1"/>
  <c r="G75" i="1"/>
  <c r="F75" i="1"/>
  <c r="E75" i="1"/>
  <c r="D75" i="1"/>
  <c r="K74" i="1"/>
  <c r="J74" i="1"/>
  <c r="I74" i="1"/>
  <c r="H74" i="1"/>
  <c r="G74" i="1"/>
  <c r="F74" i="1"/>
  <c r="E74" i="1"/>
  <c r="D74" i="1"/>
  <c r="K73" i="1"/>
  <c r="J73" i="1"/>
  <c r="I73" i="1"/>
  <c r="H73" i="1"/>
  <c r="G73" i="1"/>
  <c r="F73" i="1"/>
  <c r="E73" i="1"/>
  <c r="D73" i="1"/>
  <c r="K72" i="1"/>
  <c r="J72" i="1"/>
  <c r="I72" i="1"/>
  <c r="H72" i="1"/>
  <c r="G72" i="1"/>
  <c r="F72" i="1"/>
  <c r="E72" i="1"/>
  <c r="D72" i="1"/>
  <c r="K71" i="1"/>
  <c r="J71" i="1"/>
  <c r="I71" i="1"/>
  <c r="H71" i="1"/>
  <c r="G71" i="1"/>
  <c r="F71" i="1"/>
  <c r="E71" i="1"/>
  <c r="D71" i="1"/>
  <c r="K70" i="1"/>
  <c r="J70" i="1"/>
  <c r="I70" i="1"/>
  <c r="H70" i="1"/>
  <c r="G70" i="1"/>
  <c r="F70" i="1"/>
  <c r="E70" i="1"/>
  <c r="D70" i="1"/>
  <c r="K69" i="1"/>
  <c r="J69" i="1"/>
  <c r="I69" i="1"/>
  <c r="H69" i="1"/>
  <c r="G69" i="1"/>
  <c r="F69" i="1"/>
  <c r="E69" i="1"/>
  <c r="D69" i="1"/>
  <c r="K68" i="1"/>
  <c r="J68" i="1"/>
  <c r="I68" i="1"/>
  <c r="H68" i="1"/>
  <c r="G68" i="1"/>
  <c r="F68" i="1"/>
  <c r="E68" i="1"/>
  <c r="D68" i="1"/>
  <c r="K67" i="1"/>
  <c r="J67" i="1"/>
  <c r="I67" i="1"/>
  <c r="H67" i="1"/>
  <c r="G67" i="1"/>
  <c r="F67" i="1"/>
  <c r="E67" i="1"/>
  <c r="D67" i="1"/>
  <c r="K66" i="1"/>
  <c r="J66" i="1"/>
  <c r="I66" i="1"/>
  <c r="H66" i="1"/>
  <c r="G66" i="1"/>
  <c r="F66" i="1"/>
  <c r="E66" i="1"/>
  <c r="D66" i="1"/>
  <c r="K65" i="1"/>
  <c r="J65" i="1"/>
  <c r="I65" i="1"/>
  <c r="H65" i="1"/>
  <c r="G65" i="1"/>
  <c r="F65" i="1"/>
  <c r="E65" i="1"/>
  <c r="D65" i="1"/>
  <c r="K64" i="1"/>
  <c r="J64" i="1"/>
  <c r="I64" i="1"/>
  <c r="H64" i="1"/>
  <c r="G64" i="1"/>
  <c r="F64" i="1"/>
  <c r="E64" i="1"/>
  <c r="D64" i="1"/>
  <c r="K63" i="1"/>
  <c r="J63" i="1"/>
  <c r="I63" i="1"/>
  <c r="H63" i="1"/>
  <c r="G63" i="1"/>
  <c r="F63" i="1"/>
  <c r="E63" i="1"/>
  <c r="D63" i="1"/>
  <c r="K62" i="1"/>
  <c r="J62" i="1"/>
  <c r="I62" i="1"/>
  <c r="H62" i="1"/>
  <c r="G62" i="1"/>
  <c r="F62" i="1"/>
  <c r="E62" i="1"/>
  <c r="D62" i="1"/>
  <c r="K61" i="1"/>
  <c r="J61" i="1"/>
  <c r="I61" i="1"/>
  <c r="H61" i="1"/>
  <c r="G61" i="1"/>
  <c r="F61" i="1"/>
  <c r="E61" i="1"/>
  <c r="D61" i="1"/>
  <c r="K60" i="1"/>
  <c r="J60" i="1"/>
  <c r="I60" i="1"/>
  <c r="H60" i="1"/>
  <c r="G60" i="1"/>
  <c r="F60" i="1"/>
  <c r="E60" i="1"/>
  <c r="D60" i="1"/>
  <c r="K59" i="1"/>
  <c r="J59" i="1"/>
  <c r="I59" i="1"/>
  <c r="H59" i="1"/>
  <c r="G59" i="1"/>
  <c r="F59" i="1"/>
  <c r="E59" i="1"/>
  <c r="D59" i="1"/>
  <c r="K58" i="1"/>
  <c r="J58" i="1"/>
  <c r="I58" i="1"/>
  <c r="H58" i="1"/>
  <c r="G58" i="1"/>
  <c r="F58" i="1"/>
  <c r="E58" i="1"/>
  <c r="D58" i="1"/>
  <c r="K57" i="1"/>
  <c r="J57" i="1"/>
  <c r="I57" i="1"/>
  <c r="H57" i="1"/>
  <c r="G57" i="1"/>
  <c r="F57" i="1"/>
  <c r="E57" i="1"/>
  <c r="D57" i="1"/>
  <c r="K56" i="1"/>
  <c r="J56" i="1"/>
  <c r="I56" i="1"/>
  <c r="H56" i="1"/>
  <c r="G56" i="1"/>
  <c r="F56" i="1"/>
  <c r="E56" i="1"/>
  <c r="D56" i="1"/>
  <c r="K55" i="1"/>
  <c r="J55" i="1"/>
  <c r="I55" i="1"/>
  <c r="H55" i="1"/>
  <c r="G55" i="1"/>
  <c r="F55" i="1"/>
  <c r="E55" i="1"/>
  <c r="D55" i="1"/>
  <c r="K54" i="1"/>
  <c r="J54" i="1"/>
  <c r="I54" i="1"/>
  <c r="H54" i="1"/>
  <c r="G54" i="1"/>
  <c r="F54" i="1"/>
  <c r="E54" i="1"/>
  <c r="D54" i="1"/>
  <c r="K53" i="1"/>
  <c r="J53" i="1"/>
  <c r="I53" i="1"/>
  <c r="H53" i="1"/>
  <c r="G53" i="1"/>
  <c r="F53" i="1"/>
  <c r="E53" i="1"/>
  <c r="D53" i="1"/>
  <c r="K52" i="1"/>
  <c r="J52" i="1"/>
  <c r="I52" i="1"/>
  <c r="H52" i="1"/>
  <c r="G52" i="1"/>
  <c r="F52" i="1"/>
  <c r="E52" i="1"/>
  <c r="D52" i="1"/>
  <c r="K51" i="1"/>
  <c r="J51" i="1"/>
  <c r="I51" i="1"/>
  <c r="H51" i="1"/>
  <c r="G51" i="1"/>
  <c r="F51" i="1"/>
  <c r="E51" i="1"/>
  <c r="D51" i="1"/>
  <c r="K50" i="1"/>
  <c r="J50" i="1"/>
  <c r="I50" i="1"/>
  <c r="H50" i="1"/>
  <c r="G50" i="1"/>
  <c r="F50" i="1"/>
  <c r="E50" i="1"/>
  <c r="D50" i="1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K46" i="1"/>
  <c r="J46" i="1"/>
  <c r="I46" i="1"/>
  <c r="H46" i="1"/>
  <c r="G46" i="1"/>
  <c r="F46" i="1"/>
  <c r="E46" i="1"/>
  <c r="D46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K41" i="1"/>
  <c r="J41" i="1"/>
  <c r="I41" i="1"/>
  <c r="H41" i="1"/>
  <c r="G41" i="1"/>
  <c r="F41" i="1"/>
  <c r="E41" i="1"/>
  <c r="D41" i="1"/>
  <c r="K40" i="1"/>
  <c r="J40" i="1"/>
  <c r="I40" i="1"/>
  <c r="H40" i="1"/>
  <c r="G40" i="1"/>
  <c r="F40" i="1"/>
  <c r="E40" i="1"/>
  <c r="D40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22" i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E6" i="2" s="1"/>
  <c r="K5" i="1"/>
  <c r="J5" i="1"/>
  <c r="I5" i="1"/>
  <c r="H5" i="1"/>
  <c r="G5" i="1"/>
  <c r="F5" i="1"/>
  <c r="E5" i="1"/>
  <c r="D5" i="1"/>
  <c r="E5" i="2" s="1"/>
  <c r="K4" i="1"/>
  <c r="J4" i="1"/>
  <c r="I4" i="1"/>
  <c r="H4" i="1"/>
  <c r="G4" i="1"/>
  <c r="F4" i="1"/>
  <c r="E4" i="1"/>
  <c r="D4" i="1"/>
  <c r="E4" i="2" s="1"/>
  <c r="K3" i="1"/>
  <c r="J3" i="1"/>
  <c r="I3" i="1"/>
  <c r="H3" i="1"/>
  <c r="G3" i="1"/>
  <c r="F3" i="1"/>
  <c r="E3" i="1"/>
  <c r="D3" i="1"/>
  <c r="E3" i="2" s="1"/>
  <c r="K2" i="1"/>
  <c r="J2" i="1"/>
  <c r="I2" i="1"/>
  <c r="H2" i="1"/>
  <c r="G2" i="1"/>
  <c r="F2" i="1"/>
  <c r="E2" i="1"/>
  <c r="D2" i="1"/>
  <c r="E2" i="2" s="1"/>
  <c r="C3" i="2"/>
  <c r="D3" i="2"/>
  <c r="G3" i="2"/>
  <c r="H3" i="2"/>
  <c r="L3" i="2"/>
  <c r="M3" i="2"/>
  <c r="C4" i="2"/>
  <c r="D4" i="2"/>
  <c r="I4" i="2"/>
  <c r="L4" i="2"/>
  <c r="M4" i="2"/>
  <c r="C5" i="2"/>
  <c r="D5" i="2"/>
  <c r="F5" i="2"/>
  <c r="I5" i="2"/>
  <c r="J5" i="2"/>
  <c r="M5" i="2"/>
  <c r="C6" i="2"/>
  <c r="D6" i="2"/>
  <c r="F6" i="2"/>
  <c r="G6" i="2"/>
  <c r="M6" i="2"/>
  <c r="D2" i="2"/>
  <c r="I2" i="2"/>
  <c r="L2" i="2"/>
  <c r="M2" i="2"/>
  <c r="C2" i="2"/>
  <c r="F2" i="2"/>
  <c r="G2" i="2"/>
  <c r="H2" i="2"/>
  <c r="J2" i="2"/>
  <c r="K2" i="2"/>
  <c r="F3" i="2"/>
  <c r="I3" i="2"/>
  <c r="J3" i="2"/>
  <c r="K3" i="2"/>
  <c r="F4" i="2"/>
  <c r="G4" i="2"/>
  <c r="H4" i="2"/>
  <c r="J4" i="2"/>
  <c r="K4" i="2"/>
  <c r="G5" i="2"/>
  <c r="H5" i="2"/>
  <c r="K5" i="2"/>
  <c r="L5" i="2"/>
  <c r="H6" i="2"/>
  <c r="I6" i="2"/>
  <c r="J6" i="2"/>
  <c r="K6" i="2"/>
  <c r="L6" i="2"/>
</calcChain>
</file>

<file path=xl/sharedStrings.xml><?xml version="1.0" encoding="utf-8"?>
<sst xmlns="http://schemas.openxmlformats.org/spreadsheetml/2006/main" count="207" uniqueCount="17">
  <si>
    <t>Gateway_1</t>
  </si>
  <si>
    <t>Rpc</t>
  </si>
  <si>
    <t>Node_1</t>
  </si>
  <si>
    <t>Nodes_Router_1</t>
  </si>
  <si>
    <t>Gateways_Router_1</t>
  </si>
  <si>
    <t>%CPU</t>
  </si>
  <si>
    <t>%MEM</t>
  </si>
  <si>
    <t>MEM</t>
  </si>
  <si>
    <t>MEMmax</t>
  </si>
  <si>
    <t>PID</t>
  </si>
  <si>
    <t>NET</t>
  </si>
  <si>
    <t>NETmax</t>
  </si>
  <si>
    <t>Block</t>
  </si>
  <si>
    <t>Blockmax</t>
  </si>
  <si>
    <t>TIME</t>
  </si>
  <si>
    <t>CPUtotal%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</si>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</sst>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1"/>
  <sheetViews>
    <sheetView topLeftCell="A173" workbookViewId="0">
      <selection activeCell="F199" sqref="F193:H199"/>
    </sheetView>
  </sheetViews>
  <sheetFormatPr defaultRowHeight="14.4" x14ac:dyDescent="0.3"/>
  <cols>
    <col min="1" max="1" width="18.33203125" bestFit="1" customWidth="1"/>
  </cols>
  <sheetData>
    <row r="1" spans="1:12" x14ac:dyDescent="0.3">
      <c r="A1" t="s">
        <v>16</v>
      </c>
    </row>
    <row r="2" spans="1:12" x14ac:dyDescent="0.3">
      <c r="A2" t="s">
        <v>0</v>
      </c>
      <c r="B2">
        <v>27</v>
      </c>
      <c r="C2">
        <v>13.34</v>
      </c>
      <c r="D2">
        <f>2.4</f>
        <v>2.4</v>
      </c>
      <c r="E2">
        <f>187.7*1024</f>
        <v>192204.79999999999</v>
      </c>
      <c r="F2">
        <f t="shared" ref="F2:F65" si="0">7.646*1024*1024</f>
        <v>8017412.0959999999</v>
      </c>
      <c r="G2">
        <f>2.44</f>
        <v>2.44</v>
      </c>
      <c r="H2">
        <f>836/1000</f>
        <v>0.83599999999999997</v>
      </c>
      <c r="I2">
        <f>36.9</f>
        <v>36.9</v>
      </c>
      <c r="J2">
        <f>16.4</f>
        <v>16.399999999999999</v>
      </c>
      <c r="K2">
        <f>6</f>
        <v>6</v>
      </c>
      <c r="L2">
        <v>15</v>
      </c>
    </row>
    <row r="3" spans="1:12" x14ac:dyDescent="0.3">
      <c r="A3" t="s">
        <v>1</v>
      </c>
      <c r="B3">
        <v>11</v>
      </c>
      <c r="C3">
        <v>100.57</v>
      </c>
      <c r="D3">
        <f>0.13</f>
        <v>0.13</v>
      </c>
      <c r="E3">
        <f>9.918*1024</f>
        <v>10156.031999999999</v>
      </c>
      <c r="F3">
        <f t="shared" si="0"/>
        <v>8017412.0959999999</v>
      </c>
      <c r="G3">
        <f>8.62</f>
        <v>8.6199999999999992</v>
      </c>
      <c r="H3">
        <f>2.05</f>
        <v>2.0499999999999998</v>
      </c>
      <c r="I3">
        <f>0</f>
        <v>0</v>
      </c>
      <c r="J3">
        <f>20.5</f>
        <v>20.5</v>
      </c>
      <c r="K3">
        <f>6</f>
        <v>6</v>
      </c>
      <c r="L3">
        <v>15</v>
      </c>
    </row>
    <row r="4" spans="1:12" x14ac:dyDescent="0.3">
      <c r="A4" t="s">
        <v>2</v>
      </c>
      <c r="B4">
        <v>17</v>
      </c>
      <c r="C4">
        <v>0.02</v>
      </c>
      <c r="D4">
        <f>0.14</f>
        <v>0.14000000000000001</v>
      </c>
      <c r="E4">
        <f>10.71*1024</f>
        <v>10967.04</v>
      </c>
      <c r="F4">
        <f t="shared" si="0"/>
        <v>8017412.0959999999</v>
      </c>
      <c r="G4">
        <f>2.84</f>
        <v>2.84</v>
      </c>
      <c r="H4">
        <f>1.05</f>
        <v>1.05</v>
      </c>
      <c r="I4">
        <f>0</f>
        <v>0</v>
      </c>
      <c r="J4">
        <f>45.1</f>
        <v>45.1</v>
      </c>
      <c r="K4">
        <f>6</f>
        <v>6</v>
      </c>
      <c r="L4">
        <v>15</v>
      </c>
    </row>
    <row r="5" spans="1:12" x14ac:dyDescent="0.3">
      <c r="A5" t="s">
        <v>3</v>
      </c>
      <c r="B5">
        <v>2</v>
      </c>
      <c r="C5">
        <v>0</v>
      </c>
      <c r="D5">
        <f>0.01</f>
        <v>0.01</v>
      </c>
      <c r="E5">
        <f>792</f>
        <v>792</v>
      </c>
      <c r="F5">
        <f t="shared" si="0"/>
        <v>8017412.0959999999</v>
      </c>
      <c r="G5">
        <f>7.23</f>
        <v>7.23</v>
      </c>
      <c r="H5">
        <f>1.52</f>
        <v>1.52</v>
      </c>
      <c r="I5">
        <f>0</f>
        <v>0</v>
      </c>
      <c r="J5">
        <f>0</f>
        <v>0</v>
      </c>
      <c r="K5">
        <f>6</f>
        <v>6</v>
      </c>
      <c r="L5">
        <v>15</v>
      </c>
    </row>
    <row r="6" spans="1:12" x14ac:dyDescent="0.3">
      <c r="A6" t="s">
        <v>4</v>
      </c>
      <c r="B6">
        <v>2</v>
      </c>
      <c r="C6">
        <v>0</v>
      </c>
      <c r="D6">
        <f>0.01</f>
        <v>0.01</v>
      </c>
      <c r="E6">
        <f>788</f>
        <v>788</v>
      </c>
      <c r="F6">
        <f t="shared" si="0"/>
        <v>8017412.0959999999</v>
      </c>
      <c r="G6">
        <f>8.28</f>
        <v>8.2799999999999994</v>
      </c>
      <c r="H6">
        <f>1.52</f>
        <v>1.52</v>
      </c>
      <c r="I6">
        <f>0</f>
        <v>0</v>
      </c>
      <c r="J6">
        <f>0</f>
        <v>0</v>
      </c>
      <c r="K6">
        <f>6</f>
        <v>6</v>
      </c>
      <c r="L6">
        <v>15</v>
      </c>
    </row>
    <row r="7" spans="1:12" x14ac:dyDescent="0.3">
      <c r="A7" t="s">
        <v>0</v>
      </c>
      <c r="B7">
        <v>27</v>
      </c>
      <c r="C7">
        <v>35.270000000000003</v>
      </c>
      <c r="D7">
        <f>2.36</f>
        <v>2.36</v>
      </c>
      <c r="E7">
        <f>185*1024</f>
        <v>189440</v>
      </c>
      <c r="F7">
        <f t="shared" si="0"/>
        <v>8017412.0959999999</v>
      </c>
      <c r="G7">
        <f>2.62</f>
        <v>2.62</v>
      </c>
      <c r="H7">
        <f>836/1000</f>
        <v>0.83599999999999997</v>
      </c>
      <c r="I7">
        <f>36.9</f>
        <v>36.9</v>
      </c>
      <c r="J7">
        <f>16.4</f>
        <v>16.399999999999999</v>
      </c>
      <c r="K7">
        <f>13</f>
        <v>13</v>
      </c>
      <c r="L7">
        <v>11</v>
      </c>
    </row>
    <row r="8" spans="1:12" x14ac:dyDescent="0.3">
      <c r="A8" t="s">
        <v>1</v>
      </c>
      <c r="B8">
        <v>2</v>
      </c>
      <c r="C8">
        <v>0</v>
      </c>
      <c r="D8">
        <f>0.02</f>
        <v>0.02</v>
      </c>
      <c r="E8">
        <f>1.273*1024</f>
        <v>1303.5519999999999</v>
      </c>
      <c r="F8">
        <f t="shared" si="0"/>
        <v>8017412.0959999999</v>
      </c>
      <c r="G8">
        <f>10.3</f>
        <v>10.3</v>
      </c>
      <c r="H8">
        <f>3.49</f>
        <v>3.49</v>
      </c>
      <c r="I8">
        <f>0</f>
        <v>0</v>
      </c>
      <c r="J8">
        <f>20.5</f>
        <v>20.5</v>
      </c>
      <c r="K8">
        <f>13</f>
        <v>13</v>
      </c>
      <c r="L8">
        <v>11</v>
      </c>
    </row>
    <row r="9" spans="1:12" x14ac:dyDescent="0.3">
      <c r="A9" t="s">
        <v>2</v>
      </c>
      <c r="B9">
        <v>17</v>
      </c>
      <c r="C9">
        <v>0.04</v>
      </c>
      <c r="D9">
        <f>0.14</f>
        <v>0.14000000000000001</v>
      </c>
      <c r="E9">
        <f>10.79*1024</f>
        <v>11048.96</v>
      </c>
      <c r="F9">
        <f t="shared" si="0"/>
        <v>8017412.0959999999</v>
      </c>
      <c r="G9">
        <f>3.01</f>
        <v>3.01</v>
      </c>
      <c r="H9">
        <f>1.11</f>
        <v>1.1100000000000001</v>
      </c>
      <c r="I9">
        <f>0</f>
        <v>0</v>
      </c>
      <c r="J9">
        <f>45.1</f>
        <v>45.1</v>
      </c>
      <c r="K9">
        <f>13</f>
        <v>13</v>
      </c>
      <c r="L9">
        <v>11</v>
      </c>
    </row>
    <row r="10" spans="1:12" x14ac:dyDescent="0.3">
      <c r="A10" t="s">
        <v>3</v>
      </c>
      <c r="B10">
        <v>2</v>
      </c>
      <c r="C10">
        <v>0</v>
      </c>
      <c r="D10">
        <f>0.01</f>
        <v>0.01</v>
      </c>
      <c r="E10">
        <f>792</f>
        <v>792</v>
      </c>
      <c r="F10">
        <f t="shared" si="0"/>
        <v>8017412.0959999999</v>
      </c>
      <c r="G10">
        <f>7.3</f>
        <v>7.3</v>
      </c>
      <c r="H10">
        <f>1.52</f>
        <v>1.52</v>
      </c>
      <c r="I10">
        <f>0</f>
        <v>0</v>
      </c>
      <c r="J10">
        <f>0</f>
        <v>0</v>
      </c>
      <c r="K10">
        <f>13</f>
        <v>13</v>
      </c>
      <c r="L10">
        <v>11</v>
      </c>
    </row>
    <row r="11" spans="1:12" x14ac:dyDescent="0.3">
      <c r="A11" t="s">
        <v>4</v>
      </c>
      <c r="B11">
        <v>2</v>
      </c>
      <c r="C11">
        <v>0</v>
      </c>
      <c r="D11">
        <f>0.01</f>
        <v>0.01</v>
      </c>
      <c r="E11">
        <f>788</f>
        <v>788</v>
      </c>
      <c r="F11">
        <f t="shared" si="0"/>
        <v>8017412.0959999999</v>
      </c>
      <c r="G11">
        <f>8.35</f>
        <v>8.35</v>
      </c>
      <c r="H11">
        <f>1.52</f>
        <v>1.52</v>
      </c>
      <c r="I11">
        <f>0</f>
        <v>0</v>
      </c>
      <c r="J11">
        <f>0</f>
        <v>0</v>
      </c>
      <c r="K11">
        <f>13</f>
        <v>13</v>
      </c>
      <c r="L11">
        <v>11</v>
      </c>
    </row>
    <row r="12" spans="1:12" x14ac:dyDescent="0.3">
      <c r="A12" t="s">
        <v>0</v>
      </c>
      <c r="B12">
        <v>27</v>
      </c>
      <c r="C12">
        <v>35.15</v>
      </c>
      <c r="D12">
        <f>2.21</f>
        <v>2.21</v>
      </c>
      <c r="E12">
        <f>173.2*1024</f>
        <v>177356.79999999999</v>
      </c>
      <c r="F12">
        <f t="shared" si="0"/>
        <v>8017412.0959999999</v>
      </c>
      <c r="G12">
        <f>2.72</f>
        <v>2.72</v>
      </c>
      <c r="H12">
        <f>836/1000</f>
        <v>0.83599999999999997</v>
      </c>
      <c r="I12">
        <f>36.9</f>
        <v>36.9</v>
      </c>
      <c r="J12">
        <f>16.4</f>
        <v>16.399999999999999</v>
      </c>
      <c r="K12">
        <f>21</f>
        <v>21</v>
      </c>
      <c r="L12">
        <v>4</v>
      </c>
    </row>
    <row r="13" spans="1:12" x14ac:dyDescent="0.3">
      <c r="A13" t="s">
        <v>1</v>
      </c>
      <c r="B13">
        <v>2</v>
      </c>
      <c r="C13">
        <v>0</v>
      </c>
      <c r="D13">
        <f>0.02</f>
        <v>0.02</v>
      </c>
      <c r="E13">
        <f>1.273*1024</f>
        <v>1303.5519999999999</v>
      </c>
      <c r="F13">
        <f t="shared" si="0"/>
        <v>8017412.0959999999</v>
      </c>
      <c r="G13">
        <f>10.3</f>
        <v>10.3</v>
      </c>
      <c r="H13">
        <f>3.49</f>
        <v>3.49</v>
      </c>
      <c r="I13">
        <f>0</f>
        <v>0</v>
      </c>
      <c r="J13">
        <f>20.5</f>
        <v>20.5</v>
      </c>
      <c r="K13">
        <f>21</f>
        <v>21</v>
      </c>
      <c r="L13">
        <v>4</v>
      </c>
    </row>
    <row r="14" spans="1:12" x14ac:dyDescent="0.3">
      <c r="A14" t="s">
        <v>2</v>
      </c>
      <c r="B14">
        <v>17</v>
      </c>
      <c r="C14">
        <v>0.08</v>
      </c>
      <c r="D14">
        <f>0.14</f>
        <v>0.14000000000000001</v>
      </c>
      <c r="E14">
        <f>10.84*1024</f>
        <v>11100.16</v>
      </c>
      <c r="F14">
        <f t="shared" si="0"/>
        <v>8017412.0959999999</v>
      </c>
      <c r="G14">
        <f>3.08</f>
        <v>3.08</v>
      </c>
      <c r="H14">
        <f>1.18</f>
        <v>1.18</v>
      </c>
      <c r="I14">
        <f>0</f>
        <v>0</v>
      </c>
      <c r="J14">
        <f>45.1</f>
        <v>45.1</v>
      </c>
      <c r="K14">
        <f>21</f>
        <v>21</v>
      </c>
      <c r="L14">
        <v>4</v>
      </c>
    </row>
    <row r="15" spans="1:12" x14ac:dyDescent="0.3">
      <c r="A15" t="s">
        <v>3</v>
      </c>
      <c r="B15">
        <v>2</v>
      </c>
      <c r="C15">
        <v>0</v>
      </c>
      <c r="D15">
        <f>0.01</f>
        <v>0.01</v>
      </c>
      <c r="E15">
        <f>820</f>
        <v>820</v>
      </c>
      <c r="F15">
        <f t="shared" si="0"/>
        <v>8017412.0959999999</v>
      </c>
      <c r="G15">
        <f>7.73</f>
        <v>7.73</v>
      </c>
      <c r="H15">
        <f>1.52</f>
        <v>1.52</v>
      </c>
      <c r="I15">
        <f>0</f>
        <v>0</v>
      </c>
      <c r="J15">
        <f>0</f>
        <v>0</v>
      </c>
      <c r="K15">
        <f>21</f>
        <v>21</v>
      </c>
      <c r="L15">
        <v>4</v>
      </c>
    </row>
    <row r="16" spans="1:12" x14ac:dyDescent="0.3">
      <c r="A16" t="s">
        <v>4</v>
      </c>
      <c r="B16">
        <v>2</v>
      </c>
      <c r="C16">
        <v>0</v>
      </c>
      <c r="D16">
        <f>0.01</f>
        <v>0.01</v>
      </c>
      <c r="E16">
        <f>828</f>
        <v>828</v>
      </c>
      <c r="F16">
        <f t="shared" si="0"/>
        <v>8017412.0959999999</v>
      </c>
      <c r="G16">
        <f>8.7</f>
        <v>8.6999999999999993</v>
      </c>
      <c r="H16">
        <f>1.52</f>
        <v>1.52</v>
      </c>
      <c r="I16">
        <f>0</f>
        <v>0</v>
      </c>
      <c r="J16">
        <f>0</f>
        <v>0</v>
      </c>
      <c r="K16">
        <f>21</f>
        <v>21</v>
      </c>
      <c r="L16">
        <v>4</v>
      </c>
    </row>
    <row r="17" spans="1:12" x14ac:dyDescent="0.3">
      <c r="A17" t="s">
        <v>0</v>
      </c>
      <c r="B17">
        <v>29</v>
      </c>
      <c r="C17">
        <v>27.31</v>
      </c>
      <c r="D17">
        <f>2.02</f>
        <v>2.02</v>
      </c>
      <c r="E17">
        <f>158.5*1024</f>
        <v>162304</v>
      </c>
      <c r="F17">
        <f t="shared" si="0"/>
        <v>8017412.0959999999</v>
      </c>
      <c r="G17">
        <f>3.01</f>
        <v>3.01</v>
      </c>
      <c r="H17">
        <f>836/1000</f>
        <v>0.83599999999999997</v>
      </c>
      <c r="I17">
        <f>36.9</f>
        <v>36.9</v>
      </c>
      <c r="J17">
        <f>16.4</f>
        <v>16.399999999999999</v>
      </c>
      <c r="K17">
        <f>29</f>
        <v>29</v>
      </c>
      <c r="L17">
        <v>4</v>
      </c>
    </row>
    <row r="18" spans="1:12" x14ac:dyDescent="0.3">
      <c r="A18" t="s">
        <v>1</v>
      </c>
      <c r="B18">
        <v>12</v>
      </c>
      <c r="C18">
        <v>0.08</v>
      </c>
      <c r="D18">
        <f>0.13</f>
        <v>0.13</v>
      </c>
      <c r="E18">
        <f>10.13*1024</f>
        <v>10373.120000000001</v>
      </c>
      <c r="F18">
        <f t="shared" si="0"/>
        <v>8017412.0959999999</v>
      </c>
      <c r="G18">
        <f>21.2</f>
        <v>21.2</v>
      </c>
      <c r="H18">
        <f>8.6</f>
        <v>8.6</v>
      </c>
      <c r="I18">
        <f>0</f>
        <v>0</v>
      </c>
      <c r="J18">
        <f>20.5</f>
        <v>20.5</v>
      </c>
      <c r="K18">
        <f>29</f>
        <v>29</v>
      </c>
      <c r="L18">
        <v>4</v>
      </c>
    </row>
    <row r="19" spans="1:12" x14ac:dyDescent="0.3">
      <c r="A19" t="s">
        <v>2</v>
      </c>
      <c r="B19">
        <v>17</v>
      </c>
      <c r="C19">
        <v>0.03</v>
      </c>
      <c r="D19">
        <f>0.14</f>
        <v>0.14000000000000001</v>
      </c>
      <c r="E19">
        <f>11.16*1024</f>
        <v>11427.84</v>
      </c>
      <c r="F19">
        <f t="shared" si="0"/>
        <v>8017412.0959999999</v>
      </c>
      <c r="G19">
        <f>4.87</f>
        <v>4.87</v>
      </c>
      <c r="H19">
        <f>2.83</f>
        <v>2.83</v>
      </c>
      <c r="I19">
        <f>143</f>
        <v>143</v>
      </c>
      <c r="J19">
        <f>53.2</f>
        <v>53.2</v>
      </c>
      <c r="K19">
        <f>29</f>
        <v>29</v>
      </c>
      <c r="L19">
        <v>4</v>
      </c>
    </row>
    <row r="20" spans="1:12" x14ac:dyDescent="0.3">
      <c r="A20" t="s">
        <v>3</v>
      </c>
      <c r="B20">
        <v>2</v>
      </c>
      <c r="C20">
        <v>0</v>
      </c>
      <c r="D20">
        <f>0.01</f>
        <v>0.01</v>
      </c>
      <c r="E20">
        <f>820</f>
        <v>820</v>
      </c>
      <c r="F20">
        <f t="shared" si="0"/>
        <v>8017412.0959999999</v>
      </c>
      <c r="G20">
        <f>11.2</f>
        <v>11.2</v>
      </c>
      <c r="H20">
        <f>4.12</f>
        <v>4.12</v>
      </c>
      <c r="I20">
        <f>0</f>
        <v>0</v>
      </c>
      <c r="J20">
        <f>0</f>
        <v>0</v>
      </c>
      <c r="K20">
        <f>29</f>
        <v>29</v>
      </c>
      <c r="L20">
        <v>4</v>
      </c>
    </row>
    <row r="21" spans="1:12" x14ac:dyDescent="0.3">
      <c r="A21" t="s">
        <v>4</v>
      </c>
      <c r="B21">
        <v>2</v>
      </c>
      <c r="C21">
        <v>0</v>
      </c>
      <c r="D21">
        <f>0.01</f>
        <v>0.01</v>
      </c>
      <c r="E21">
        <f>828</f>
        <v>828</v>
      </c>
      <c r="F21">
        <f t="shared" si="0"/>
        <v>8017412.0959999999</v>
      </c>
      <c r="G21">
        <f>9.71</f>
        <v>9.7100000000000009</v>
      </c>
      <c r="H21">
        <f>1.52</f>
        <v>1.52</v>
      </c>
      <c r="I21">
        <f>0</f>
        <v>0</v>
      </c>
      <c r="J21">
        <f>0</f>
        <v>0</v>
      </c>
      <c r="K21">
        <f>29</f>
        <v>29</v>
      </c>
      <c r="L21">
        <v>4</v>
      </c>
    </row>
    <row r="22" spans="1:12" x14ac:dyDescent="0.3">
      <c r="A22" t="s">
        <v>0</v>
      </c>
      <c r="B22">
        <v>29</v>
      </c>
      <c r="C22">
        <v>46.7</v>
      </c>
      <c r="D22">
        <f>1.92</f>
        <v>1.92</v>
      </c>
      <c r="E22">
        <f>150.1*1024</f>
        <v>153702.39999999999</v>
      </c>
      <c r="F22">
        <f t="shared" si="0"/>
        <v>8017412.0959999999</v>
      </c>
      <c r="G22">
        <f>4.71</f>
        <v>4.71</v>
      </c>
      <c r="H22">
        <f>1.36</f>
        <v>1.36</v>
      </c>
      <c r="I22">
        <f>36.9</f>
        <v>36.9</v>
      </c>
      <c r="J22">
        <f>16.4</f>
        <v>16.399999999999999</v>
      </c>
      <c r="K22">
        <f>37</f>
        <v>37</v>
      </c>
      <c r="L22">
        <v>22</v>
      </c>
    </row>
    <row r="23" spans="1:12" x14ac:dyDescent="0.3">
      <c r="A23" t="s">
        <v>1</v>
      </c>
      <c r="B23">
        <v>12</v>
      </c>
      <c r="C23">
        <v>1.86</v>
      </c>
      <c r="D23">
        <f>0.14</f>
        <v>0.14000000000000001</v>
      </c>
      <c r="E23">
        <f>10.79*1024</f>
        <v>11048.96</v>
      </c>
      <c r="F23">
        <f t="shared" si="0"/>
        <v>8017412.0959999999</v>
      </c>
      <c r="G23">
        <f>32.6</f>
        <v>32.6</v>
      </c>
      <c r="H23">
        <f>15.6</f>
        <v>15.6</v>
      </c>
      <c r="I23">
        <f>36.9</f>
        <v>36.9</v>
      </c>
      <c r="J23">
        <f>28.7</f>
        <v>28.7</v>
      </c>
      <c r="K23">
        <f>37</f>
        <v>37</v>
      </c>
      <c r="L23">
        <v>22</v>
      </c>
    </row>
    <row r="24" spans="1:12" x14ac:dyDescent="0.3">
      <c r="A24" t="s">
        <v>2</v>
      </c>
      <c r="B24">
        <v>17</v>
      </c>
      <c r="C24">
        <v>1.1599999999999999</v>
      </c>
      <c r="D24">
        <f>0.16</f>
        <v>0.16</v>
      </c>
      <c r="E24">
        <f>12.74*1024</f>
        <v>13045.76</v>
      </c>
      <c r="F24">
        <f t="shared" si="0"/>
        <v>8017412.0959999999</v>
      </c>
      <c r="G24">
        <f>10.6</f>
        <v>10.6</v>
      </c>
      <c r="H24">
        <f>5.39</f>
        <v>5.39</v>
      </c>
      <c r="I24">
        <f>393</f>
        <v>393</v>
      </c>
      <c r="J24">
        <f>123</f>
        <v>123</v>
      </c>
      <c r="K24">
        <f>37</f>
        <v>37</v>
      </c>
      <c r="L24">
        <v>22</v>
      </c>
    </row>
    <row r="25" spans="1:12" x14ac:dyDescent="0.3">
      <c r="A25" t="s">
        <v>3</v>
      </c>
      <c r="B25">
        <v>2</v>
      </c>
      <c r="C25">
        <v>0</v>
      </c>
      <c r="D25">
        <f>0.01</f>
        <v>0.01</v>
      </c>
      <c r="E25">
        <f>820</f>
        <v>820</v>
      </c>
      <c r="F25">
        <f t="shared" si="0"/>
        <v>8017412.0959999999</v>
      </c>
      <c r="G25">
        <f>15.8</f>
        <v>15.8</v>
      </c>
      <c r="H25">
        <f>7.27</f>
        <v>7.27</v>
      </c>
      <c r="I25">
        <f>0</f>
        <v>0</v>
      </c>
      <c r="J25">
        <f>0</f>
        <v>0</v>
      </c>
      <c r="K25">
        <f>37</f>
        <v>37</v>
      </c>
      <c r="L25">
        <v>22</v>
      </c>
    </row>
    <row r="26" spans="1:12" x14ac:dyDescent="0.3">
      <c r="A26" t="s">
        <v>4</v>
      </c>
      <c r="B26">
        <v>2</v>
      </c>
      <c r="C26">
        <v>0</v>
      </c>
      <c r="D26">
        <f>0.01</f>
        <v>0.01</v>
      </c>
      <c r="E26">
        <f>828</f>
        <v>828</v>
      </c>
      <c r="F26">
        <f t="shared" si="0"/>
        <v>8017412.0959999999</v>
      </c>
      <c r="G26">
        <f>11.1</f>
        <v>11.1</v>
      </c>
      <c r="H26">
        <f>1.52</f>
        <v>1.52</v>
      </c>
      <c r="I26">
        <f>0</f>
        <v>0</v>
      </c>
      <c r="J26">
        <f>0</f>
        <v>0</v>
      </c>
      <c r="K26">
        <f>37</f>
        <v>37</v>
      </c>
      <c r="L26">
        <v>22</v>
      </c>
    </row>
    <row r="27" spans="1:12" x14ac:dyDescent="0.3">
      <c r="A27" t="s">
        <v>0</v>
      </c>
      <c r="B27">
        <v>29</v>
      </c>
      <c r="C27">
        <v>49.33</v>
      </c>
      <c r="D27">
        <f>1.79</f>
        <v>1.79</v>
      </c>
      <c r="E27">
        <f>140*1024</f>
        <v>143360</v>
      </c>
      <c r="F27">
        <f t="shared" si="0"/>
        <v>8017412.0959999999</v>
      </c>
      <c r="G27">
        <f>5.57</f>
        <v>5.57</v>
      </c>
      <c r="H27">
        <f>2</f>
        <v>2</v>
      </c>
      <c r="I27">
        <f>36.9</f>
        <v>36.9</v>
      </c>
      <c r="J27">
        <f>16.4</f>
        <v>16.399999999999999</v>
      </c>
      <c r="K27">
        <f>44</f>
        <v>44</v>
      </c>
      <c r="L27">
        <v>10</v>
      </c>
    </row>
    <row r="28" spans="1:12" x14ac:dyDescent="0.3">
      <c r="A28" t="s">
        <v>1</v>
      </c>
      <c r="B28">
        <v>8</v>
      </c>
      <c r="C28">
        <v>4.59</v>
      </c>
      <c r="D28">
        <f>0.08</f>
        <v>0.08</v>
      </c>
      <c r="E28">
        <f>6.406*1024</f>
        <v>6559.7439999999997</v>
      </c>
      <c r="F28">
        <f t="shared" si="0"/>
        <v>8017412.0959999999</v>
      </c>
      <c r="G28">
        <f>33.8</f>
        <v>33.799999999999997</v>
      </c>
      <c r="H28">
        <f>17.9</f>
        <v>17.899999999999999</v>
      </c>
      <c r="I28">
        <f>115</f>
        <v>115</v>
      </c>
      <c r="J28">
        <f>28.7</f>
        <v>28.7</v>
      </c>
      <c r="K28">
        <f>44</f>
        <v>44</v>
      </c>
      <c r="L28">
        <v>10</v>
      </c>
    </row>
    <row r="29" spans="1:12" x14ac:dyDescent="0.3">
      <c r="A29" t="s">
        <v>2</v>
      </c>
      <c r="B29">
        <v>17</v>
      </c>
      <c r="C29">
        <v>1.27</v>
      </c>
      <c r="D29">
        <f>0.17</f>
        <v>0.17</v>
      </c>
      <c r="E29">
        <f>13.01*1024</f>
        <v>13322.24</v>
      </c>
      <c r="F29">
        <f t="shared" si="0"/>
        <v>8017412.0959999999</v>
      </c>
      <c r="G29">
        <f>17</f>
        <v>17</v>
      </c>
      <c r="H29">
        <f>9</f>
        <v>9</v>
      </c>
      <c r="I29">
        <f>434</f>
        <v>434</v>
      </c>
      <c r="J29">
        <f>160</f>
        <v>160</v>
      </c>
      <c r="K29">
        <f>44</f>
        <v>44</v>
      </c>
      <c r="L29">
        <v>10</v>
      </c>
    </row>
    <row r="30" spans="1:12" x14ac:dyDescent="0.3">
      <c r="A30" t="s">
        <v>3</v>
      </c>
      <c r="B30">
        <v>2</v>
      </c>
      <c r="C30">
        <v>0</v>
      </c>
      <c r="D30">
        <f>0.01</f>
        <v>0.01</v>
      </c>
      <c r="E30">
        <f>820</f>
        <v>820</v>
      </c>
      <c r="F30">
        <f t="shared" si="0"/>
        <v>8017412.0959999999</v>
      </c>
      <c r="G30">
        <f>18.7</f>
        <v>18.7</v>
      </c>
      <c r="H30">
        <f>10.3</f>
        <v>10.3</v>
      </c>
      <c r="I30">
        <f>0</f>
        <v>0</v>
      </c>
      <c r="J30">
        <f>0</f>
        <v>0</v>
      </c>
      <c r="K30">
        <f>44</f>
        <v>44</v>
      </c>
      <c r="L30">
        <v>10</v>
      </c>
    </row>
    <row r="31" spans="1:12" x14ac:dyDescent="0.3">
      <c r="A31" t="s">
        <v>4</v>
      </c>
      <c r="B31">
        <v>2</v>
      </c>
      <c r="C31">
        <v>0</v>
      </c>
      <c r="D31">
        <f>0.01</f>
        <v>0.01</v>
      </c>
      <c r="E31">
        <f>828</f>
        <v>828</v>
      </c>
      <c r="F31">
        <f t="shared" si="0"/>
        <v>8017412.0959999999</v>
      </c>
      <c r="G31">
        <f>11.1</f>
        <v>11.1</v>
      </c>
      <c r="H31">
        <f>1.52</f>
        <v>1.52</v>
      </c>
      <c r="I31">
        <f>0</f>
        <v>0</v>
      </c>
      <c r="J31">
        <f>0</f>
        <v>0</v>
      </c>
      <c r="K31">
        <f>44</f>
        <v>44</v>
      </c>
      <c r="L31">
        <v>10</v>
      </c>
    </row>
    <row r="32" spans="1:12" x14ac:dyDescent="0.3">
      <c r="A32" t="s">
        <v>0</v>
      </c>
      <c r="B32">
        <v>29</v>
      </c>
      <c r="C32">
        <v>43.2</v>
      </c>
      <c r="D32">
        <f>1.79</f>
        <v>1.79</v>
      </c>
      <c r="E32">
        <f>139.9*1024</f>
        <v>143257.60000000001</v>
      </c>
      <c r="F32">
        <f t="shared" si="0"/>
        <v>8017412.0959999999</v>
      </c>
      <c r="G32">
        <f>5.94</f>
        <v>5.94</v>
      </c>
      <c r="H32">
        <f>2.27</f>
        <v>2.27</v>
      </c>
      <c r="I32">
        <f>36.9</f>
        <v>36.9</v>
      </c>
      <c r="J32">
        <f>16.4</f>
        <v>16.399999999999999</v>
      </c>
      <c r="K32">
        <f>52</f>
        <v>52</v>
      </c>
      <c r="L32">
        <v>6</v>
      </c>
    </row>
    <row r="33" spans="1:12" x14ac:dyDescent="0.3">
      <c r="A33" t="s">
        <v>1</v>
      </c>
      <c r="B33">
        <v>8</v>
      </c>
      <c r="C33">
        <v>0.02</v>
      </c>
      <c r="D33">
        <f>0.08</f>
        <v>0.08</v>
      </c>
      <c r="E33">
        <f>6.406*1024</f>
        <v>6559.7439999999997</v>
      </c>
      <c r="F33">
        <f t="shared" si="0"/>
        <v>8017412.0959999999</v>
      </c>
      <c r="G33">
        <f>33.8</f>
        <v>33.799999999999997</v>
      </c>
      <c r="H33">
        <f>17.9</f>
        <v>17.899999999999999</v>
      </c>
      <c r="I33">
        <f>115</f>
        <v>115</v>
      </c>
      <c r="J33">
        <f>28.7</f>
        <v>28.7</v>
      </c>
      <c r="K33">
        <f>52</f>
        <v>52</v>
      </c>
      <c r="L33">
        <v>6</v>
      </c>
    </row>
    <row r="34" spans="1:12" x14ac:dyDescent="0.3">
      <c r="A34" t="s">
        <v>2</v>
      </c>
      <c r="B34">
        <v>17</v>
      </c>
      <c r="C34">
        <v>1.58</v>
      </c>
      <c r="D34">
        <f>0.17</f>
        <v>0.17</v>
      </c>
      <c r="E34">
        <f>13*1024</f>
        <v>13312</v>
      </c>
      <c r="F34">
        <f t="shared" si="0"/>
        <v>8017412.0959999999</v>
      </c>
      <c r="G34">
        <f>20.2</f>
        <v>20.2</v>
      </c>
      <c r="H34">
        <f>10.3</f>
        <v>10.3</v>
      </c>
      <c r="I34">
        <f>434</f>
        <v>434</v>
      </c>
      <c r="J34">
        <f>160</f>
        <v>160</v>
      </c>
      <c r="K34">
        <f>52</f>
        <v>52</v>
      </c>
      <c r="L34">
        <v>6</v>
      </c>
    </row>
    <row r="35" spans="1:12" x14ac:dyDescent="0.3">
      <c r="A35" t="s">
        <v>3</v>
      </c>
      <c r="B35">
        <v>2</v>
      </c>
      <c r="C35">
        <v>0</v>
      </c>
      <c r="D35">
        <f>0.01</f>
        <v>0.01</v>
      </c>
      <c r="E35">
        <f>820</f>
        <v>820</v>
      </c>
      <c r="F35">
        <f t="shared" si="0"/>
        <v>8017412.0959999999</v>
      </c>
      <c r="G35">
        <f>18.8</f>
        <v>18.8</v>
      </c>
      <c r="H35">
        <f>10.3</f>
        <v>10.3</v>
      </c>
      <c r="I35">
        <f>0</f>
        <v>0</v>
      </c>
      <c r="J35">
        <f>0</f>
        <v>0</v>
      </c>
      <c r="K35">
        <f>52</f>
        <v>52</v>
      </c>
      <c r="L35">
        <v>6</v>
      </c>
    </row>
    <row r="36" spans="1:12" x14ac:dyDescent="0.3">
      <c r="A36" t="s">
        <v>4</v>
      </c>
      <c r="B36">
        <v>2</v>
      </c>
      <c r="C36">
        <v>0.01</v>
      </c>
      <c r="D36">
        <f>0.01</f>
        <v>0.01</v>
      </c>
      <c r="E36">
        <f>828</f>
        <v>828</v>
      </c>
      <c r="F36">
        <f t="shared" si="0"/>
        <v>8017412.0959999999</v>
      </c>
      <c r="G36">
        <f>11.5</f>
        <v>11.5</v>
      </c>
      <c r="H36">
        <f>1.52</f>
        <v>1.52</v>
      </c>
      <c r="I36">
        <f>0</f>
        <v>0</v>
      </c>
      <c r="J36">
        <f>0</f>
        <v>0</v>
      </c>
      <c r="K36">
        <f>52</f>
        <v>52</v>
      </c>
      <c r="L36">
        <v>6</v>
      </c>
    </row>
    <row r="37" spans="1:12" x14ac:dyDescent="0.3">
      <c r="A37" t="s">
        <v>0</v>
      </c>
      <c r="B37">
        <v>29</v>
      </c>
      <c r="C37">
        <v>43.37</v>
      </c>
      <c r="D37">
        <f>1.79</f>
        <v>1.79</v>
      </c>
      <c r="E37">
        <f>140.2*1024</f>
        <v>143564.79999999999</v>
      </c>
      <c r="F37">
        <f t="shared" si="0"/>
        <v>8017412.0959999999</v>
      </c>
      <c r="G37">
        <f>6.31</f>
        <v>6.31</v>
      </c>
      <c r="H37">
        <f>2.54</f>
        <v>2.54</v>
      </c>
      <c r="I37">
        <f>36.9</f>
        <v>36.9</v>
      </c>
      <c r="J37">
        <f>16.4</f>
        <v>16.399999999999999</v>
      </c>
      <c r="K37">
        <f>60</f>
        <v>60</v>
      </c>
      <c r="L37">
        <v>6</v>
      </c>
    </row>
    <row r="38" spans="1:12" x14ac:dyDescent="0.3">
      <c r="A38" t="s">
        <v>1</v>
      </c>
      <c r="B38">
        <v>8</v>
      </c>
      <c r="C38">
        <v>0.02</v>
      </c>
      <c r="D38">
        <f>0.08</f>
        <v>0.08</v>
      </c>
      <c r="E38">
        <f>6.406*1024</f>
        <v>6559.7439999999997</v>
      </c>
      <c r="F38">
        <f t="shared" si="0"/>
        <v>8017412.0959999999</v>
      </c>
      <c r="G38">
        <f>33.8</f>
        <v>33.799999999999997</v>
      </c>
      <c r="H38">
        <f>18</f>
        <v>18</v>
      </c>
      <c r="I38">
        <f>115</f>
        <v>115</v>
      </c>
      <c r="J38">
        <f>28.7</f>
        <v>28.7</v>
      </c>
      <c r="K38">
        <f>60</f>
        <v>60</v>
      </c>
      <c r="L38">
        <v>6</v>
      </c>
    </row>
    <row r="39" spans="1:12" x14ac:dyDescent="0.3">
      <c r="A39" t="s">
        <v>2</v>
      </c>
      <c r="B39">
        <v>17</v>
      </c>
      <c r="C39">
        <v>1.5</v>
      </c>
      <c r="D39">
        <f>0.17</f>
        <v>0.17</v>
      </c>
      <c r="E39">
        <f>13.11*1024</f>
        <v>13424.64</v>
      </c>
      <c r="F39">
        <f t="shared" si="0"/>
        <v>8017412.0959999999</v>
      </c>
      <c r="G39">
        <f>23.2</f>
        <v>23.2</v>
      </c>
      <c r="H39">
        <f>11.4</f>
        <v>11.4</v>
      </c>
      <c r="I39">
        <f>434</f>
        <v>434</v>
      </c>
      <c r="J39">
        <f>160</f>
        <v>160</v>
      </c>
      <c r="K39">
        <f>60</f>
        <v>60</v>
      </c>
      <c r="L39">
        <v>6</v>
      </c>
    </row>
    <row r="40" spans="1:12" x14ac:dyDescent="0.3">
      <c r="A40" t="s">
        <v>3</v>
      </c>
      <c r="B40">
        <v>2</v>
      </c>
      <c r="C40">
        <v>0</v>
      </c>
      <c r="D40">
        <f>0.01</f>
        <v>0.01</v>
      </c>
      <c r="E40">
        <f>820</f>
        <v>820</v>
      </c>
      <c r="F40">
        <f t="shared" si="0"/>
        <v>8017412.0959999999</v>
      </c>
      <c r="G40">
        <f>19.2</f>
        <v>19.2</v>
      </c>
      <c r="H40">
        <f>10.3</f>
        <v>10.3</v>
      </c>
      <c r="I40">
        <f>0</f>
        <v>0</v>
      </c>
      <c r="J40">
        <f>0</f>
        <v>0</v>
      </c>
      <c r="K40">
        <f>60</f>
        <v>60</v>
      </c>
      <c r="L40">
        <v>6</v>
      </c>
    </row>
    <row r="41" spans="1:12" x14ac:dyDescent="0.3">
      <c r="A41" t="s">
        <v>4</v>
      </c>
      <c r="B41">
        <v>2</v>
      </c>
      <c r="C41">
        <v>0</v>
      </c>
      <c r="D41">
        <f>0.01</f>
        <v>0.01</v>
      </c>
      <c r="E41">
        <f>828</f>
        <v>828</v>
      </c>
      <c r="F41">
        <f t="shared" si="0"/>
        <v>8017412.0959999999</v>
      </c>
      <c r="G41">
        <f>11.5</f>
        <v>11.5</v>
      </c>
      <c r="H41">
        <f>1.52</f>
        <v>1.52</v>
      </c>
      <c r="I41">
        <f>0</f>
        <v>0</v>
      </c>
      <c r="J41">
        <f>0</f>
        <v>0</v>
      </c>
      <c r="K41">
        <f>60</f>
        <v>60</v>
      </c>
      <c r="L41">
        <v>6</v>
      </c>
    </row>
    <row r="42" spans="1:12" x14ac:dyDescent="0.3">
      <c r="A42" t="s">
        <v>0</v>
      </c>
      <c r="B42">
        <v>29</v>
      </c>
      <c r="C42">
        <v>43.38</v>
      </c>
      <c r="D42">
        <f>1.79</f>
        <v>1.79</v>
      </c>
      <c r="E42">
        <f>140.3*1024</f>
        <v>143667.20000000001</v>
      </c>
      <c r="F42">
        <f t="shared" si="0"/>
        <v>8017412.0959999999</v>
      </c>
      <c r="G42">
        <f>6.89</f>
        <v>6.89</v>
      </c>
      <c r="H42">
        <f>2.85</f>
        <v>2.85</v>
      </c>
      <c r="I42">
        <f>36.9</f>
        <v>36.9</v>
      </c>
      <c r="J42">
        <f>16.4</f>
        <v>16.399999999999999</v>
      </c>
      <c r="K42">
        <f>68</f>
        <v>68</v>
      </c>
      <c r="L42">
        <v>5</v>
      </c>
    </row>
    <row r="43" spans="1:12" x14ac:dyDescent="0.3">
      <c r="A43" t="s">
        <v>1</v>
      </c>
      <c r="B43">
        <v>8</v>
      </c>
      <c r="C43">
        <v>0.01</v>
      </c>
      <c r="D43">
        <f>0.08</f>
        <v>0.08</v>
      </c>
      <c r="E43">
        <f>6.406*1024</f>
        <v>6559.7439999999997</v>
      </c>
      <c r="F43">
        <f t="shared" si="0"/>
        <v>8017412.0959999999</v>
      </c>
      <c r="G43">
        <f>33.9</f>
        <v>33.9</v>
      </c>
      <c r="H43">
        <f>18</f>
        <v>18</v>
      </c>
      <c r="I43">
        <f>115</f>
        <v>115</v>
      </c>
      <c r="J43">
        <f>28.7</f>
        <v>28.7</v>
      </c>
      <c r="K43">
        <f>68</f>
        <v>68</v>
      </c>
      <c r="L43">
        <v>5</v>
      </c>
    </row>
    <row r="44" spans="1:12" x14ac:dyDescent="0.3">
      <c r="A44" t="s">
        <v>2</v>
      </c>
      <c r="B44">
        <v>17</v>
      </c>
      <c r="C44">
        <v>1.59</v>
      </c>
      <c r="D44">
        <f>0.17</f>
        <v>0.17</v>
      </c>
      <c r="E44">
        <f>12.93*1024</f>
        <v>13240.32</v>
      </c>
      <c r="F44">
        <f t="shared" si="0"/>
        <v>8017412.0959999999</v>
      </c>
      <c r="G44">
        <f>26.4</f>
        <v>26.4</v>
      </c>
      <c r="H44">
        <f>12.6</f>
        <v>12.6</v>
      </c>
      <c r="I44">
        <f>434</f>
        <v>434</v>
      </c>
      <c r="J44">
        <f>160</f>
        <v>160</v>
      </c>
      <c r="K44">
        <f>68</f>
        <v>68</v>
      </c>
      <c r="L44">
        <v>5</v>
      </c>
    </row>
    <row r="45" spans="1:12" x14ac:dyDescent="0.3">
      <c r="A45" t="s">
        <v>3</v>
      </c>
      <c r="B45">
        <v>2</v>
      </c>
      <c r="C45">
        <v>0</v>
      </c>
      <c r="D45">
        <f>0.01</f>
        <v>0.01</v>
      </c>
      <c r="E45">
        <f>820</f>
        <v>820</v>
      </c>
      <c r="F45">
        <f t="shared" si="0"/>
        <v>8017412.0959999999</v>
      </c>
      <c r="G45">
        <f>19.2</f>
        <v>19.2</v>
      </c>
      <c r="H45">
        <f>10.3</f>
        <v>10.3</v>
      </c>
      <c r="I45">
        <f>0</f>
        <v>0</v>
      </c>
      <c r="J45">
        <f>0</f>
        <v>0</v>
      </c>
      <c r="K45">
        <f>68</f>
        <v>68</v>
      </c>
      <c r="L45">
        <v>5</v>
      </c>
    </row>
    <row r="46" spans="1:12" x14ac:dyDescent="0.3">
      <c r="A46" t="s">
        <v>4</v>
      </c>
      <c r="B46">
        <v>2</v>
      </c>
      <c r="C46">
        <v>0</v>
      </c>
      <c r="D46">
        <f>0.01</f>
        <v>0.01</v>
      </c>
      <c r="E46">
        <f>828</f>
        <v>828</v>
      </c>
      <c r="F46">
        <f t="shared" si="0"/>
        <v>8017412.0959999999</v>
      </c>
      <c r="G46">
        <f>11.5</f>
        <v>11.5</v>
      </c>
      <c r="H46">
        <f>1.52</f>
        <v>1.52</v>
      </c>
      <c r="I46">
        <f>0</f>
        <v>0</v>
      </c>
      <c r="J46">
        <f>0</f>
        <v>0</v>
      </c>
      <c r="K46">
        <f>68</f>
        <v>68</v>
      </c>
      <c r="L46">
        <v>5</v>
      </c>
    </row>
    <row r="47" spans="1:12" x14ac:dyDescent="0.3">
      <c r="A47" t="s">
        <v>0</v>
      </c>
      <c r="B47">
        <v>29</v>
      </c>
      <c r="C47">
        <v>43.22</v>
      </c>
      <c r="D47">
        <f>1.79</f>
        <v>1.79</v>
      </c>
      <c r="E47">
        <f>140.2*1024</f>
        <v>143564.79999999999</v>
      </c>
      <c r="F47">
        <f t="shared" si="0"/>
        <v>8017412.0959999999</v>
      </c>
      <c r="G47">
        <f>7.34</f>
        <v>7.34</v>
      </c>
      <c r="H47">
        <f>3.18</f>
        <v>3.18</v>
      </c>
      <c r="I47">
        <f>36.9</f>
        <v>36.9</v>
      </c>
      <c r="J47">
        <f>16.4</f>
        <v>16.399999999999999</v>
      </c>
      <c r="K47">
        <f>75</f>
        <v>75</v>
      </c>
      <c r="L47">
        <v>5</v>
      </c>
    </row>
    <row r="48" spans="1:12" x14ac:dyDescent="0.3">
      <c r="A48" t="s">
        <v>1</v>
      </c>
      <c r="B48">
        <v>8</v>
      </c>
      <c r="C48">
        <v>0.02</v>
      </c>
      <c r="D48">
        <f>0.08</f>
        <v>0.08</v>
      </c>
      <c r="E48">
        <f>6.406*1024</f>
        <v>6559.7439999999997</v>
      </c>
      <c r="F48">
        <f t="shared" si="0"/>
        <v>8017412.0959999999</v>
      </c>
      <c r="G48">
        <f>34</f>
        <v>34</v>
      </c>
      <c r="H48">
        <f>18</f>
        <v>18</v>
      </c>
      <c r="I48">
        <f>115</f>
        <v>115</v>
      </c>
      <c r="J48">
        <f>28.7</f>
        <v>28.7</v>
      </c>
      <c r="K48">
        <f>75</f>
        <v>75</v>
      </c>
      <c r="L48">
        <v>5</v>
      </c>
    </row>
    <row r="49" spans="1:12" x14ac:dyDescent="0.3">
      <c r="A49" t="s">
        <v>2</v>
      </c>
      <c r="B49">
        <v>17</v>
      </c>
      <c r="C49">
        <v>1.61</v>
      </c>
      <c r="D49">
        <f>0.17</f>
        <v>0.17</v>
      </c>
      <c r="E49">
        <f>12.95*1024</f>
        <v>13260.8</v>
      </c>
      <c r="F49">
        <f t="shared" si="0"/>
        <v>8017412.0959999999</v>
      </c>
      <c r="G49">
        <f>28.6</f>
        <v>28.6</v>
      </c>
      <c r="H49">
        <f>13.5</f>
        <v>13.5</v>
      </c>
      <c r="I49">
        <f>434</f>
        <v>434</v>
      </c>
      <c r="J49">
        <f>160</f>
        <v>160</v>
      </c>
      <c r="K49">
        <f>75</f>
        <v>75</v>
      </c>
      <c r="L49">
        <v>5</v>
      </c>
    </row>
    <row r="50" spans="1:12" x14ac:dyDescent="0.3">
      <c r="A50" t="s">
        <v>3</v>
      </c>
      <c r="B50">
        <v>2</v>
      </c>
      <c r="C50">
        <v>0</v>
      </c>
      <c r="D50">
        <f>0.01</f>
        <v>0.01</v>
      </c>
      <c r="E50">
        <f>820</f>
        <v>820</v>
      </c>
      <c r="F50">
        <f t="shared" si="0"/>
        <v>8017412.0959999999</v>
      </c>
      <c r="G50">
        <f>19.2</f>
        <v>19.2</v>
      </c>
      <c r="H50">
        <f>10.3</f>
        <v>10.3</v>
      </c>
      <c r="I50">
        <f>0</f>
        <v>0</v>
      </c>
      <c r="J50">
        <f>0</f>
        <v>0</v>
      </c>
      <c r="K50">
        <f>75</f>
        <v>75</v>
      </c>
      <c r="L50">
        <v>5</v>
      </c>
    </row>
    <row r="51" spans="1:12" x14ac:dyDescent="0.3">
      <c r="A51" t="s">
        <v>4</v>
      </c>
      <c r="B51">
        <v>2</v>
      </c>
      <c r="C51">
        <v>0.01</v>
      </c>
      <c r="D51">
        <f>0.01</f>
        <v>0.01</v>
      </c>
      <c r="E51">
        <f>828</f>
        <v>828</v>
      </c>
      <c r="F51">
        <f t="shared" si="0"/>
        <v>8017412.0959999999</v>
      </c>
      <c r="G51">
        <f>11.5</f>
        <v>11.5</v>
      </c>
      <c r="H51">
        <f>1.52</f>
        <v>1.52</v>
      </c>
      <c r="I51">
        <f>0</f>
        <v>0</v>
      </c>
      <c r="J51">
        <f>0</f>
        <v>0</v>
      </c>
      <c r="K51">
        <f>75</f>
        <v>75</v>
      </c>
      <c r="L51">
        <v>5</v>
      </c>
    </row>
    <row r="52" spans="1:12" x14ac:dyDescent="0.3">
      <c r="A52" t="s">
        <v>0</v>
      </c>
      <c r="B52">
        <v>29</v>
      </c>
      <c r="C52">
        <v>44.31</v>
      </c>
      <c r="D52">
        <f>1.79</f>
        <v>1.79</v>
      </c>
      <c r="E52">
        <f>140.5*1024</f>
        <v>143872</v>
      </c>
      <c r="F52">
        <f t="shared" si="0"/>
        <v>8017412.0959999999</v>
      </c>
      <c r="G52">
        <f>7.78</f>
        <v>7.78</v>
      </c>
      <c r="H52">
        <f>3.5</f>
        <v>3.5</v>
      </c>
      <c r="I52">
        <f>36.9</f>
        <v>36.9</v>
      </c>
      <c r="J52">
        <f>16.4</f>
        <v>16.399999999999999</v>
      </c>
      <c r="K52">
        <f>83</f>
        <v>83</v>
      </c>
      <c r="L52">
        <v>6</v>
      </c>
    </row>
    <row r="53" spans="1:12" x14ac:dyDescent="0.3">
      <c r="A53" t="s">
        <v>1</v>
      </c>
      <c r="B53">
        <v>8</v>
      </c>
      <c r="C53">
        <v>0.05</v>
      </c>
      <c r="D53">
        <f>0.08</f>
        <v>0.08</v>
      </c>
      <c r="E53">
        <f>6.406*1024</f>
        <v>6559.7439999999997</v>
      </c>
      <c r="F53">
        <f t="shared" si="0"/>
        <v>8017412.0959999999</v>
      </c>
      <c r="G53">
        <f>34</f>
        <v>34</v>
      </c>
      <c r="H53">
        <f>18</f>
        <v>18</v>
      </c>
      <c r="I53">
        <f>115</f>
        <v>115</v>
      </c>
      <c r="J53">
        <f>28.7</f>
        <v>28.7</v>
      </c>
      <c r="K53">
        <f>83</f>
        <v>83</v>
      </c>
      <c r="L53">
        <v>6</v>
      </c>
    </row>
    <row r="54" spans="1:12" x14ac:dyDescent="0.3">
      <c r="A54" t="s">
        <v>2</v>
      </c>
      <c r="B54">
        <v>17</v>
      </c>
      <c r="C54">
        <v>1.53</v>
      </c>
      <c r="D54">
        <f>0.17</f>
        <v>0.17</v>
      </c>
      <c r="E54">
        <f>13.15*1024</f>
        <v>13465.6</v>
      </c>
      <c r="F54">
        <f t="shared" si="0"/>
        <v>8017412.0959999999</v>
      </c>
      <c r="G54">
        <f>31.7</f>
        <v>31.7</v>
      </c>
      <c r="H54">
        <f>14.8</f>
        <v>14.8</v>
      </c>
      <c r="I54">
        <f>434</f>
        <v>434</v>
      </c>
      <c r="J54">
        <f>160</f>
        <v>160</v>
      </c>
      <c r="K54">
        <f>83</f>
        <v>83</v>
      </c>
      <c r="L54">
        <v>6</v>
      </c>
    </row>
    <row r="55" spans="1:12" x14ac:dyDescent="0.3">
      <c r="A55" t="s">
        <v>3</v>
      </c>
      <c r="B55">
        <v>2</v>
      </c>
      <c r="C55">
        <v>0</v>
      </c>
      <c r="D55">
        <f>0.01</f>
        <v>0.01</v>
      </c>
      <c r="E55">
        <f>820</f>
        <v>820</v>
      </c>
      <c r="F55">
        <f t="shared" si="0"/>
        <v>8017412.0959999999</v>
      </c>
      <c r="G55">
        <f>19.2</f>
        <v>19.2</v>
      </c>
      <c r="H55">
        <f>10.3</f>
        <v>10.3</v>
      </c>
      <c r="I55">
        <f>0</f>
        <v>0</v>
      </c>
      <c r="J55">
        <f>0</f>
        <v>0</v>
      </c>
      <c r="K55">
        <f>83</f>
        <v>83</v>
      </c>
      <c r="L55">
        <v>6</v>
      </c>
    </row>
    <row r="56" spans="1:12" x14ac:dyDescent="0.3">
      <c r="A56" t="s">
        <v>4</v>
      </c>
      <c r="B56">
        <v>2</v>
      </c>
      <c r="C56">
        <v>0</v>
      </c>
      <c r="D56">
        <f>0.01</f>
        <v>0.01</v>
      </c>
      <c r="E56">
        <f>828</f>
        <v>828</v>
      </c>
      <c r="F56">
        <f t="shared" si="0"/>
        <v>8017412.0959999999</v>
      </c>
      <c r="G56">
        <f>11.5</f>
        <v>11.5</v>
      </c>
      <c r="H56">
        <f>1.52</f>
        <v>1.52</v>
      </c>
      <c r="I56">
        <f>0</f>
        <v>0</v>
      </c>
      <c r="J56">
        <f>0</f>
        <v>0</v>
      </c>
      <c r="K56">
        <f>83</f>
        <v>83</v>
      </c>
      <c r="L56">
        <v>6</v>
      </c>
    </row>
    <row r="57" spans="1:12" x14ac:dyDescent="0.3">
      <c r="A57" t="s">
        <v>0</v>
      </c>
      <c r="B57">
        <v>29</v>
      </c>
      <c r="C57">
        <v>41.3</v>
      </c>
      <c r="D57">
        <f>1.8</f>
        <v>1.8</v>
      </c>
      <c r="E57">
        <f>140.8*1024</f>
        <v>144179.20000000001</v>
      </c>
      <c r="F57">
        <f t="shared" si="0"/>
        <v>8017412.0959999999</v>
      </c>
      <c r="G57">
        <f>8.24</f>
        <v>8.24</v>
      </c>
      <c r="H57">
        <f>3.85</f>
        <v>3.85</v>
      </c>
      <c r="I57">
        <f>36.9</f>
        <v>36.9</v>
      </c>
      <c r="J57">
        <f>16.4</f>
        <v>16.399999999999999</v>
      </c>
      <c r="K57">
        <f>91</f>
        <v>91</v>
      </c>
      <c r="L57">
        <v>6</v>
      </c>
    </row>
    <row r="58" spans="1:12" x14ac:dyDescent="0.3">
      <c r="A58" t="s">
        <v>1</v>
      </c>
      <c r="B58">
        <v>8</v>
      </c>
      <c r="C58">
        <v>0.02</v>
      </c>
      <c r="D58">
        <f>0.08</f>
        <v>0.08</v>
      </c>
      <c r="E58">
        <f>6.406*1024</f>
        <v>6559.7439999999997</v>
      </c>
      <c r="F58">
        <f t="shared" si="0"/>
        <v>8017412.0959999999</v>
      </c>
      <c r="G58">
        <f>34</f>
        <v>34</v>
      </c>
      <c r="H58">
        <f>18</f>
        <v>18</v>
      </c>
      <c r="I58">
        <f>115</f>
        <v>115</v>
      </c>
      <c r="J58">
        <f>28.7</f>
        <v>28.7</v>
      </c>
      <c r="K58">
        <f>91</f>
        <v>91</v>
      </c>
      <c r="L58">
        <v>6</v>
      </c>
    </row>
    <row r="59" spans="1:12" x14ac:dyDescent="0.3">
      <c r="A59" t="s">
        <v>2</v>
      </c>
      <c r="B59">
        <v>17</v>
      </c>
      <c r="C59">
        <v>1.48</v>
      </c>
      <c r="D59">
        <f>0.16</f>
        <v>0.16</v>
      </c>
      <c r="E59">
        <f>12.84*1024</f>
        <v>13148.16</v>
      </c>
      <c r="F59">
        <f t="shared" si="0"/>
        <v>8017412.0959999999</v>
      </c>
      <c r="G59">
        <f>34.8</f>
        <v>34.799999999999997</v>
      </c>
      <c r="H59">
        <f>15.9</f>
        <v>15.9</v>
      </c>
      <c r="I59">
        <f>434</f>
        <v>434</v>
      </c>
      <c r="J59">
        <f>160</f>
        <v>160</v>
      </c>
      <c r="K59">
        <f>91</f>
        <v>91</v>
      </c>
      <c r="L59">
        <v>6</v>
      </c>
    </row>
    <row r="60" spans="1:12" x14ac:dyDescent="0.3">
      <c r="A60" t="s">
        <v>3</v>
      </c>
      <c r="B60">
        <v>2</v>
      </c>
      <c r="C60">
        <v>0</v>
      </c>
      <c r="D60">
        <f>0.01</f>
        <v>0.01</v>
      </c>
      <c r="E60">
        <f>820</f>
        <v>820</v>
      </c>
      <c r="F60">
        <f t="shared" si="0"/>
        <v>8017412.0959999999</v>
      </c>
      <c r="G60">
        <f>19.2</f>
        <v>19.2</v>
      </c>
      <c r="H60">
        <f>10.3</f>
        <v>10.3</v>
      </c>
      <c r="I60">
        <f>0</f>
        <v>0</v>
      </c>
      <c r="J60">
        <f>0</f>
        <v>0</v>
      </c>
      <c r="K60">
        <f>91</f>
        <v>91</v>
      </c>
      <c r="L60">
        <v>6</v>
      </c>
    </row>
    <row r="61" spans="1:12" x14ac:dyDescent="0.3">
      <c r="A61" t="s">
        <v>4</v>
      </c>
      <c r="B61">
        <v>2</v>
      </c>
      <c r="C61">
        <v>0</v>
      </c>
      <c r="D61">
        <f>0.01</f>
        <v>0.01</v>
      </c>
      <c r="E61">
        <f>828</f>
        <v>828</v>
      </c>
      <c r="F61">
        <f t="shared" si="0"/>
        <v>8017412.0959999999</v>
      </c>
      <c r="G61">
        <f>11.5</f>
        <v>11.5</v>
      </c>
      <c r="H61">
        <f>1.52</f>
        <v>1.52</v>
      </c>
      <c r="I61">
        <f>0</f>
        <v>0</v>
      </c>
      <c r="J61">
        <f>0</f>
        <v>0</v>
      </c>
      <c r="K61">
        <f>91</f>
        <v>91</v>
      </c>
      <c r="L61">
        <v>6</v>
      </c>
    </row>
    <row r="62" spans="1:12" x14ac:dyDescent="0.3">
      <c r="A62" t="s">
        <v>0</v>
      </c>
      <c r="B62">
        <v>29</v>
      </c>
      <c r="C62">
        <v>59.28</v>
      </c>
      <c r="D62">
        <f>1.97</f>
        <v>1.97</v>
      </c>
      <c r="E62">
        <f>154*1024</f>
        <v>157696</v>
      </c>
      <c r="F62">
        <f t="shared" si="0"/>
        <v>8017412.0959999999</v>
      </c>
      <c r="G62">
        <f>8.68</f>
        <v>8.68</v>
      </c>
      <c r="H62">
        <f>4.18</f>
        <v>4.18</v>
      </c>
      <c r="I62">
        <f>10.1*1000</f>
        <v>10100</v>
      </c>
      <c r="J62">
        <f>16.4</f>
        <v>16.399999999999999</v>
      </c>
      <c r="K62">
        <f>99</f>
        <v>99</v>
      </c>
      <c r="L62">
        <v>5</v>
      </c>
    </row>
    <row r="63" spans="1:12" x14ac:dyDescent="0.3">
      <c r="A63" t="s">
        <v>1</v>
      </c>
      <c r="B63">
        <v>8</v>
      </c>
      <c r="C63">
        <v>0.02</v>
      </c>
      <c r="D63">
        <f>0.08</f>
        <v>0.08</v>
      </c>
      <c r="E63">
        <f>6.406*1024</f>
        <v>6559.7439999999997</v>
      </c>
      <c r="F63">
        <f t="shared" si="0"/>
        <v>8017412.0959999999</v>
      </c>
      <c r="G63">
        <f>34</f>
        <v>34</v>
      </c>
      <c r="H63">
        <f>18</f>
        <v>18</v>
      </c>
      <c r="I63">
        <f>115</f>
        <v>115</v>
      </c>
      <c r="J63">
        <f>28.7</f>
        <v>28.7</v>
      </c>
      <c r="K63">
        <f>99</f>
        <v>99</v>
      </c>
      <c r="L63">
        <v>5</v>
      </c>
    </row>
    <row r="64" spans="1:12" x14ac:dyDescent="0.3">
      <c r="A64" t="s">
        <v>2</v>
      </c>
      <c r="B64">
        <v>17</v>
      </c>
      <c r="C64">
        <v>1.49</v>
      </c>
      <c r="D64">
        <f>0.17</f>
        <v>0.17</v>
      </c>
      <c r="E64">
        <f>12.93*1024</f>
        <v>13240.32</v>
      </c>
      <c r="F64">
        <f t="shared" si="0"/>
        <v>8017412.0959999999</v>
      </c>
      <c r="G64">
        <f>37.5</f>
        <v>37.5</v>
      </c>
      <c r="H64">
        <f>17</f>
        <v>17</v>
      </c>
      <c r="I64">
        <f>434</f>
        <v>434</v>
      </c>
      <c r="J64">
        <f>160</f>
        <v>160</v>
      </c>
      <c r="K64">
        <f>99</f>
        <v>99</v>
      </c>
      <c r="L64">
        <v>5</v>
      </c>
    </row>
    <row r="65" spans="1:12" x14ac:dyDescent="0.3">
      <c r="A65" t="s">
        <v>3</v>
      </c>
      <c r="B65">
        <v>2</v>
      </c>
      <c r="C65">
        <v>0</v>
      </c>
      <c r="D65">
        <f>0.01</f>
        <v>0.01</v>
      </c>
      <c r="E65">
        <f>820</f>
        <v>820</v>
      </c>
      <c r="F65">
        <f t="shared" si="0"/>
        <v>8017412.0959999999</v>
      </c>
      <c r="G65">
        <f>19.2</f>
        <v>19.2</v>
      </c>
      <c r="H65">
        <f>10.3</f>
        <v>10.3</v>
      </c>
      <c r="I65">
        <f>0</f>
        <v>0</v>
      </c>
      <c r="J65">
        <f>0</f>
        <v>0</v>
      </c>
      <c r="K65">
        <f>99</f>
        <v>99</v>
      </c>
      <c r="L65">
        <v>5</v>
      </c>
    </row>
    <row r="66" spans="1:12" x14ac:dyDescent="0.3">
      <c r="A66" t="s">
        <v>4</v>
      </c>
      <c r="B66">
        <v>2</v>
      </c>
      <c r="C66">
        <v>0</v>
      </c>
      <c r="D66">
        <f>0.01</f>
        <v>0.01</v>
      </c>
      <c r="E66">
        <f>828</f>
        <v>828</v>
      </c>
      <c r="F66">
        <f t="shared" ref="F66:F129" si="1">7.646*1024*1024</f>
        <v>8017412.0959999999</v>
      </c>
      <c r="G66">
        <f>11.5</f>
        <v>11.5</v>
      </c>
      <c r="H66">
        <f>1.52</f>
        <v>1.52</v>
      </c>
      <c r="I66">
        <f>0</f>
        <v>0</v>
      </c>
      <c r="J66">
        <f>0</f>
        <v>0</v>
      </c>
      <c r="K66">
        <f>99</f>
        <v>99</v>
      </c>
      <c r="L66">
        <v>5</v>
      </c>
    </row>
    <row r="67" spans="1:12" x14ac:dyDescent="0.3">
      <c r="A67" t="s">
        <v>0</v>
      </c>
      <c r="B67">
        <v>29</v>
      </c>
      <c r="C67">
        <v>46.49</v>
      </c>
      <c r="D67">
        <f>2.28</f>
        <v>2.2799999999999998</v>
      </c>
      <c r="E67">
        <f>178.9*1024</f>
        <v>183193.60000000001</v>
      </c>
      <c r="F67">
        <f t="shared" si="1"/>
        <v>8017412.0959999999</v>
      </c>
      <c r="G67">
        <f>18.8</f>
        <v>18.8</v>
      </c>
      <c r="H67">
        <f>20.4</f>
        <v>20.399999999999999</v>
      </c>
      <c r="I67">
        <f>25.5*1000</f>
        <v>25500</v>
      </c>
      <c r="J67">
        <f>16.4</f>
        <v>16.399999999999999</v>
      </c>
      <c r="K67">
        <f>107</f>
        <v>107</v>
      </c>
      <c r="L67">
        <v>8</v>
      </c>
    </row>
    <row r="68" spans="1:12" x14ac:dyDescent="0.3">
      <c r="A68" t="s">
        <v>1</v>
      </c>
      <c r="B68">
        <v>8</v>
      </c>
      <c r="C68">
        <v>0.47</v>
      </c>
      <c r="D68">
        <f>0.1</f>
        <v>0.1</v>
      </c>
      <c r="E68">
        <f>7.902*1024</f>
        <v>8091.6480000000001</v>
      </c>
      <c r="F68">
        <f t="shared" si="1"/>
        <v>8017412.0959999999</v>
      </c>
      <c r="G68">
        <f>64.9</f>
        <v>64.900000000000006</v>
      </c>
      <c r="H68">
        <f>44.7</f>
        <v>44.7</v>
      </c>
      <c r="I68">
        <f>246</f>
        <v>246</v>
      </c>
      <c r="J68">
        <f>28.7</f>
        <v>28.7</v>
      </c>
      <c r="K68">
        <f>107</f>
        <v>107</v>
      </c>
      <c r="L68">
        <v>8</v>
      </c>
    </row>
    <row r="69" spans="1:12" x14ac:dyDescent="0.3">
      <c r="A69" t="s">
        <v>2</v>
      </c>
      <c r="B69">
        <v>17</v>
      </c>
      <c r="C69">
        <v>4.25</v>
      </c>
      <c r="D69">
        <f>0.18</f>
        <v>0.18</v>
      </c>
      <c r="E69">
        <f>14.08*1024</f>
        <v>14417.92</v>
      </c>
      <c r="F69">
        <f t="shared" si="1"/>
        <v>8017412.0959999999</v>
      </c>
      <c r="G69">
        <f>62.4</f>
        <v>62.4</v>
      </c>
      <c r="H69">
        <f>38.6</f>
        <v>38.6</v>
      </c>
      <c r="I69">
        <f>516</f>
        <v>516</v>
      </c>
      <c r="J69">
        <f>201</f>
        <v>201</v>
      </c>
      <c r="K69">
        <f>107</f>
        <v>107</v>
      </c>
      <c r="L69">
        <v>8</v>
      </c>
    </row>
    <row r="70" spans="1:12" x14ac:dyDescent="0.3">
      <c r="A70" t="s">
        <v>3</v>
      </c>
      <c r="B70">
        <v>2</v>
      </c>
      <c r="C70">
        <v>0</v>
      </c>
      <c r="D70">
        <f>0.01</f>
        <v>0.01</v>
      </c>
      <c r="E70">
        <f>820</f>
        <v>820</v>
      </c>
      <c r="F70">
        <f t="shared" si="1"/>
        <v>8017412.0959999999</v>
      </c>
      <c r="G70">
        <f>57.4</f>
        <v>57.4</v>
      </c>
      <c r="H70">
        <f>48.2</f>
        <v>48.2</v>
      </c>
      <c r="I70">
        <f>0</f>
        <v>0</v>
      </c>
      <c r="J70">
        <f>0</f>
        <v>0</v>
      </c>
      <c r="K70">
        <f>107</f>
        <v>107</v>
      </c>
      <c r="L70">
        <v>8</v>
      </c>
    </row>
    <row r="71" spans="1:12" x14ac:dyDescent="0.3">
      <c r="A71" t="s">
        <v>4</v>
      </c>
      <c r="B71">
        <v>2</v>
      </c>
      <c r="C71">
        <v>0</v>
      </c>
      <c r="D71">
        <f>0.01</f>
        <v>0.01</v>
      </c>
      <c r="E71">
        <f>828</f>
        <v>828</v>
      </c>
      <c r="F71">
        <f t="shared" si="1"/>
        <v>8017412.0959999999</v>
      </c>
      <c r="G71">
        <f>37.8</f>
        <v>37.799999999999997</v>
      </c>
      <c r="H71">
        <f>27.8</f>
        <v>27.8</v>
      </c>
      <c r="I71">
        <f>0</f>
        <v>0</v>
      </c>
      <c r="J71">
        <f>0</f>
        <v>0</v>
      </c>
      <c r="K71">
        <f>107</f>
        <v>107</v>
      </c>
      <c r="L71">
        <v>8</v>
      </c>
    </row>
    <row r="72" spans="1:12" x14ac:dyDescent="0.3">
      <c r="A72" t="s">
        <v>0</v>
      </c>
      <c r="B72">
        <v>29</v>
      </c>
      <c r="C72">
        <v>42.31</v>
      </c>
      <c r="D72">
        <f>2.3</f>
        <v>2.2999999999999998</v>
      </c>
      <c r="E72">
        <f>179.7*1024</f>
        <v>184012.79999999999</v>
      </c>
      <c r="F72">
        <f t="shared" si="1"/>
        <v>8017412.0959999999</v>
      </c>
      <c r="G72">
        <f>29.5</f>
        <v>29.5</v>
      </c>
      <c r="H72">
        <f>32</f>
        <v>32</v>
      </c>
      <c r="I72">
        <f>25.5*1000</f>
        <v>25500</v>
      </c>
      <c r="J72">
        <f>16.4</f>
        <v>16.399999999999999</v>
      </c>
      <c r="K72">
        <f>114</f>
        <v>114</v>
      </c>
      <c r="L72">
        <v>10</v>
      </c>
    </row>
    <row r="73" spans="1:12" x14ac:dyDescent="0.3">
      <c r="A73" t="s">
        <v>1</v>
      </c>
      <c r="B73">
        <v>12</v>
      </c>
      <c r="C73">
        <v>0.74</v>
      </c>
      <c r="D73">
        <f>0.12</f>
        <v>0.12</v>
      </c>
      <c r="E73">
        <f>9.109*1024</f>
        <v>9327.616</v>
      </c>
      <c r="F73">
        <f t="shared" si="1"/>
        <v>8017412.0959999999</v>
      </c>
      <c r="G73">
        <f>104</f>
        <v>104</v>
      </c>
      <c r="H73">
        <f>83.6</f>
        <v>83.6</v>
      </c>
      <c r="I73">
        <f>246</f>
        <v>246</v>
      </c>
      <c r="J73">
        <f>28.7</f>
        <v>28.7</v>
      </c>
      <c r="K73">
        <f>114</f>
        <v>114</v>
      </c>
      <c r="L73">
        <v>10</v>
      </c>
    </row>
    <row r="74" spans="1:12" x14ac:dyDescent="0.3">
      <c r="A74" t="s">
        <v>2</v>
      </c>
      <c r="B74">
        <v>17</v>
      </c>
      <c r="C74">
        <v>10.61</v>
      </c>
      <c r="D74">
        <f>0.18</f>
        <v>0.18</v>
      </c>
      <c r="E74">
        <f>14.12*1024</f>
        <v>14458.88</v>
      </c>
      <c r="F74">
        <f t="shared" si="1"/>
        <v>8017412.0959999999</v>
      </c>
      <c r="G74">
        <f>90.5</f>
        <v>90.5</v>
      </c>
      <c r="H74">
        <f>64.2</f>
        <v>64.2</v>
      </c>
      <c r="I74">
        <f>516</f>
        <v>516</v>
      </c>
      <c r="J74">
        <f>373</f>
        <v>373</v>
      </c>
      <c r="K74">
        <f>114</f>
        <v>114</v>
      </c>
      <c r="L74">
        <v>10</v>
      </c>
    </row>
    <row r="75" spans="1:12" x14ac:dyDescent="0.3">
      <c r="A75" t="s">
        <v>3</v>
      </c>
      <c r="B75">
        <v>2</v>
      </c>
      <c r="C75">
        <v>0</v>
      </c>
      <c r="D75">
        <f>0.01</f>
        <v>0.01</v>
      </c>
      <c r="E75">
        <f>820</f>
        <v>820</v>
      </c>
      <c r="F75">
        <f t="shared" si="1"/>
        <v>8017412.0959999999</v>
      </c>
      <c r="G75">
        <f>100</f>
        <v>100</v>
      </c>
      <c r="H75">
        <f>91.1</f>
        <v>91.1</v>
      </c>
      <c r="I75">
        <f>0</f>
        <v>0</v>
      </c>
      <c r="J75">
        <f>0</f>
        <v>0</v>
      </c>
      <c r="K75">
        <f>114</f>
        <v>114</v>
      </c>
      <c r="L75">
        <v>10</v>
      </c>
    </row>
    <row r="76" spans="1:12" x14ac:dyDescent="0.3">
      <c r="A76" t="s">
        <v>4</v>
      </c>
      <c r="B76">
        <v>2</v>
      </c>
      <c r="C76">
        <v>0</v>
      </c>
      <c r="D76">
        <f>0.01</f>
        <v>0.01</v>
      </c>
      <c r="E76">
        <f>828</f>
        <v>828</v>
      </c>
      <c r="F76">
        <f t="shared" si="1"/>
        <v>8017412.0959999999</v>
      </c>
      <c r="G76">
        <f>66.2</f>
        <v>66.2</v>
      </c>
      <c r="H76">
        <f>56</f>
        <v>56</v>
      </c>
      <c r="I76">
        <f>0</f>
        <v>0</v>
      </c>
      <c r="J76">
        <f>0</f>
        <v>0</v>
      </c>
      <c r="K76">
        <f>114</f>
        <v>114</v>
      </c>
      <c r="L76">
        <v>10</v>
      </c>
    </row>
    <row r="77" spans="1:12" x14ac:dyDescent="0.3">
      <c r="A77" t="s">
        <v>0</v>
      </c>
      <c r="B77">
        <v>29</v>
      </c>
      <c r="C77">
        <v>47.35</v>
      </c>
      <c r="D77">
        <f>2.3</f>
        <v>2.2999999999999998</v>
      </c>
      <c r="E77">
        <f>180.2*1024</f>
        <v>184524.79999999999</v>
      </c>
      <c r="F77">
        <f t="shared" si="1"/>
        <v>8017412.0959999999</v>
      </c>
      <c r="G77">
        <f>43.4</f>
        <v>43.4</v>
      </c>
      <c r="H77">
        <f>48.2</f>
        <v>48.2</v>
      </c>
      <c r="I77">
        <f>25.5*1000</f>
        <v>25500</v>
      </c>
      <c r="J77">
        <f>16.4</f>
        <v>16.399999999999999</v>
      </c>
      <c r="K77">
        <f>122</f>
        <v>122</v>
      </c>
      <c r="L77">
        <v>10</v>
      </c>
    </row>
    <row r="78" spans="1:12" x14ac:dyDescent="0.3">
      <c r="A78" t="s">
        <v>1</v>
      </c>
      <c r="B78">
        <v>12</v>
      </c>
      <c r="C78">
        <v>0.61</v>
      </c>
      <c r="D78">
        <f>0.12</f>
        <v>0.12</v>
      </c>
      <c r="E78">
        <f>9.48*1024</f>
        <v>9707.52</v>
      </c>
      <c r="F78">
        <f t="shared" si="1"/>
        <v>8017412.0959999999</v>
      </c>
      <c r="G78">
        <f>135</f>
        <v>135</v>
      </c>
      <c r="H78">
        <f>115</f>
        <v>115</v>
      </c>
      <c r="I78">
        <f>246</f>
        <v>246</v>
      </c>
      <c r="J78">
        <f>28.7</f>
        <v>28.7</v>
      </c>
      <c r="K78">
        <f>122</f>
        <v>122</v>
      </c>
      <c r="L78">
        <v>10</v>
      </c>
    </row>
    <row r="79" spans="1:12" x14ac:dyDescent="0.3">
      <c r="A79" t="s">
        <v>2</v>
      </c>
      <c r="B79">
        <v>17</v>
      </c>
      <c r="C79">
        <v>9.23</v>
      </c>
      <c r="D79">
        <f>0.18</f>
        <v>0.18</v>
      </c>
      <c r="E79">
        <f>13.94*1024</f>
        <v>14274.56</v>
      </c>
      <c r="F79">
        <f t="shared" si="1"/>
        <v>8017412.0959999999</v>
      </c>
      <c r="G79">
        <f>116</f>
        <v>116</v>
      </c>
      <c r="H79">
        <f>86.4</f>
        <v>86.4</v>
      </c>
      <c r="I79">
        <f>516</f>
        <v>516</v>
      </c>
      <c r="J79">
        <f>508</f>
        <v>508</v>
      </c>
      <c r="K79">
        <f>122</f>
        <v>122</v>
      </c>
      <c r="L79">
        <v>10</v>
      </c>
    </row>
    <row r="80" spans="1:12" x14ac:dyDescent="0.3">
      <c r="A80" t="s">
        <v>3</v>
      </c>
      <c r="B80">
        <v>2</v>
      </c>
      <c r="C80">
        <v>0</v>
      </c>
      <c r="D80">
        <f>0.01</f>
        <v>0.01</v>
      </c>
      <c r="E80">
        <f>820</f>
        <v>820</v>
      </c>
      <c r="F80">
        <f t="shared" si="1"/>
        <v>8017412.0959999999</v>
      </c>
      <c r="G80">
        <f>139</f>
        <v>139</v>
      </c>
      <c r="H80">
        <f>129</f>
        <v>129</v>
      </c>
      <c r="I80">
        <f>0</f>
        <v>0</v>
      </c>
      <c r="J80">
        <f>0</f>
        <v>0</v>
      </c>
      <c r="K80">
        <f>122</f>
        <v>122</v>
      </c>
      <c r="L80">
        <v>10</v>
      </c>
    </row>
    <row r="81" spans="1:12" x14ac:dyDescent="0.3">
      <c r="A81" t="s">
        <v>4</v>
      </c>
      <c r="B81">
        <v>2</v>
      </c>
      <c r="C81">
        <v>0</v>
      </c>
      <c r="D81">
        <f>0.01</f>
        <v>0.01</v>
      </c>
      <c r="E81">
        <f>828</f>
        <v>828</v>
      </c>
      <c r="F81">
        <f t="shared" si="1"/>
        <v>8017412.0959999999</v>
      </c>
      <c r="G81">
        <f>84.5</f>
        <v>84.5</v>
      </c>
      <c r="H81">
        <f>74.1</f>
        <v>74.099999999999994</v>
      </c>
      <c r="I81">
        <f>0</f>
        <v>0</v>
      </c>
      <c r="J81">
        <f>0</f>
        <v>0</v>
      </c>
      <c r="K81">
        <f>122</f>
        <v>122</v>
      </c>
      <c r="L81">
        <v>10</v>
      </c>
    </row>
    <row r="82" spans="1:12" x14ac:dyDescent="0.3">
      <c r="A82" t="s">
        <v>0</v>
      </c>
      <c r="B82">
        <v>29</v>
      </c>
      <c r="C82">
        <v>42.85</v>
      </c>
      <c r="D82">
        <f>2.31</f>
        <v>2.31</v>
      </c>
      <c r="E82">
        <f>180.5*1024</f>
        <v>184832</v>
      </c>
      <c r="F82">
        <f t="shared" si="1"/>
        <v>8017412.0959999999</v>
      </c>
      <c r="G82">
        <f>54.6</f>
        <v>54.6</v>
      </c>
      <c r="H82">
        <f>61.1</f>
        <v>61.1</v>
      </c>
      <c r="I82">
        <f>25.5*1000</f>
        <v>25500</v>
      </c>
      <c r="J82">
        <f>16.4</f>
        <v>16.399999999999999</v>
      </c>
      <c r="K82">
        <f>130</f>
        <v>130</v>
      </c>
      <c r="L82">
        <v>9</v>
      </c>
    </row>
    <row r="83" spans="1:12" x14ac:dyDescent="0.3">
      <c r="A83" t="s">
        <v>1</v>
      </c>
      <c r="B83">
        <v>12</v>
      </c>
      <c r="C83">
        <v>0.16</v>
      </c>
      <c r="D83">
        <f>0.13</f>
        <v>0.13</v>
      </c>
      <c r="E83">
        <f>10.11*1024</f>
        <v>10352.64</v>
      </c>
      <c r="F83">
        <f t="shared" si="1"/>
        <v>8017412.0959999999</v>
      </c>
      <c r="G83">
        <f>161</f>
        <v>161</v>
      </c>
      <c r="H83">
        <f>142</f>
        <v>142</v>
      </c>
      <c r="I83">
        <f>246</f>
        <v>246</v>
      </c>
      <c r="J83">
        <f>28.7</f>
        <v>28.7</v>
      </c>
      <c r="K83">
        <f>130</f>
        <v>130</v>
      </c>
      <c r="L83">
        <v>9</v>
      </c>
    </row>
    <row r="84" spans="1:12" x14ac:dyDescent="0.3">
      <c r="A84" t="s">
        <v>2</v>
      </c>
      <c r="B84">
        <v>17</v>
      </c>
      <c r="C84">
        <v>3.14</v>
      </c>
      <c r="D84">
        <f>0.19</f>
        <v>0.19</v>
      </c>
      <c r="E84">
        <f>14.69*1024</f>
        <v>15042.56</v>
      </c>
      <c r="F84">
        <f t="shared" si="1"/>
        <v>8017412.0959999999</v>
      </c>
      <c r="G84">
        <f>142</f>
        <v>142</v>
      </c>
      <c r="H84">
        <f>109</f>
        <v>109</v>
      </c>
      <c r="I84">
        <f>516</f>
        <v>516</v>
      </c>
      <c r="J84">
        <f>664</f>
        <v>664</v>
      </c>
      <c r="K84">
        <f>130</f>
        <v>130</v>
      </c>
      <c r="L84">
        <v>9</v>
      </c>
    </row>
    <row r="85" spans="1:12" x14ac:dyDescent="0.3">
      <c r="A85" t="s">
        <v>3</v>
      </c>
      <c r="B85">
        <v>2</v>
      </c>
      <c r="C85">
        <v>0</v>
      </c>
      <c r="D85">
        <f>0.01</f>
        <v>0.01</v>
      </c>
      <c r="E85">
        <f>820</f>
        <v>820</v>
      </c>
      <c r="F85">
        <f t="shared" si="1"/>
        <v>8017412.0959999999</v>
      </c>
      <c r="G85">
        <f>177</f>
        <v>177</v>
      </c>
      <c r="H85">
        <f>168</f>
        <v>168</v>
      </c>
      <c r="I85">
        <f>0</f>
        <v>0</v>
      </c>
      <c r="J85">
        <f>0</f>
        <v>0</v>
      </c>
      <c r="K85">
        <f>130</f>
        <v>130</v>
      </c>
      <c r="L85">
        <v>9</v>
      </c>
    </row>
    <row r="86" spans="1:12" x14ac:dyDescent="0.3">
      <c r="A86" t="s">
        <v>4</v>
      </c>
      <c r="B86">
        <v>2</v>
      </c>
      <c r="C86">
        <v>0</v>
      </c>
      <c r="D86">
        <f>0.01</f>
        <v>0.01</v>
      </c>
      <c r="E86">
        <f>828</f>
        <v>828</v>
      </c>
      <c r="F86">
        <f t="shared" si="1"/>
        <v>8017412.0959999999</v>
      </c>
      <c r="G86">
        <f>115</f>
        <v>115</v>
      </c>
      <c r="H86">
        <f>104</f>
        <v>104</v>
      </c>
      <c r="I86">
        <f>0</f>
        <v>0</v>
      </c>
      <c r="J86">
        <f>0</f>
        <v>0</v>
      </c>
      <c r="K86">
        <f>130</f>
        <v>130</v>
      </c>
      <c r="L86">
        <v>9</v>
      </c>
    </row>
    <row r="87" spans="1:12" x14ac:dyDescent="0.3">
      <c r="A87" t="s">
        <v>0</v>
      </c>
      <c r="B87">
        <v>29</v>
      </c>
      <c r="C87">
        <v>43.93</v>
      </c>
      <c r="D87">
        <f>2.32</f>
        <v>2.3199999999999998</v>
      </c>
      <c r="E87">
        <f>181.6*1024</f>
        <v>185958.39999999999</v>
      </c>
      <c r="F87">
        <f t="shared" si="1"/>
        <v>8017412.0959999999</v>
      </c>
      <c r="G87">
        <f>65.8</f>
        <v>65.8</v>
      </c>
      <c r="H87">
        <f>74</f>
        <v>74</v>
      </c>
      <c r="I87">
        <f>25.5*1000</f>
        <v>25500</v>
      </c>
      <c r="J87">
        <f>16.4</f>
        <v>16.399999999999999</v>
      </c>
      <c r="K87">
        <f>138</f>
        <v>138</v>
      </c>
      <c r="L87">
        <v>6</v>
      </c>
    </row>
    <row r="88" spans="1:12" x14ac:dyDescent="0.3">
      <c r="A88" t="s">
        <v>1</v>
      </c>
      <c r="B88">
        <v>12</v>
      </c>
      <c r="C88">
        <v>0.38</v>
      </c>
      <c r="D88">
        <f>0.13</f>
        <v>0.13</v>
      </c>
      <c r="E88">
        <f>10.43*1024</f>
        <v>10680.32</v>
      </c>
      <c r="F88">
        <f t="shared" si="1"/>
        <v>8017412.0959999999</v>
      </c>
      <c r="G88">
        <f>197</f>
        <v>197</v>
      </c>
      <c r="H88">
        <f>177</f>
        <v>177</v>
      </c>
      <c r="I88">
        <f>262</f>
        <v>262</v>
      </c>
      <c r="J88">
        <f>28.7</f>
        <v>28.7</v>
      </c>
      <c r="K88">
        <f>138</f>
        <v>138</v>
      </c>
      <c r="L88">
        <v>6</v>
      </c>
    </row>
    <row r="89" spans="1:12" x14ac:dyDescent="0.3">
      <c r="A89" t="s">
        <v>2</v>
      </c>
      <c r="B89">
        <v>18</v>
      </c>
      <c r="C89">
        <v>6.73</v>
      </c>
      <c r="D89">
        <f>0.19</f>
        <v>0.19</v>
      </c>
      <c r="E89">
        <f>14.79*1024</f>
        <v>15144.96</v>
      </c>
      <c r="F89">
        <f t="shared" si="1"/>
        <v>8017412.0959999999</v>
      </c>
      <c r="G89">
        <f>166</f>
        <v>166</v>
      </c>
      <c r="H89">
        <f>129</f>
        <v>129</v>
      </c>
      <c r="I89">
        <f>516</f>
        <v>516</v>
      </c>
      <c r="J89">
        <f>831</f>
        <v>831</v>
      </c>
      <c r="K89">
        <f>138</f>
        <v>138</v>
      </c>
      <c r="L89">
        <v>6</v>
      </c>
    </row>
    <row r="90" spans="1:12" x14ac:dyDescent="0.3">
      <c r="A90" t="s">
        <v>3</v>
      </c>
      <c r="B90">
        <v>2</v>
      </c>
      <c r="C90">
        <v>0</v>
      </c>
      <c r="D90">
        <f>0.01</f>
        <v>0.01</v>
      </c>
      <c r="E90">
        <f>820</f>
        <v>820</v>
      </c>
      <c r="F90">
        <f t="shared" si="1"/>
        <v>8017412.0959999999</v>
      </c>
      <c r="G90">
        <f>215</f>
        <v>215</v>
      </c>
      <c r="H90">
        <f>206</f>
        <v>206</v>
      </c>
      <c r="I90">
        <f>0</f>
        <v>0</v>
      </c>
      <c r="J90">
        <f>0</f>
        <v>0</v>
      </c>
      <c r="K90">
        <f>138</f>
        <v>138</v>
      </c>
      <c r="L90">
        <v>6</v>
      </c>
    </row>
    <row r="91" spans="1:12" x14ac:dyDescent="0.3">
      <c r="A91" t="s">
        <v>4</v>
      </c>
      <c r="B91">
        <v>2</v>
      </c>
      <c r="C91">
        <v>0</v>
      </c>
      <c r="D91">
        <f>0.01</f>
        <v>0.01</v>
      </c>
      <c r="E91">
        <f>828</f>
        <v>828</v>
      </c>
      <c r="F91">
        <f t="shared" si="1"/>
        <v>8017412.0959999999</v>
      </c>
      <c r="G91">
        <f>139</f>
        <v>139</v>
      </c>
      <c r="H91">
        <f>128</f>
        <v>128</v>
      </c>
      <c r="I91">
        <f>0</f>
        <v>0</v>
      </c>
      <c r="J91">
        <f>0</f>
        <v>0</v>
      </c>
      <c r="K91">
        <f>138</f>
        <v>138</v>
      </c>
      <c r="L91">
        <v>6</v>
      </c>
    </row>
    <row r="92" spans="1:12" x14ac:dyDescent="0.3">
      <c r="A92" t="s">
        <v>0</v>
      </c>
      <c r="B92">
        <v>29</v>
      </c>
      <c r="C92">
        <v>45.87</v>
      </c>
      <c r="D92">
        <f>2.32</f>
        <v>2.3199999999999998</v>
      </c>
      <c r="E92">
        <f>182*1024</f>
        <v>186368</v>
      </c>
      <c r="F92">
        <f t="shared" si="1"/>
        <v>8017412.0959999999</v>
      </c>
      <c r="G92">
        <f>77.4</f>
        <v>77.400000000000006</v>
      </c>
      <c r="H92">
        <f>88.2</f>
        <v>88.2</v>
      </c>
      <c r="I92">
        <f>25.5*1000</f>
        <v>25500</v>
      </c>
      <c r="J92">
        <f>16.4</f>
        <v>16.399999999999999</v>
      </c>
      <c r="K92">
        <f>145</f>
        <v>145</v>
      </c>
      <c r="L92">
        <v>10</v>
      </c>
    </row>
    <row r="93" spans="1:12" x14ac:dyDescent="0.3">
      <c r="A93" t="s">
        <v>1</v>
      </c>
      <c r="B93">
        <v>12</v>
      </c>
      <c r="C93">
        <v>0.27</v>
      </c>
      <c r="D93">
        <f>0.14</f>
        <v>0.14000000000000001</v>
      </c>
      <c r="E93">
        <f>10.88*1024</f>
        <v>11141.12</v>
      </c>
      <c r="F93">
        <f t="shared" si="1"/>
        <v>8017412.0959999999</v>
      </c>
      <c r="G93">
        <f>231</f>
        <v>231</v>
      </c>
      <c r="H93">
        <f>211</f>
        <v>211</v>
      </c>
      <c r="I93">
        <f>262</f>
        <v>262</v>
      </c>
      <c r="J93">
        <f>28.7</f>
        <v>28.7</v>
      </c>
      <c r="K93">
        <f>145</f>
        <v>145</v>
      </c>
      <c r="L93">
        <v>10</v>
      </c>
    </row>
    <row r="94" spans="1:12" x14ac:dyDescent="0.3">
      <c r="A94" t="s">
        <v>2</v>
      </c>
      <c r="B94">
        <v>18</v>
      </c>
      <c r="C94">
        <v>6.9</v>
      </c>
      <c r="D94">
        <f>0.19</f>
        <v>0.19</v>
      </c>
      <c r="E94">
        <f>15.16*1024</f>
        <v>15523.84</v>
      </c>
      <c r="F94">
        <f t="shared" si="1"/>
        <v>8017412.0959999999</v>
      </c>
      <c r="G94">
        <f>194</f>
        <v>194</v>
      </c>
      <c r="H94">
        <f>155</f>
        <v>155</v>
      </c>
      <c r="I94">
        <f>516</f>
        <v>516</v>
      </c>
      <c r="J94">
        <f>1.03*1000</f>
        <v>1030</v>
      </c>
      <c r="K94">
        <f>145</f>
        <v>145</v>
      </c>
      <c r="L94">
        <v>10</v>
      </c>
    </row>
    <row r="95" spans="1:12" x14ac:dyDescent="0.3">
      <c r="A95" t="s">
        <v>3</v>
      </c>
      <c r="B95">
        <v>2</v>
      </c>
      <c r="C95">
        <v>0</v>
      </c>
      <c r="D95">
        <f>0.01</f>
        <v>0.01</v>
      </c>
      <c r="E95">
        <f>820</f>
        <v>820</v>
      </c>
      <c r="F95">
        <f t="shared" si="1"/>
        <v>8017412.0959999999</v>
      </c>
      <c r="G95">
        <f>258</f>
        <v>258</v>
      </c>
      <c r="H95">
        <f>248</f>
        <v>248</v>
      </c>
      <c r="I95">
        <f>0</f>
        <v>0</v>
      </c>
      <c r="J95">
        <f>0</f>
        <v>0</v>
      </c>
      <c r="K95">
        <f>145</f>
        <v>145</v>
      </c>
      <c r="L95">
        <v>10</v>
      </c>
    </row>
    <row r="96" spans="1:12" x14ac:dyDescent="0.3">
      <c r="A96" t="s">
        <v>4</v>
      </c>
      <c r="B96">
        <v>2</v>
      </c>
      <c r="C96">
        <v>0</v>
      </c>
      <c r="D96">
        <f>0.01</f>
        <v>0.01</v>
      </c>
      <c r="E96">
        <f>828</f>
        <v>828</v>
      </c>
      <c r="F96">
        <f t="shared" si="1"/>
        <v>8017412.0959999999</v>
      </c>
      <c r="G96">
        <f>163</f>
        <v>163</v>
      </c>
      <c r="H96">
        <f>152</f>
        <v>152</v>
      </c>
      <c r="I96">
        <f>0</f>
        <v>0</v>
      </c>
      <c r="J96">
        <f>0</f>
        <v>0</v>
      </c>
      <c r="K96">
        <f>145</f>
        <v>145</v>
      </c>
      <c r="L96">
        <v>10</v>
      </c>
    </row>
    <row r="97" spans="1:12" x14ac:dyDescent="0.3">
      <c r="A97" t="s">
        <v>0</v>
      </c>
      <c r="B97">
        <v>29</v>
      </c>
      <c r="C97">
        <v>44.95</v>
      </c>
      <c r="D97">
        <f>2.33</f>
        <v>2.33</v>
      </c>
      <c r="E97">
        <f>182.3*1024</f>
        <v>186675.20000000001</v>
      </c>
      <c r="F97">
        <f t="shared" si="1"/>
        <v>8017412.0959999999</v>
      </c>
      <c r="G97">
        <f>88.5</f>
        <v>88.5</v>
      </c>
      <c r="H97">
        <f>101</f>
        <v>101</v>
      </c>
      <c r="I97">
        <f>25.5*1000</f>
        <v>25500</v>
      </c>
      <c r="J97">
        <f>16.4</f>
        <v>16.399999999999999</v>
      </c>
      <c r="K97">
        <f>153</f>
        <v>153</v>
      </c>
      <c r="L97">
        <v>17</v>
      </c>
    </row>
    <row r="98" spans="1:12" x14ac:dyDescent="0.3">
      <c r="A98" t="s">
        <v>1</v>
      </c>
      <c r="B98">
        <v>12</v>
      </c>
      <c r="C98">
        <v>0.27</v>
      </c>
      <c r="D98">
        <f>0.14</f>
        <v>0.14000000000000001</v>
      </c>
      <c r="E98">
        <f>11.18*1024</f>
        <v>11448.32</v>
      </c>
      <c r="F98">
        <f t="shared" si="1"/>
        <v>8017412.0959999999</v>
      </c>
      <c r="G98">
        <f>262</f>
        <v>262</v>
      </c>
      <c r="H98">
        <f>243</f>
        <v>243</v>
      </c>
      <c r="I98">
        <f>262</f>
        <v>262</v>
      </c>
      <c r="J98">
        <f>28.7</f>
        <v>28.7</v>
      </c>
      <c r="K98">
        <f>153</f>
        <v>153</v>
      </c>
      <c r="L98">
        <v>17</v>
      </c>
    </row>
    <row r="99" spans="1:12" x14ac:dyDescent="0.3">
      <c r="A99" t="s">
        <v>2</v>
      </c>
      <c r="B99">
        <v>18</v>
      </c>
      <c r="C99">
        <v>3.99</v>
      </c>
      <c r="D99">
        <f>0.2</f>
        <v>0.2</v>
      </c>
      <c r="E99">
        <f>15.29*1024</f>
        <v>15656.96</v>
      </c>
      <c r="F99">
        <f t="shared" si="1"/>
        <v>8017412.0959999999</v>
      </c>
      <c r="G99">
        <f>220</f>
        <v>220</v>
      </c>
      <c r="H99">
        <f>177</f>
        <v>177</v>
      </c>
      <c r="I99">
        <f>516</f>
        <v>516</v>
      </c>
      <c r="J99">
        <f>1.25*1000</f>
        <v>1250</v>
      </c>
      <c r="K99">
        <f>153</f>
        <v>153</v>
      </c>
      <c r="L99">
        <v>17</v>
      </c>
    </row>
    <row r="100" spans="1:12" x14ac:dyDescent="0.3">
      <c r="A100" t="s">
        <v>3</v>
      </c>
      <c r="B100">
        <v>2</v>
      </c>
      <c r="C100">
        <v>0</v>
      </c>
      <c r="D100">
        <f>0.01</f>
        <v>0.01</v>
      </c>
      <c r="E100">
        <f>820</f>
        <v>820</v>
      </c>
      <c r="F100">
        <f t="shared" si="1"/>
        <v>8017412.0959999999</v>
      </c>
      <c r="G100">
        <f>296</f>
        <v>296</v>
      </c>
      <c r="H100">
        <f>286</f>
        <v>286</v>
      </c>
      <c r="I100">
        <f>0</f>
        <v>0</v>
      </c>
      <c r="J100">
        <f>0</f>
        <v>0</v>
      </c>
      <c r="K100">
        <f>153</f>
        <v>153</v>
      </c>
      <c r="L100">
        <v>17</v>
      </c>
    </row>
    <row r="101" spans="1:12" x14ac:dyDescent="0.3">
      <c r="A101" t="s">
        <v>4</v>
      </c>
      <c r="B101">
        <v>2</v>
      </c>
      <c r="C101">
        <v>0</v>
      </c>
      <c r="D101">
        <f>0.01</f>
        <v>0.01</v>
      </c>
      <c r="E101">
        <f>828</f>
        <v>828</v>
      </c>
      <c r="F101">
        <f t="shared" si="1"/>
        <v>8017412.0959999999</v>
      </c>
      <c r="G101">
        <f>186</f>
        <v>186</v>
      </c>
      <c r="H101">
        <f>176</f>
        <v>176</v>
      </c>
      <c r="I101">
        <f>0</f>
        <v>0</v>
      </c>
      <c r="J101">
        <f>0</f>
        <v>0</v>
      </c>
      <c r="K101">
        <f>153</f>
        <v>153</v>
      </c>
      <c r="L101">
        <v>17</v>
      </c>
    </row>
    <row r="102" spans="1:12" x14ac:dyDescent="0.3">
      <c r="A102" t="s">
        <v>0</v>
      </c>
      <c r="B102">
        <v>29</v>
      </c>
      <c r="C102">
        <v>43.14</v>
      </c>
      <c r="D102">
        <f>2.33</f>
        <v>2.33</v>
      </c>
      <c r="E102">
        <f>182.8*1024</f>
        <v>187187.20000000001</v>
      </c>
      <c r="F102">
        <f t="shared" si="1"/>
        <v>8017412.0959999999</v>
      </c>
      <c r="G102">
        <f>99.6</f>
        <v>99.6</v>
      </c>
      <c r="H102">
        <f>114</f>
        <v>114</v>
      </c>
      <c r="I102">
        <f>25.5*1000</f>
        <v>25500</v>
      </c>
      <c r="J102">
        <f>16.4</f>
        <v>16.399999999999999</v>
      </c>
      <c r="K102">
        <f>161</f>
        <v>161</v>
      </c>
      <c r="L102">
        <v>10</v>
      </c>
    </row>
    <row r="103" spans="1:12" x14ac:dyDescent="0.3">
      <c r="A103" t="s">
        <v>1</v>
      </c>
      <c r="B103">
        <v>12</v>
      </c>
      <c r="C103">
        <v>0.25</v>
      </c>
      <c r="D103">
        <f>0.13</f>
        <v>0.13</v>
      </c>
      <c r="E103">
        <f>10.41*1024</f>
        <v>10659.84</v>
      </c>
      <c r="F103">
        <f t="shared" si="1"/>
        <v>8017412.0959999999</v>
      </c>
      <c r="G103">
        <f>293</f>
        <v>293</v>
      </c>
      <c r="H103">
        <f>274</f>
        <v>274</v>
      </c>
      <c r="I103">
        <f>262</f>
        <v>262</v>
      </c>
      <c r="J103">
        <f>28.7</f>
        <v>28.7</v>
      </c>
      <c r="K103">
        <f>161</f>
        <v>161</v>
      </c>
      <c r="L103">
        <v>10</v>
      </c>
    </row>
    <row r="104" spans="1:12" x14ac:dyDescent="0.3">
      <c r="A104" t="s">
        <v>2</v>
      </c>
      <c r="B104">
        <v>18</v>
      </c>
      <c r="C104">
        <v>5.27</v>
      </c>
      <c r="D104">
        <f>0.19</f>
        <v>0.19</v>
      </c>
      <c r="E104">
        <f>15.21*1024</f>
        <v>15575.04</v>
      </c>
      <c r="F104">
        <f t="shared" si="1"/>
        <v>8017412.0959999999</v>
      </c>
      <c r="G104">
        <f>245</f>
        <v>245</v>
      </c>
      <c r="H104">
        <f>199</f>
        <v>199</v>
      </c>
      <c r="I104">
        <f>516</f>
        <v>516</v>
      </c>
      <c r="J104">
        <f>1.48*1000</f>
        <v>1480</v>
      </c>
      <c r="K104">
        <f>161</f>
        <v>161</v>
      </c>
      <c r="L104">
        <v>10</v>
      </c>
    </row>
    <row r="105" spans="1:12" x14ac:dyDescent="0.3">
      <c r="A105" t="s">
        <v>3</v>
      </c>
      <c r="B105">
        <v>2</v>
      </c>
      <c r="C105">
        <v>0</v>
      </c>
      <c r="D105">
        <f>0.01</f>
        <v>0.01</v>
      </c>
      <c r="E105">
        <f>820</f>
        <v>820</v>
      </c>
      <c r="F105">
        <f t="shared" si="1"/>
        <v>8017412.0959999999</v>
      </c>
      <c r="G105">
        <f>334</f>
        <v>334</v>
      </c>
      <c r="H105">
        <f>325</f>
        <v>325</v>
      </c>
      <c r="I105">
        <f>0</f>
        <v>0</v>
      </c>
      <c r="J105">
        <f>0</f>
        <v>0</v>
      </c>
      <c r="K105">
        <f>161</f>
        <v>161</v>
      </c>
      <c r="L105">
        <v>10</v>
      </c>
    </row>
    <row r="106" spans="1:12" x14ac:dyDescent="0.3">
      <c r="A106" t="s">
        <v>4</v>
      </c>
      <c r="B106">
        <v>2</v>
      </c>
      <c r="C106">
        <v>0</v>
      </c>
      <c r="D106">
        <f>0.01</f>
        <v>0.01</v>
      </c>
      <c r="E106">
        <f>828</f>
        <v>828</v>
      </c>
      <c r="F106">
        <f t="shared" si="1"/>
        <v>8017412.0959999999</v>
      </c>
      <c r="G106">
        <f>211</f>
        <v>211</v>
      </c>
      <c r="H106">
        <f>200</f>
        <v>200</v>
      </c>
      <c r="I106">
        <f>0</f>
        <v>0</v>
      </c>
      <c r="J106">
        <f>0</f>
        <v>0</v>
      </c>
      <c r="K106">
        <f>161</f>
        <v>161</v>
      </c>
      <c r="L106">
        <v>10</v>
      </c>
    </row>
    <row r="107" spans="1:12" x14ac:dyDescent="0.3">
      <c r="A107" t="s">
        <v>0</v>
      </c>
      <c r="B107">
        <v>29</v>
      </c>
      <c r="C107">
        <v>44.1</v>
      </c>
      <c r="D107">
        <f>2.34</f>
        <v>2.34</v>
      </c>
      <c r="E107">
        <f>183*1024</f>
        <v>187392</v>
      </c>
      <c r="F107">
        <f t="shared" si="1"/>
        <v>8017412.0959999999</v>
      </c>
      <c r="G107">
        <f>113</f>
        <v>113</v>
      </c>
      <c r="H107">
        <f>129</f>
        <v>129</v>
      </c>
      <c r="I107">
        <f>25.5*1000</f>
        <v>25500</v>
      </c>
      <c r="J107">
        <f>16.4</f>
        <v>16.399999999999999</v>
      </c>
      <c r="K107">
        <f>169</f>
        <v>169</v>
      </c>
      <c r="L107">
        <v>6</v>
      </c>
    </row>
    <row r="108" spans="1:12" x14ac:dyDescent="0.3">
      <c r="A108" t="s">
        <v>1</v>
      </c>
      <c r="B108">
        <v>12</v>
      </c>
      <c r="C108">
        <v>0.36</v>
      </c>
      <c r="D108">
        <f>0.14</f>
        <v>0.14000000000000001</v>
      </c>
      <c r="E108">
        <f>10.63*1024</f>
        <v>10885.12</v>
      </c>
      <c r="F108">
        <f t="shared" si="1"/>
        <v>8017412.0959999999</v>
      </c>
      <c r="G108">
        <f>321</f>
        <v>321</v>
      </c>
      <c r="H108">
        <f>301</f>
        <v>301</v>
      </c>
      <c r="I108">
        <f>262</f>
        <v>262</v>
      </c>
      <c r="J108">
        <f>28.7</f>
        <v>28.7</v>
      </c>
      <c r="K108">
        <f>169</f>
        <v>169</v>
      </c>
      <c r="L108">
        <v>6</v>
      </c>
    </row>
    <row r="109" spans="1:12" x14ac:dyDescent="0.3">
      <c r="A109" t="s">
        <v>2</v>
      </c>
      <c r="B109">
        <v>18</v>
      </c>
      <c r="C109">
        <v>7.32</v>
      </c>
      <c r="D109">
        <f>0.2</f>
        <v>0.2</v>
      </c>
      <c r="E109">
        <f>15.76*1024</f>
        <v>16138.24</v>
      </c>
      <c r="F109">
        <f t="shared" si="1"/>
        <v>8017412.0959999999</v>
      </c>
      <c r="G109">
        <f>272</f>
        <v>272</v>
      </c>
      <c r="H109">
        <f>225</f>
        <v>225</v>
      </c>
      <c r="I109">
        <f>516</f>
        <v>516</v>
      </c>
      <c r="J109">
        <f>1.74*1000</f>
        <v>1740</v>
      </c>
      <c r="K109">
        <f>169</f>
        <v>169</v>
      </c>
      <c r="L109">
        <v>6</v>
      </c>
    </row>
    <row r="110" spans="1:12" x14ac:dyDescent="0.3">
      <c r="A110" t="s">
        <v>3</v>
      </c>
      <c r="B110">
        <v>2</v>
      </c>
      <c r="C110">
        <v>0</v>
      </c>
      <c r="D110">
        <f>0.01</f>
        <v>0.01</v>
      </c>
      <c r="E110">
        <f>820</f>
        <v>820</v>
      </c>
      <c r="F110">
        <f t="shared" si="1"/>
        <v>8017412.0959999999</v>
      </c>
      <c r="G110">
        <f>377</f>
        <v>377</v>
      </c>
      <c r="H110">
        <f>367</f>
        <v>367</v>
      </c>
      <c r="I110">
        <f>0</f>
        <v>0</v>
      </c>
      <c r="J110">
        <f>0</f>
        <v>0</v>
      </c>
      <c r="K110">
        <f>169</f>
        <v>169</v>
      </c>
      <c r="L110">
        <v>6</v>
      </c>
    </row>
    <row r="111" spans="1:12" x14ac:dyDescent="0.3">
      <c r="A111" t="s">
        <v>4</v>
      </c>
      <c r="B111">
        <v>2</v>
      </c>
      <c r="C111">
        <v>0</v>
      </c>
      <c r="D111">
        <f>0.01</f>
        <v>0.01</v>
      </c>
      <c r="E111">
        <f>828</f>
        <v>828</v>
      </c>
      <c r="F111">
        <f t="shared" si="1"/>
        <v>8017412.0959999999</v>
      </c>
      <c r="G111">
        <f>241</f>
        <v>241</v>
      </c>
      <c r="H111">
        <f>230</f>
        <v>230</v>
      </c>
      <c r="I111">
        <f>0</f>
        <v>0</v>
      </c>
      <c r="J111">
        <f>0</f>
        <v>0</v>
      </c>
      <c r="K111">
        <f>169</f>
        <v>169</v>
      </c>
      <c r="L111">
        <v>6</v>
      </c>
    </row>
    <row r="112" spans="1:12" x14ac:dyDescent="0.3">
      <c r="A112" t="s">
        <v>0</v>
      </c>
      <c r="B112">
        <v>29</v>
      </c>
      <c r="C112">
        <v>43.74</v>
      </c>
      <c r="D112">
        <f>2.34</f>
        <v>2.34</v>
      </c>
      <c r="E112">
        <f>183.3*1024</f>
        <v>187699.20000000001</v>
      </c>
      <c r="F112">
        <f t="shared" si="1"/>
        <v>8017412.0959999999</v>
      </c>
      <c r="G112">
        <f>124</f>
        <v>124</v>
      </c>
      <c r="H112">
        <f>142</f>
        <v>142</v>
      </c>
      <c r="I112">
        <f>25.5*1000</f>
        <v>25500</v>
      </c>
      <c r="J112">
        <f>16.4</f>
        <v>16.399999999999999</v>
      </c>
      <c r="K112">
        <f>177</f>
        <v>177</v>
      </c>
      <c r="L112">
        <v>6</v>
      </c>
    </row>
    <row r="113" spans="1:12" x14ac:dyDescent="0.3">
      <c r="A113" t="s">
        <v>1</v>
      </c>
      <c r="B113">
        <v>12</v>
      </c>
      <c r="C113">
        <v>0.45</v>
      </c>
      <c r="D113">
        <f>0.14</f>
        <v>0.14000000000000001</v>
      </c>
      <c r="E113">
        <f>10.64*1024</f>
        <v>10895.36</v>
      </c>
      <c r="F113">
        <f t="shared" si="1"/>
        <v>8017412.0959999999</v>
      </c>
      <c r="G113">
        <f>360</f>
        <v>360</v>
      </c>
      <c r="H113">
        <f>340</f>
        <v>340</v>
      </c>
      <c r="I113">
        <f>262</f>
        <v>262</v>
      </c>
      <c r="J113">
        <f>28.7</f>
        <v>28.7</v>
      </c>
      <c r="K113">
        <f>177</f>
        <v>177</v>
      </c>
      <c r="L113">
        <v>6</v>
      </c>
    </row>
    <row r="114" spans="1:12" x14ac:dyDescent="0.3">
      <c r="A114" t="s">
        <v>2</v>
      </c>
      <c r="B114">
        <v>18</v>
      </c>
      <c r="C114">
        <v>7.16</v>
      </c>
      <c r="D114">
        <f>0.2</f>
        <v>0.2</v>
      </c>
      <c r="E114">
        <f>15.77*1024</f>
        <v>16148.48</v>
      </c>
      <c r="F114">
        <f t="shared" si="1"/>
        <v>8017412.0959999999</v>
      </c>
      <c r="G114">
        <f>297</f>
        <v>297</v>
      </c>
      <c r="H114">
        <f>247</f>
        <v>247</v>
      </c>
      <c r="I114">
        <f>553</f>
        <v>553</v>
      </c>
      <c r="J114">
        <f>2.02*1000</f>
        <v>2020</v>
      </c>
      <c r="K114">
        <f>177</f>
        <v>177</v>
      </c>
      <c r="L114">
        <v>6</v>
      </c>
    </row>
    <row r="115" spans="1:12" x14ac:dyDescent="0.3">
      <c r="A115" t="s">
        <v>3</v>
      </c>
      <c r="B115">
        <v>2</v>
      </c>
      <c r="C115">
        <v>0</v>
      </c>
      <c r="D115">
        <f>0.01</f>
        <v>0.01</v>
      </c>
      <c r="E115">
        <f>820</f>
        <v>820</v>
      </c>
      <c r="F115">
        <f t="shared" si="1"/>
        <v>8017412.0959999999</v>
      </c>
      <c r="G115">
        <f>415</f>
        <v>415</v>
      </c>
      <c r="H115">
        <f>405</f>
        <v>405</v>
      </c>
      <c r="I115">
        <f>0</f>
        <v>0</v>
      </c>
      <c r="J115">
        <f>0</f>
        <v>0</v>
      </c>
      <c r="K115">
        <f>177</f>
        <v>177</v>
      </c>
      <c r="L115">
        <v>6</v>
      </c>
    </row>
    <row r="116" spans="1:12" x14ac:dyDescent="0.3">
      <c r="A116" t="s">
        <v>4</v>
      </c>
      <c r="B116">
        <v>2</v>
      </c>
      <c r="C116">
        <v>0</v>
      </c>
      <c r="D116">
        <f>0.01</f>
        <v>0.01</v>
      </c>
      <c r="E116">
        <f>828</f>
        <v>828</v>
      </c>
      <c r="F116">
        <f t="shared" si="1"/>
        <v>8017412.0959999999</v>
      </c>
      <c r="G116">
        <f>259</f>
        <v>259</v>
      </c>
      <c r="H116">
        <f>248</f>
        <v>248</v>
      </c>
      <c r="I116">
        <f>0</f>
        <v>0</v>
      </c>
      <c r="J116">
        <f>0</f>
        <v>0</v>
      </c>
      <c r="K116">
        <f>177</f>
        <v>177</v>
      </c>
      <c r="L116">
        <v>6</v>
      </c>
    </row>
    <row r="117" spans="1:12" x14ac:dyDescent="0.3">
      <c r="A117" t="s">
        <v>0</v>
      </c>
      <c r="B117">
        <v>29</v>
      </c>
      <c r="C117">
        <v>44.06</v>
      </c>
      <c r="D117">
        <f>2.34</f>
        <v>2.34</v>
      </c>
      <c r="E117">
        <f>183.6*1024</f>
        <v>188006.39999999999</v>
      </c>
      <c r="F117">
        <f t="shared" si="1"/>
        <v>8017412.0959999999</v>
      </c>
      <c r="G117">
        <f>135</f>
        <v>135</v>
      </c>
      <c r="H117">
        <f>155</f>
        <v>155</v>
      </c>
      <c r="I117">
        <f>25.5*1000</f>
        <v>25500</v>
      </c>
      <c r="J117">
        <f>16.4</f>
        <v>16.399999999999999</v>
      </c>
      <c r="K117">
        <f>184</f>
        <v>184</v>
      </c>
      <c r="L117">
        <v>9</v>
      </c>
    </row>
    <row r="118" spans="1:12" x14ac:dyDescent="0.3">
      <c r="A118" t="s">
        <v>1</v>
      </c>
      <c r="B118">
        <v>12</v>
      </c>
      <c r="C118">
        <v>0.57999999999999996</v>
      </c>
      <c r="D118">
        <f>0.14</f>
        <v>0.14000000000000001</v>
      </c>
      <c r="E118">
        <f>11.12*1024</f>
        <v>11386.88</v>
      </c>
      <c r="F118">
        <f t="shared" si="1"/>
        <v>8017412.0959999999</v>
      </c>
      <c r="G118">
        <f>391</f>
        <v>391</v>
      </c>
      <c r="H118">
        <f>371</f>
        <v>371</v>
      </c>
      <c r="I118">
        <f>262</f>
        <v>262</v>
      </c>
      <c r="J118">
        <f>28.7</f>
        <v>28.7</v>
      </c>
      <c r="K118">
        <f>184</f>
        <v>184</v>
      </c>
      <c r="L118">
        <v>9</v>
      </c>
    </row>
    <row r="119" spans="1:12" x14ac:dyDescent="0.3">
      <c r="A119" t="s">
        <v>2</v>
      </c>
      <c r="B119">
        <v>18</v>
      </c>
      <c r="C119">
        <v>5.52</v>
      </c>
      <c r="D119">
        <f>0.2</f>
        <v>0.2</v>
      </c>
      <c r="E119">
        <f>15.89*1024</f>
        <v>16271.36</v>
      </c>
      <c r="F119">
        <f t="shared" si="1"/>
        <v>8017412.0959999999</v>
      </c>
      <c r="G119">
        <f>322</f>
        <v>322</v>
      </c>
      <c r="H119">
        <f>269</f>
        <v>269</v>
      </c>
      <c r="I119">
        <f>553</f>
        <v>553</v>
      </c>
      <c r="J119">
        <f>2.31*1000</f>
        <v>2310</v>
      </c>
      <c r="K119">
        <f>184</f>
        <v>184</v>
      </c>
      <c r="L119">
        <v>9</v>
      </c>
    </row>
    <row r="120" spans="1:12" x14ac:dyDescent="0.3">
      <c r="A120" t="s">
        <v>3</v>
      </c>
      <c r="B120">
        <v>2</v>
      </c>
      <c r="C120">
        <v>0</v>
      </c>
      <c r="D120">
        <f>0.01</f>
        <v>0.01</v>
      </c>
      <c r="E120">
        <f>820</f>
        <v>820</v>
      </c>
      <c r="F120">
        <f t="shared" si="1"/>
        <v>8017412.0959999999</v>
      </c>
      <c r="G120">
        <f>453</f>
        <v>453</v>
      </c>
      <c r="H120">
        <f>444</f>
        <v>444</v>
      </c>
      <c r="I120">
        <f>0</f>
        <v>0</v>
      </c>
      <c r="J120">
        <f>0</f>
        <v>0</v>
      </c>
      <c r="K120">
        <f>184</f>
        <v>184</v>
      </c>
      <c r="L120">
        <v>9</v>
      </c>
    </row>
    <row r="121" spans="1:12" x14ac:dyDescent="0.3">
      <c r="A121" t="s">
        <v>4</v>
      </c>
      <c r="B121">
        <v>2</v>
      </c>
      <c r="C121">
        <v>0</v>
      </c>
      <c r="D121">
        <f>0.01</f>
        <v>0.01</v>
      </c>
      <c r="E121">
        <f>828</f>
        <v>828</v>
      </c>
      <c r="F121">
        <f t="shared" si="1"/>
        <v>8017412.0959999999</v>
      </c>
      <c r="G121">
        <f>285</f>
        <v>285</v>
      </c>
      <c r="H121">
        <f>274</f>
        <v>274</v>
      </c>
      <c r="I121">
        <f>0</f>
        <v>0</v>
      </c>
      <c r="J121">
        <f>0</f>
        <v>0</v>
      </c>
      <c r="K121">
        <f>184</f>
        <v>184</v>
      </c>
      <c r="L121">
        <v>9</v>
      </c>
    </row>
    <row r="122" spans="1:12" x14ac:dyDescent="0.3">
      <c r="A122" t="s">
        <v>0</v>
      </c>
      <c r="B122">
        <v>29</v>
      </c>
      <c r="C122">
        <v>41.93</v>
      </c>
      <c r="D122">
        <f>2.35</f>
        <v>2.35</v>
      </c>
      <c r="E122">
        <f>184*1024</f>
        <v>188416</v>
      </c>
      <c r="F122">
        <f t="shared" si="1"/>
        <v>8017412.0959999999</v>
      </c>
      <c r="G122">
        <f>146</f>
        <v>146</v>
      </c>
      <c r="H122">
        <f>167</f>
        <v>167</v>
      </c>
      <c r="I122">
        <f>25.5*1000</f>
        <v>25500</v>
      </c>
      <c r="J122">
        <f>16.4</f>
        <v>16.399999999999999</v>
      </c>
      <c r="K122">
        <f>192</f>
        <v>192</v>
      </c>
      <c r="L122">
        <v>10</v>
      </c>
    </row>
    <row r="123" spans="1:12" x14ac:dyDescent="0.3">
      <c r="A123" t="s">
        <v>1</v>
      </c>
      <c r="B123">
        <v>12</v>
      </c>
      <c r="C123">
        <v>0.03</v>
      </c>
      <c r="D123">
        <f>0.14</f>
        <v>0.14000000000000001</v>
      </c>
      <c r="E123">
        <f>10.62*1024</f>
        <v>10874.88</v>
      </c>
      <c r="F123">
        <f t="shared" si="1"/>
        <v>8017412.0959999999</v>
      </c>
      <c r="G123">
        <f>422</f>
        <v>422</v>
      </c>
      <c r="H123">
        <f>402</f>
        <v>402</v>
      </c>
      <c r="I123">
        <f>262</f>
        <v>262</v>
      </c>
      <c r="J123">
        <f>28.7</f>
        <v>28.7</v>
      </c>
      <c r="K123">
        <f>192</f>
        <v>192</v>
      </c>
      <c r="L123">
        <v>10</v>
      </c>
    </row>
    <row r="124" spans="1:12" x14ac:dyDescent="0.3">
      <c r="A124" t="s">
        <v>2</v>
      </c>
      <c r="B124">
        <v>18</v>
      </c>
      <c r="C124">
        <v>2.56</v>
      </c>
      <c r="D124">
        <f>0.2</f>
        <v>0.2</v>
      </c>
      <c r="E124">
        <f>15.96*1024</f>
        <v>16343.04</v>
      </c>
      <c r="F124">
        <f t="shared" si="1"/>
        <v>8017412.0959999999</v>
      </c>
      <c r="G124">
        <f>347</f>
        <v>347</v>
      </c>
      <c r="H124">
        <f>291</f>
        <v>291</v>
      </c>
      <c r="I124">
        <f>553</f>
        <v>553</v>
      </c>
      <c r="J124">
        <f>2.62*1000</f>
        <v>2620</v>
      </c>
      <c r="K124">
        <f>192</f>
        <v>192</v>
      </c>
      <c r="L124">
        <v>10</v>
      </c>
    </row>
    <row r="125" spans="1:12" x14ac:dyDescent="0.3">
      <c r="A125" t="s">
        <v>3</v>
      </c>
      <c r="B125">
        <v>2</v>
      </c>
      <c r="C125">
        <v>0</v>
      </c>
      <c r="D125">
        <f>0.01</f>
        <v>0.01</v>
      </c>
      <c r="E125">
        <f>820</f>
        <v>820</v>
      </c>
      <c r="F125">
        <f t="shared" si="1"/>
        <v>8017412.0959999999</v>
      </c>
      <c r="G125">
        <f>491</f>
        <v>491</v>
      </c>
      <c r="H125">
        <f>482</f>
        <v>482</v>
      </c>
      <c r="I125">
        <f>0</f>
        <v>0</v>
      </c>
      <c r="J125">
        <f>0</f>
        <v>0</v>
      </c>
      <c r="K125">
        <f>192</f>
        <v>192</v>
      </c>
      <c r="L125">
        <v>10</v>
      </c>
    </row>
    <row r="126" spans="1:12" x14ac:dyDescent="0.3">
      <c r="A126" t="s">
        <v>4</v>
      </c>
      <c r="B126">
        <v>2</v>
      </c>
      <c r="C126">
        <v>0</v>
      </c>
      <c r="D126">
        <f>0.01</f>
        <v>0.01</v>
      </c>
      <c r="E126">
        <f>828</f>
        <v>828</v>
      </c>
      <c r="F126">
        <f t="shared" si="1"/>
        <v>8017412.0959999999</v>
      </c>
      <c r="G126">
        <f>313</f>
        <v>313</v>
      </c>
      <c r="H126">
        <f>302</f>
        <v>302</v>
      </c>
      <c r="I126">
        <f>0</f>
        <v>0</v>
      </c>
      <c r="J126">
        <f>0</f>
        <v>0</v>
      </c>
      <c r="K126">
        <f>192</f>
        <v>192</v>
      </c>
      <c r="L126">
        <v>10</v>
      </c>
    </row>
    <row r="127" spans="1:12" x14ac:dyDescent="0.3">
      <c r="A127" t="s">
        <v>0</v>
      </c>
      <c r="B127">
        <v>29</v>
      </c>
      <c r="C127">
        <v>42.3</v>
      </c>
      <c r="D127">
        <f>2.35</f>
        <v>2.35</v>
      </c>
      <c r="E127">
        <f>184.3*1024</f>
        <v>188723.20000000001</v>
      </c>
      <c r="F127">
        <f t="shared" si="1"/>
        <v>8017412.0959999999</v>
      </c>
      <c r="G127">
        <f>158</f>
        <v>158</v>
      </c>
      <c r="H127">
        <f>182</f>
        <v>182</v>
      </c>
      <c r="I127">
        <f>25.5*1000</f>
        <v>25500</v>
      </c>
      <c r="J127">
        <f>16.4</f>
        <v>16.399999999999999</v>
      </c>
      <c r="K127">
        <f>200</f>
        <v>200</v>
      </c>
      <c r="L127">
        <v>12</v>
      </c>
    </row>
    <row r="128" spans="1:12" x14ac:dyDescent="0.3">
      <c r="A128" t="s">
        <v>1</v>
      </c>
      <c r="B128">
        <v>12</v>
      </c>
      <c r="C128">
        <v>0.16</v>
      </c>
      <c r="D128">
        <f>0.14</f>
        <v>0.14000000000000001</v>
      </c>
      <c r="E128">
        <f>10.85*1024</f>
        <v>11110.4</v>
      </c>
      <c r="F128">
        <f t="shared" si="1"/>
        <v>8017412.0959999999</v>
      </c>
      <c r="G128">
        <f>457</f>
        <v>457</v>
      </c>
      <c r="H128">
        <f>437</f>
        <v>437</v>
      </c>
      <c r="I128">
        <f>262</f>
        <v>262</v>
      </c>
      <c r="J128">
        <f>28.7</f>
        <v>28.7</v>
      </c>
      <c r="K128">
        <f>200</f>
        <v>200</v>
      </c>
      <c r="L128">
        <v>12</v>
      </c>
    </row>
    <row r="129" spans="1:12" x14ac:dyDescent="0.3">
      <c r="A129" t="s">
        <v>2</v>
      </c>
      <c r="B129">
        <v>18</v>
      </c>
      <c r="C129">
        <v>5.74</v>
      </c>
      <c r="D129">
        <f>0.21</f>
        <v>0.21</v>
      </c>
      <c r="E129">
        <f>16.63*1024</f>
        <v>17029.12</v>
      </c>
      <c r="F129">
        <f t="shared" si="1"/>
        <v>8017412.0959999999</v>
      </c>
      <c r="G129">
        <f>376</f>
        <v>376</v>
      </c>
      <c r="H129">
        <f>316</f>
        <v>316</v>
      </c>
      <c r="I129">
        <f>553</f>
        <v>553</v>
      </c>
      <c r="J129">
        <f>2.95*1000</f>
        <v>2950</v>
      </c>
      <c r="K129">
        <f>200</f>
        <v>200</v>
      </c>
      <c r="L129">
        <v>12</v>
      </c>
    </row>
    <row r="130" spans="1:12" x14ac:dyDescent="0.3">
      <c r="A130" t="s">
        <v>3</v>
      </c>
      <c r="B130">
        <v>2</v>
      </c>
      <c r="C130">
        <v>0</v>
      </c>
      <c r="D130">
        <f>0.01</f>
        <v>0.01</v>
      </c>
      <c r="E130">
        <f>820</f>
        <v>820</v>
      </c>
      <c r="F130">
        <f t="shared" ref="F130:F191" si="2">7.646*1024*1024</f>
        <v>8017412.0959999999</v>
      </c>
      <c r="G130">
        <f>535</f>
        <v>535</v>
      </c>
      <c r="H130">
        <f>525</f>
        <v>525</v>
      </c>
      <c r="I130">
        <f>0</f>
        <v>0</v>
      </c>
      <c r="J130">
        <f>0</f>
        <v>0</v>
      </c>
      <c r="K130">
        <f>200</f>
        <v>200</v>
      </c>
      <c r="L130">
        <v>12</v>
      </c>
    </row>
    <row r="131" spans="1:12" x14ac:dyDescent="0.3">
      <c r="A131" t="s">
        <v>4</v>
      </c>
      <c r="B131">
        <v>2</v>
      </c>
      <c r="C131">
        <v>0</v>
      </c>
      <c r="D131">
        <f>0.01</f>
        <v>0.01</v>
      </c>
      <c r="E131">
        <f>828</f>
        <v>828</v>
      </c>
      <c r="F131">
        <f t="shared" si="2"/>
        <v>8017412.0959999999</v>
      </c>
      <c r="G131">
        <f>337</f>
        <v>337</v>
      </c>
      <c r="H131">
        <f>326</f>
        <v>326</v>
      </c>
      <c r="I131">
        <f>0</f>
        <v>0</v>
      </c>
      <c r="J131">
        <f>0</f>
        <v>0</v>
      </c>
      <c r="K131">
        <f>200</f>
        <v>200</v>
      </c>
      <c r="L131">
        <v>12</v>
      </c>
    </row>
    <row r="132" spans="1:12" x14ac:dyDescent="0.3">
      <c r="A132" t="s">
        <v>0</v>
      </c>
      <c r="B132">
        <v>29</v>
      </c>
      <c r="C132">
        <v>44.36</v>
      </c>
      <c r="D132">
        <f>2.36</f>
        <v>2.36</v>
      </c>
      <c r="E132">
        <f>184.7*1024</f>
        <v>189132.79999999999</v>
      </c>
      <c r="F132">
        <f t="shared" si="2"/>
        <v>8017412.0959999999</v>
      </c>
      <c r="G132">
        <f>171</f>
        <v>171</v>
      </c>
      <c r="H132">
        <f>196</f>
        <v>196</v>
      </c>
      <c r="I132">
        <f>25.5*1000</f>
        <v>25500</v>
      </c>
      <c r="J132">
        <f>16.4</f>
        <v>16.399999999999999</v>
      </c>
      <c r="K132">
        <f>208</f>
        <v>208</v>
      </c>
      <c r="L132">
        <v>7</v>
      </c>
    </row>
    <row r="133" spans="1:12" x14ac:dyDescent="0.3">
      <c r="A133" t="s">
        <v>1</v>
      </c>
      <c r="B133">
        <v>12</v>
      </c>
      <c r="C133">
        <v>0.27</v>
      </c>
      <c r="D133">
        <f>0.14</f>
        <v>0.14000000000000001</v>
      </c>
      <c r="E133">
        <f>11.02*1024</f>
        <v>11284.48</v>
      </c>
      <c r="F133">
        <f t="shared" si="2"/>
        <v>8017412.0959999999</v>
      </c>
      <c r="G133">
        <f>488</f>
        <v>488</v>
      </c>
      <c r="H133">
        <f>469</f>
        <v>469</v>
      </c>
      <c r="I133">
        <f>262</f>
        <v>262</v>
      </c>
      <c r="J133">
        <f>28.7</f>
        <v>28.7</v>
      </c>
      <c r="K133">
        <f>208</f>
        <v>208</v>
      </c>
      <c r="L133">
        <v>7</v>
      </c>
    </row>
    <row r="134" spans="1:12" x14ac:dyDescent="0.3">
      <c r="A134" t="s">
        <v>2</v>
      </c>
      <c r="B134">
        <v>18</v>
      </c>
      <c r="C134">
        <v>7.81</v>
      </c>
      <c r="D134">
        <f>0.21</f>
        <v>0.21</v>
      </c>
      <c r="E134">
        <f>16.81*1024</f>
        <v>17213.439999999999</v>
      </c>
      <c r="F134">
        <f t="shared" si="2"/>
        <v>8017412.0959999999</v>
      </c>
      <c r="G134">
        <f>404</f>
        <v>404</v>
      </c>
      <c r="H134">
        <f>341</f>
        <v>341</v>
      </c>
      <c r="I134">
        <f>553</f>
        <v>553</v>
      </c>
      <c r="J134">
        <f>3.32*1000</f>
        <v>3320</v>
      </c>
      <c r="K134">
        <f>208</f>
        <v>208</v>
      </c>
      <c r="L134">
        <v>7</v>
      </c>
    </row>
    <row r="135" spans="1:12" x14ac:dyDescent="0.3">
      <c r="A135" t="s">
        <v>3</v>
      </c>
      <c r="B135">
        <v>2</v>
      </c>
      <c r="C135">
        <v>0</v>
      </c>
      <c r="D135">
        <f>0.01</f>
        <v>0.01</v>
      </c>
      <c r="E135">
        <f>820</f>
        <v>820</v>
      </c>
      <c r="F135">
        <f t="shared" si="2"/>
        <v>8017412.0959999999</v>
      </c>
      <c r="G135">
        <f>578</f>
        <v>578</v>
      </c>
      <c r="H135">
        <f>569</f>
        <v>569</v>
      </c>
      <c r="I135">
        <f>0</f>
        <v>0</v>
      </c>
      <c r="J135">
        <f>0</f>
        <v>0</v>
      </c>
      <c r="K135">
        <f>208</f>
        <v>208</v>
      </c>
      <c r="L135">
        <v>7</v>
      </c>
    </row>
    <row r="136" spans="1:12" x14ac:dyDescent="0.3">
      <c r="A136" t="s">
        <v>4</v>
      </c>
      <c r="B136">
        <v>2</v>
      </c>
      <c r="C136">
        <v>0</v>
      </c>
      <c r="D136">
        <f>0.01</f>
        <v>0.01</v>
      </c>
      <c r="E136">
        <f>828</f>
        <v>828</v>
      </c>
      <c r="F136">
        <f t="shared" si="2"/>
        <v>8017412.0959999999</v>
      </c>
      <c r="G136">
        <f>367</f>
        <v>367</v>
      </c>
      <c r="H136">
        <f>356</f>
        <v>356</v>
      </c>
      <c r="I136">
        <f>0</f>
        <v>0</v>
      </c>
      <c r="J136">
        <f>0</f>
        <v>0</v>
      </c>
      <c r="K136">
        <f>208</f>
        <v>208</v>
      </c>
      <c r="L136">
        <v>7</v>
      </c>
    </row>
    <row r="137" spans="1:12" x14ac:dyDescent="0.3">
      <c r="A137" t="s">
        <v>0</v>
      </c>
      <c r="B137">
        <v>29</v>
      </c>
      <c r="C137">
        <v>44.72</v>
      </c>
      <c r="D137">
        <f>2.36</f>
        <v>2.36</v>
      </c>
      <c r="E137">
        <f>184.9*1024</f>
        <v>189337.60000000001</v>
      </c>
      <c r="F137">
        <f t="shared" si="2"/>
        <v>8017412.0959999999</v>
      </c>
      <c r="G137">
        <f>183</f>
        <v>183</v>
      </c>
      <c r="H137">
        <f>209</f>
        <v>209</v>
      </c>
      <c r="I137">
        <f>25.5*1000</f>
        <v>25500</v>
      </c>
      <c r="J137">
        <f>16.4</f>
        <v>16.399999999999999</v>
      </c>
      <c r="K137">
        <f>216</f>
        <v>216</v>
      </c>
      <c r="L137">
        <v>10</v>
      </c>
    </row>
    <row r="138" spans="1:12" x14ac:dyDescent="0.3">
      <c r="A138" t="s">
        <v>1</v>
      </c>
      <c r="B138">
        <v>12</v>
      </c>
      <c r="C138">
        <v>0.44</v>
      </c>
      <c r="D138">
        <f>0.14</f>
        <v>0.14000000000000001</v>
      </c>
      <c r="E138">
        <f>10.68*1024</f>
        <v>10936.32</v>
      </c>
      <c r="F138">
        <f t="shared" si="2"/>
        <v>8017412.0959999999</v>
      </c>
      <c r="G138">
        <f>523</f>
        <v>523</v>
      </c>
      <c r="H138">
        <f>505</f>
        <v>505</v>
      </c>
      <c r="I138">
        <f>262</f>
        <v>262</v>
      </c>
      <c r="J138">
        <f>28.7</f>
        <v>28.7</v>
      </c>
      <c r="K138">
        <f>216</f>
        <v>216</v>
      </c>
      <c r="L138">
        <v>10</v>
      </c>
    </row>
    <row r="139" spans="1:12" x14ac:dyDescent="0.3">
      <c r="A139" t="s">
        <v>2</v>
      </c>
      <c r="B139">
        <v>18</v>
      </c>
      <c r="C139">
        <v>4.78</v>
      </c>
      <c r="D139">
        <f>0.21</f>
        <v>0.21</v>
      </c>
      <c r="E139">
        <f>16.78*1024</f>
        <v>17182.72</v>
      </c>
      <c r="F139">
        <f t="shared" si="2"/>
        <v>8017412.0959999999</v>
      </c>
      <c r="G139">
        <f>430</f>
        <v>430</v>
      </c>
      <c r="H139">
        <f>363</f>
        <v>363</v>
      </c>
      <c r="I139">
        <f>553</f>
        <v>553</v>
      </c>
      <c r="J139">
        <f>3.69*1000</f>
        <v>3690</v>
      </c>
      <c r="K139">
        <f>216</f>
        <v>216</v>
      </c>
      <c r="L139">
        <v>10</v>
      </c>
    </row>
    <row r="140" spans="1:12" x14ac:dyDescent="0.3">
      <c r="A140" t="s">
        <v>3</v>
      </c>
      <c r="B140">
        <v>2</v>
      </c>
      <c r="C140">
        <v>0</v>
      </c>
      <c r="D140">
        <f>0.01</f>
        <v>0.01</v>
      </c>
      <c r="E140">
        <f>820</f>
        <v>820</v>
      </c>
      <c r="F140">
        <f t="shared" si="2"/>
        <v>8017412.0959999999</v>
      </c>
      <c r="G140">
        <f>617</f>
        <v>617</v>
      </c>
      <c r="H140">
        <f>607</f>
        <v>607</v>
      </c>
      <c r="I140">
        <f>0</f>
        <v>0</v>
      </c>
      <c r="J140">
        <f>0</f>
        <v>0</v>
      </c>
      <c r="K140">
        <f>216</f>
        <v>216</v>
      </c>
      <c r="L140">
        <v>10</v>
      </c>
    </row>
    <row r="141" spans="1:12" x14ac:dyDescent="0.3">
      <c r="A141" t="s">
        <v>4</v>
      </c>
      <c r="B141">
        <v>2</v>
      </c>
      <c r="C141">
        <v>0</v>
      </c>
      <c r="D141">
        <f>0.01</f>
        <v>0.01</v>
      </c>
      <c r="E141">
        <f>828</f>
        <v>828</v>
      </c>
      <c r="F141">
        <f t="shared" si="2"/>
        <v>8017412.0959999999</v>
      </c>
      <c r="G141">
        <f>386</f>
        <v>386</v>
      </c>
      <c r="H141">
        <f>376</f>
        <v>376</v>
      </c>
      <c r="I141">
        <f>0</f>
        <v>0</v>
      </c>
      <c r="J141">
        <f>0</f>
        <v>0</v>
      </c>
      <c r="K141">
        <f>216</f>
        <v>216</v>
      </c>
      <c r="L141">
        <v>10</v>
      </c>
    </row>
    <row r="142" spans="1:12" x14ac:dyDescent="0.3">
      <c r="A142" t="s">
        <v>0</v>
      </c>
      <c r="B142">
        <v>29</v>
      </c>
      <c r="C142">
        <v>42.23</v>
      </c>
      <c r="D142">
        <f>2.36</f>
        <v>2.36</v>
      </c>
      <c r="E142">
        <f>185.1*1024</f>
        <v>189542.39999999999</v>
      </c>
      <c r="F142">
        <f t="shared" si="2"/>
        <v>8017412.0959999999</v>
      </c>
      <c r="G142">
        <f>194</f>
        <v>194</v>
      </c>
      <c r="H142">
        <f>222</f>
        <v>222</v>
      </c>
      <c r="I142">
        <f>25.5*1000</f>
        <v>25500</v>
      </c>
      <c r="J142">
        <f>16.4</f>
        <v>16.399999999999999</v>
      </c>
      <c r="K142">
        <f>223</f>
        <v>223</v>
      </c>
      <c r="L142">
        <v>15</v>
      </c>
    </row>
    <row r="143" spans="1:12" x14ac:dyDescent="0.3">
      <c r="A143" t="s">
        <v>1</v>
      </c>
      <c r="B143">
        <v>12</v>
      </c>
      <c r="C143">
        <v>0.45</v>
      </c>
      <c r="D143">
        <f>0.14</f>
        <v>0.14000000000000001</v>
      </c>
      <c r="E143">
        <f>10.68*1024</f>
        <v>10936.32</v>
      </c>
      <c r="F143">
        <f t="shared" si="2"/>
        <v>8017412.0959999999</v>
      </c>
      <c r="G143">
        <f>554</f>
        <v>554</v>
      </c>
      <c r="H143">
        <f>536</f>
        <v>536</v>
      </c>
      <c r="I143">
        <f>262</f>
        <v>262</v>
      </c>
      <c r="J143">
        <f>28.7</f>
        <v>28.7</v>
      </c>
      <c r="K143">
        <f>223</f>
        <v>223</v>
      </c>
      <c r="L143">
        <v>15</v>
      </c>
    </row>
    <row r="144" spans="1:12" x14ac:dyDescent="0.3">
      <c r="A144" t="s">
        <v>2</v>
      </c>
      <c r="B144">
        <v>18</v>
      </c>
      <c r="C144">
        <v>5.39</v>
      </c>
      <c r="D144">
        <f>0.22</f>
        <v>0.22</v>
      </c>
      <c r="E144">
        <f>16.87*1024</f>
        <v>17274.88</v>
      </c>
      <c r="F144">
        <f t="shared" si="2"/>
        <v>8017412.0959999999</v>
      </c>
      <c r="G144">
        <f>455</f>
        <v>455</v>
      </c>
      <c r="H144">
        <f>385</f>
        <v>385</v>
      </c>
      <c r="I144">
        <f>553</f>
        <v>553</v>
      </c>
      <c r="J144">
        <f>4.08*1000</f>
        <v>4080</v>
      </c>
      <c r="K144">
        <f>223</f>
        <v>223</v>
      </c>
      <c r="L144">
        <v>15</v>
      </c>
    </row>
    <row r="145" spans="1:12" x14ac:dyDescent="0.3">
      <c r="A145" t="s">
        <v>3</v>
      </c>
      <c r="B145">
        <v>2</v>
      </c>
      <c r="C145">
        <v>0</v>
      </c>
      <c r="D145">
        <f>0.01</f>
        <v>0.01</v>
      </c>
      <c r="E145">
        <f>820</f>
        <v>820</v>
      </c>
      <c r="F145">
        <f t="shared" si="2"/>
        <v>8017412.0959999999</v>
      </c>
      <c r="G145">
        <f>655</f>
        <v>655</v>
      </c>
      <c r="H145">
        <f>646</f>
        <v>646</v>
      </c>
      <c r="I145">
        <f>0</f>
        <v>0</v>
      </c>
      <c r="J145">
        <f>0</f>
        <v>0</v>
      </c>
      <c r="K145">
        <f>223</f>
        <v>223</v>
      </c>
      <c r="L145">
        <v>15</v>
      </c>
    </row>
    <row r="146" spans="1:12" x14ac:dyDescent="0.3">
      <c r="A146" t="s">
        <v>4</v>
      </c>
      <c r="B146">
        <v>2</v>
      </c>
      <c r="C146">
        <v>0</v>
      </c>
      <c r="D146">
        <f>0.01</f>
        <v>0.01</v>
      </c>
      <c r="E146">
        <f>828</f>
        <v>828</v>
      </c>
      <c r="F146">
        <f t="shared" si="2"/>
        <v>8017412.0959999999</v>
      </c>
      <c r="G146">
        <f>410</f>
        <v>410</v>
      </c>
      <c r="H146">
        <f>400</f>
        <v>400</v>
      </c>
      <c r="I146">
        <f>0</f>
        <v>0</v>
      </c>
      <c r="J146">
        <f>0</f>
        <v>0</v>
      </c>
      <c r="K146">
        <f>223</f>
        <v>223</v>
      </c>
      <c r="L146">
        <v>15</v>
      </c>
    </row>
    <row r="147" spans="1:12" x14ac:dyDescent="0.3">
      <c r="A147" t="s">
        <v>0</v>
      </c>
      <c r="B147">
        <v>29</v>
      </c>
      <c r="C147">
        <v>43.87</v>
      </c>
      <c r="D147">
        <f>2.37</f>
        <v>2.37</v>
      </c>
      <c r="E147">
        <f>185.3*1024</f>
        <v>189747.20000000001</v>
      </c>
      <c r="F147">
        <f t="shared" si="2"/>
        <v>8017412.0959999999</v>
      </c>
      <c r="G147">
        <f>205</f>
        <v>205</v>
      </c>
      <c r="H147">
        <f>235</f>
        <v>235</v>
      </c>
      <c r="I147">
        <f>25.5*1000</f>
        <v>25500</v>
      </c>
      <c r="J147">
        <f>16.4</f>
        <v>16.399999999999999</v>
      </c>
      <c r="K147">
        <f>231</f>
        <v>231</v>
      </c>
      <c r="L147">
        <v>7</v>
      </c>
    </row>
    <row r="148" spans="1:12" x14ac:dyDescent="0.3">
      <c r="A148" t="s">
        <v>1</v>
      </c>
      <c r="B148">
        <v>12</v>
      </c>
      <c r="C148">
        <v>0.43</v>
      </c>
      <c r="D148">
        <f>0.14</f>
        <v>0.14000000000000001</v>
      </c>
      <c r="E148">
        <f>10.78*1024</f>
        <v>11038.72</v>
      </c>
      <c r="F148">
        <f t="shared" si="2"/>
        <v>8017412.0959999999</v>
      </c>
      <c r="G148">
        <f>585</f>
        <v>585</v>
      </c>
      <c r="H148">
        <f>567</f>
        <v>567</v>
      </c>
      <c r="I148">
        <f>262</f>
        <v>262</v>
      </c>
      <c r="J148">
        <f>28.7</f>
        <v>28.7</v>
      </c>
      <c r="K148">
        <f>231</f>
        <v>231</v>
      </c>
      <c r="L148">
        <v>7</v>
      </c>
    </row>
    <row r="149" spans="1:12" x14ac:dyDescent="0.3">
      <c r="A149" t="s">
        <v>2</v>
      </c>
      <c r="B149">
        <v>18</v>
      </c>
      <c r="C149">
        <v>5.41</v>
      </c>
      <c r="D149">
        <f>0.22</f>
        <v>0.22</v>
      </c>
      <c r="E149">
        <f>16.95*1024</f>
        <v>17356.8</v>
      </c>
      <c r="F149">
        <f t="shared" si="2"/>
        <v>8017412.0959999999</v>
      </c>
      <c r="G149">
        <f>478</f>
        <v>478</v>
      </c>
      <c r="H149">
        <f>404</f>
        <v>404</v>
      </c>
      <c r="I149">
        <f>553</f>
        <v>553</v>
      </c>
      <c r="J149">
        <f>4.48*1000</f>
        <v>4480</v>
      </c>
      <c r="K149">
        <f>231</f>
        <v>231</v>
      </c>
      <c r="L149">
        <v>7</v>
      </c>
    </row>
    <row r="150" spans="1:12" x14ac:dyDescent="0.3">
      <c r="A150" t="s">
        <v>3</v>
      </c>
      <c r="B150">
        <v>2</v>
      </c>
      <c r="C150">
        <v>0</v>
      </c>
      <c r="D150">
        <f>0.01</f>
        <v>0.01</v>
      </c>
      <c r="E150">
        <f>820</f>
        <v>820</v>
      </c>
      <c r="F150">
        <f t="shared" si="2"/>
        <v>8017412.0959999999</v>
      </c>
      <c r="G150">
        <f>693</f>
        <v>693</v>
      </c>
      <c r="H150">
        <f>684</f>
        <v>684</v>
      </c>
      <c r="I150">
        <f>0</f>
        <v>0</v>
      </c>
      <c r="J150">
        <f>0</f>
        <v>0</v>
      </c>
      <c r="K150">
        <f>231</f>
        <v>231</v>
      </c>
      <c r="L150">
        <v>7</v>
      </c>
    </row>
    <row r="151" spans="1:12" x14ac:dyDescent="0.3">
      <c r="A151" t="s">
        <v>4</v>
      </c>
      <c r="B151">
        <v>2</v>
      </c>
      <c r="C151">
        <v>0</v>
      </c>
      <c r="D151">
        <f>0.01</f>
        <v>0.01</v>
      </c>
      <c r="E151">
        <f>828</f>
        <v>828</v>
      </c>
      <c r="F151">
        <f t="shared" si="2"/>
        <v>8017412.0959999999</v>
      </c>
      <c r="G151">
        <f>439</f>
        <v>439</v>
      </c>
      <c r="H151">
        <f>428</f>
        <v>428</v>
      </c>
      <c r="I151">
        <f>0</f>
        <v>0</v>
      </c>
      <c r="J151">
        <f>0</f>
        <v>0</v>
      </c>
      <c r="K151">
        <f>231</f>
        <v>231</v>
      </c>
      <c r="L151">
        <v>7</v>
      </c>
    </row>
    <row r="152" spans="1:12" x14ac:dyDescent="0.3">
      <c r="A152" t="s">
        <v>0</v>
      </c>
      <c r="B152">
        <v>29</v>
      </c>
      <c r="C152">
        <v>36.229999999999997</v>
      </c>
      <c r="D152">
        <f>2.37</f>
        <v>2.37</v>
      </c>
      <c r="E152">
        <f>185.6*1024</f>
        <v>190054.39999999999</v>
      </c>
      <c r="F152">
        <f t="shared" si="2"/>
        <v>8017412.0959999999</v>
      </c>
      <c r="G152">
        <f>216</f>
        <v>216</v>
      </c>
      <c r="H152">
        <f>249</f>
        <v>249</v>
      </c>
      <c r="I152">
        <f>25.5*1000</f>
        <v>25500</v>
      </c>
      <c r="J152">
        <f>16.4</f>
        <v>16.399999999999999</v>
      </c>
      <c r="K152">
        <f>239</f>
        <v>239</v>
      </c>
      <c r="L152">
        <v>15</v>
      </c>
    </row>
    <row r="153" spans="1:12" x14ac:dyDescent="0.3">
      <c r="A153" t="s">
        <v>1</v>
      </c>
      <c r="B153">
        <v>12</v>
      </c>
      <c r="C153">
        <v>0.2</v>
      </c>
      <c r="D153">
        <f>0.14</f>
        <v>0.14000000000000001</v>
      </c>
      <c r="E153">
        <f>10.73*1024</f>
        <v>10987.52</v>
      </c>
      <c r="F153">
        <f t="shared" si="2"/>
        <v>8017412.0959999999</v>
      </c>
      <c r="G153">
        <f>619</f>
        <v>619</v>
      </c>
      <c r="H153">
        <f>602</f>
        <v>602</v>
      </c>
      <c r="I153">
        <f>262</f>
        <v>262</v>
      </c>
      <c r="J153">
        <f>28.7</f>
        <v>28.7</v>
      </c>
      <c r="K153">
        <f>239</f>
        <v>239</v>
      </c>
      <c r="L153">
        <v>15</v>
      </c>
    </row>
    <row r="154" spans="1:12" x14ac:dyDescent="0.3">
      <c r="A154" t="s">
        <v>2</v>
      </c>
      <c r="B154">
        <v>18</v>
      </c>
      <c r="C154">
        <v>1.55</v>
      </c>
      <c r="D154">
        <f>0.22</f>
        <v>0.22</v>
      </c>
      <c r="E154">
        <f>17.1*1024</f>
        <v>17510.400000000001</v>
      </c>
      <c r="F154">
        <f t="shared" si="2"/>
        <v>8017412.0959999999</v>
      </c>
      <c r="G154">
        <f>509</f>
        <v>509</v>
      </c>
      <c r="H154">
        <f>431</f>
        <v>431</v>
      </c>
      <c r="I154">
        <f>553</f>
        <v>553</v>
      </c>
      <c r="J154">
        <f>4.92*1000</f>
        <v>4920</v>
      </c>
      <c r="K154">
        <f>239</f>
        <v>239</v>
      </c>
      <c r="L154">
        <v>15</v>
      </c>
    </row>
    <row r="155" spans="1:12" x14ac:dyDescent="0.3">
      <c r="A155" t="s">
        <v>3</v>
      </c>
      <c r="B155">
        <v>2</v>
      </c>
      <c r="C155">
        <v>0</v>
      </c>
      <c r="D155">
        <f>0.01</f>
        <v>0.01</v>
      </c>
      <c r="E155">
        <f>820</f>
        <v>820</v>
      </c>
      <c r="F155">
        <f t="shared" si="2"/>
        <v>8017412.0959999999</v>
      </c>
      <c r="G155">
        <f>737</f>
        <v>737</v>
      </c>
      <c r="H155">
        <f>727</f>
        <v>727</v>
      </c>
      <c r="I155">
        <f>0</f>
        <v>0</v>
      </c>
      <c r="J155">
        <f>0</f>
        <v>0</v>
      </c>
      <c r="K155">
        <f>239</f>
        <v>239</v>
      </c>
      <c r="L155">
        <v>15</v>
      </c>
    </row>
    <row r="156" spans="1:12" x14ac:dyDescent="0.3">
      <c r="A156" t="s">
        <v>4</v>
      </c>
      <c r="B156">
        <v>2</v>
      </c>
      <c r="C156">
        <v>0</v>
      </c>
      <c r="D156">
        <f>0.01</f>
        <v>0.01</v>
      </c>
      <c r="E156">
        <f>828</f>
        <v>828</v>
      </c>
      <c r="F156">
        <f t="shared" si="2"/>
        <v>8017412.0959999999</v>
      </c>
      <c r="G156">
        <f>463</f>
        <v>463</v>
      </c>
      <c r="H156">
        <f>452</f>
        <v>452</v>
      </c>
      <c r="I156">
        <f>0</f>
        <v>0</v>
      </c>
      <c r="J156">
        <f>0</f>
        <v>0</v>
      </c>
      <c r="K156">
        <f>239</f>
        <v>239</v>
      </c>
      <c r="L156">
        <v>15</v>
      </c>
    </row>
    <row r="157" spans="1:12" x14ac:dyDescent="0.3">
      <c r="A157" t="s">
        <v>0</v>
      </c>
      <c r="B157">
        <v>29</v>
      </c>
      <c r="C157">
        <v>46.44</v>
      </c>
      <c r="D157">
        <f>2.37</f>
        <v>2.37</v>
      </c>
      <c r="E157">
        <f>185.8*1024</f>
        <v>190259.20000000001</v>
      </c>
      <c r="F157">
        <f t="shared" si="2"/>
        <v>8017412.0959999999</v>
      </c>
      <c r="G157">
        <f>227</f>
        <v>227</v>
      </c>
      <c r="H157">
        <f>262</f>
        <v>262</v>
      </c>
      <c r="I157">
        <f>25.5*1000</f>
        <v>25500</v>
      </c>
      <c r="J157">
        <f>16.4</f>
        <v>16.399999999999999</v>
      </c>
      <c r="K157">
        <f>247</f>
        <v>247</v>
      </c>
      <c r="L157">
        <v>22</v>
      </c>
    </row>
    <row r="158" spans="1:12" x14ac:dyDescent="0.3">
      <c r="A158" t="s">
        <v>1</v>
      </c>
      <c r="B158">
        <v>12</v>
      </c>
      <c r="C158">
        <v>0.22</v>
      </c>
      <c r="D158">
        <f>0.14</f>
        <v>0.14000000000000001</v>
      </c>
      <c r="E158">
        <f>11.12*1024</f>
        <v>11386.88</v>
      </c>
      <c r="F158">
        <f t="shared" si="2"/>
        <v>8017412.0959999999</v>
      </c>
      <c r="G158">
        <f>650</f>
        <v>650</v>
      </c>
      <c r="H158">
        <f>633</f>
        <v>633</v>
      </c>
      <c r="I158">
        <f>262</f>
        <v>262</v>
      </c>
      <c r="J158">
        <f>28.7</f>
        <v>28.7</v>
      </c>
      <c r="K158">
        <f>247</f>
        <v>247</v>
      </c>
      <c r="L158">
        <v>22</v>
      </c>
    </row>
    <row r="159" spans="1:12" x14ac:dyDescent="0.3">
      <c r="A159" t="s">
        <v>2</v>
      </c>
      <c r="B159">
        <v>18</v>
      </c>
      <c r="C159">
        <v>5.91</v>
      </c>
      <c r="D159">
        <f>0.22</f>
        <v>0.22</v>
      </c>
      <c r="E159">
        <f>17.52*1024</f>
        <v>17940.48</v>
      </c>
      <c r="F159">
        <f t="shared" si="2"/>
        <v>8017412.0959999999</v>
      </c>
      <c r="G159">
        <f>534</f>
        <v>534</v>
      </c>
      <c r="H159">
        <f>454</f>
        <v>454</v>
      </c>
      <c r="I159">
        <f>553</f>
        <v>553</v>
      </c>
      <c r="J159">
        <f>5.37*1000</f>
        <v>5370</v>
      </c>
      <c r="K159">
        <f>247</f>
        <v>247</v>
      </c>
      <c r="L159">
        <v>22</v>
      </c>
    </row>
    <row r="160" spans="1:12" x14ac:dyDescent="0.3">
      <c r="A160" t="s">
        <v>3</v>
      </c>
      <c r="B160">
        <v>2</v>
      </c>
      <c r="C160">
        <v>0</v>
      </c>
      <c r="D160">
        <f>0.01</f>
        <v>0.01</v>
      </c>
      <c r="E160">
        <f>820</f>
        <v>820</v>
      </c>
      <c r="F160">
        <f t="shared" si="2"/>
        <v>8017412.0959999999</v>
      </c>
      <c r="G160">
        <f>775</f>
        <v>775</v>
      </c>
      <c r="H160">
        <f>765</f>
        <v>765</v>
      </c>
      <c r="I160">
        <f>0</f>
        <v>0</v>
      </c>
      <c r="J160">
        <f>0</f>
        <v>0</v>
      </c>
      <c r="K160">
        <f>247</f>
        <v>247</v>
      </c>
      <c r="L160">
        <v>22</v>
      </c>
    </row>
    <row r="161" spans="1:12" x14ac:dyDescent="0.3">
      <c r="A161" t="s">
        <v>4</v>
      </c>
      <c r="B161">
        <v>2</v>
      </c>
      <c r="C161">
        <v>0</v>
      </c>
      <c r="D161">
        <f>0.01</f>
        <v>0.01</v>
      </c>
      <c r="E161">
        <f>828</f>
        <v>828</v>
      </c>
      <c r="F161">
        <f t="shared" si="2"/>
        <v>8017412.0959999999</v>
      </c>
      <c r="G161">
        <f>487</f>
        <v>487</v>
      </c>
      <c r="H161">
        <f>476</f>
        <v>476</v>
      </c>
      <c r="I161">
        <f>0</f>
        <v>0</v>
      </c>
      <c r="J161">
        <f>0</f>
        <v>0</v>
      </c>
      <c r="K161">
        <f>247</f>
        <v>247</v>
      </c>
      <c r="L161">
        <v>22</v>
      </c>
    </row>
    <row r="162" spans="1:12" x14ac:dyDescent="0.3">
      <c r="A162" t="s">
        <v>0</v>
      </c>
      <c r="B162">
        <v>29</v>
      </c>
      <c r="C162">
        <v>45.76</v>
      </c>
      <c r="D162">
        <f>2.38</f>
        <v>2.38</v>
      </c>
      <c r="E162">
        <f>186*1024</f>
        <v>190464</v>
      </c>
      <c r="F162">
        <f t="shared" si="2"/>
        <v>8017412.0959999999</v>
      </c>
      <c r="G162">
        <f>239</f>
        <v>239</v>
      </c>
      <c r="H162">
        <f>275</f>
        <v>275</v>
      </c>
      <c r="I162">
        <f>25.5*1000</f>
        <v>25500</v>
      </c>
      <c r="J162">
        <f>16.4</f>
        <v>16.399999999999999</v>
      </c>
      <c r="K162">
        <f>255</f>
        <v>255</v>
      </c>
      <c r="L162">
        <v>18</v>
      </c>
    </row>
    <row r="163" spans="1:12" x14ac:dyDescent="0.3">
      <c r="A163" t="s">
        <v>1</v>
      </c>
      <c r="B163">
        <v>12</v>
      </c>
      <c r="C163">
        <v>0.21</v>
      </c>
      <c r="D163">
        <f>0.14</f>
        <v>0.14000000000000001</v>
      </c>
      <c r="E163">
        <f>11.35*1024</f>
        <v>11622.4</v>
      </c>
      <c r="F163">
        <f t="shared" si="2"/>
        <v>8017412.0959999999</v>
      </c>
      <c r="G163">
        <f>681</f>
        <v>681</v>
      </c>
      <c r="H163">
        <f>665</f>
        <v>665</v>
      </c>
      <c r="I163">
        <f>262</f>
        <v>262</v>
      </c>
      <c r="J163">
        <f>28.7</f>
        <v>28.7</v>
      </c>
      <c r="K163">
        <f>255</f>
        <v>255</v>
      </c>
      <c r="L163">
        <v>18</v>
      </c>
    </row>
    <row r="164" spans="1:12" x14ac:dyDescent="0.3">
      <c r="A164" t="s">
        <v>2</v>
      </c>
      <c r="B164">
        <v>18</v>
      </c>
      <c r="C164">
        <v>4.38</v>
      </c>
      <c r="D164">
        <f>0.23</f>
        <v>0.23</v>
      </c>
      <c r="E164">
        <f>17.65*1024</f>
        <v>18073.599999999999</v>
      </c>
      <c r="F164">
        <f t="shared" si="2"/>
        <v>8017412.0959999999</v>
      </c>
      <c r="G164">
        <f>559</f>
        <v>559</v>
      </c>
      <c r="H164">
        <f>476</f>
        <v>476</v>
      </c>
      <c r="I164">
        <f>553</f>
        <v>553</v>
      </c>
      <c r="J164">
        <f>5.84*1000</f>
        <v>5840</v>
      </c>
      <c r="K164">
        <f>255</f>
        <v>255</v>
      </c>
      <c r="L164">
        <v>18</v>
      </c>
    </row>
    <row r="165" spans="1:12" x14ac:dyDescent="0.3">
      <c r="A165" t="s">
        <v>3</v>
      </c>
      <c r="B165">
        <v>2</v>
      </c>
      <c r="C165">
        <v>0</v>
      </c>
      <c r="D165">
        <f>0.01</f>
        <v>0.01</v>
      </c>
      <c r="E165">
        <f>820</f>
        <v>820</v>
      </c>
      <c r="F165">
        <f t="shared" si="2"/>
        <v>8017412.0959999999</v>
      </c>
      <c r="G165">
        <f>813</f>
        <v>813</v>
      </c>
      <c r="H165">
        <f>803</f>
        <v>803</v>
      </c>
      <c r="I165">
        <f>0</f>
        <v>0</v>
      </c>
      <c r="J165">
        <f>0</f>
        <v>0</v>
      </c>
      <c r="K165">
        <f>255</f>
        <v>255</v>
      </c>
      <c r="L165">
        <v>18</v>
      </c>
    </row>
    <row r="166" spans="1:12" x14ac:dyDescent="0.3">
      <c r="A166" t="s">
        <v>4</v>
      </c>
      <c r="B166">
        <v>2</v>
      </c>
      <c r="C166">
        <v>0</v>
      </c>
      <c r="D166">
        <f>0.01</f>
        <v>0.01</v>
      </c>
      <c r="E166">
        <f>828</f>
        <v>828</v>
      </c>
      <c r="F166">
        <f t="shared" si="2"/>
        <v>8017412.0959999999</v>
      </c>
      <c r="G166">
        <f>511</f>
        <v>511</v>
      </c>
      <c r="H166">
        <f>500</f>
        <v>500</v>
      </c>
      <c r="I166">
        <f>0</f>
        <v>0</v>
      </c>
      <c r="J166">
        <f>0</f>
        <v>0</v>
      </c>
      <c r="K166">
        <f>255</f>
        <v>255</v>
      </c>
      <c r="L166">
        <v>18</v>
      </c>
    </row>
    <row r="167" spans="1:12" x14ac:dyDescent="0.3">
      <c r="A167" t="s">
        <v>0</v>
      </c>
      <c r="B167">
        <v>29</v>
      </c>
      <c r="C167">
        <v>43.26</v>
      </c>
      <c r="D167">
        <f>2.38</f>
        <v>2.38</v>
      </c>
      <c r="E167">
        <f>186.4*1024</f>
        <v>190873.60000000001</v>
      </c>
      <c r="F167">
        <f t="shared" si="2"/>
        <v>8017412.0959999999</v>
      </c>
      <c r="G167">
        <f>252</f>
        <v>252</v>
      </c>
      <c r="H167">
        <f>290</f>
        <v>290</v>
      </c>
      <c r="I167">
        <f>25.5*1000</f>
        <v>25500</v>
      </c>
      <c r="J167">
        <f>16.4</f>
        <v>16.399999999999999</v>
      </c>
      <c r="K167">
        <f>262</f>
        <v>262</v>
      </c>
      <c r="L167">
        <v>15</v>
      </c>
    </row>
    <row r="168" spans="1:12" x14ac:dyDescent="0.3">
      <c r="A168" t="s">
        <v>1</v>
      </c>
      <c r="B168">
        <v>12</v>
      </c>
      <c r="C168">
        <v>0.46</v>
      </c>
      <c r="D168">
        <f>0.14</f>
        <v>0.14000000000000001</v>
      </c>
      <c r="E168">
        <f>10.72*1024</f>
        <v>10977.28</v>
      </c>
      <c r="F168">
        <f t="shared" si="2"/>
        <v>8017412.0959999999</v>
      </c>
      <c r="G168">
        <f>717</f>
        <v>717</v>
      </c>
      <c r="H168">
        <f>700</f>
        <v>700</v>
      </c>
      <c r="I168">
        <f>262</f>
        <v>262</v>
      </c>
      <c r="J168">
        <f>28.7</f>
        <v>28.7</v>
      </c>
      <c r="K168">
        <f>262</f>
        <v>262</v>
      </c>
      <c r="L168">
        <v>15</v>
      </c>
    </row>
    <row r="169" spans="1:12" x14ac:dyDescent="0.3">
      <c r="A169" t="s">
        <v>2</v>
      </c>
      <c r="B169">
        <v>18</v>
      </c>
      <c r="C169">
        <v>5.96</v>
      </c>
      <c r="D169">
        <f>0.23</f>
        <v>0.23</v>
      </c>
      <c r="E169">
        <f>17.7*1024</f>
        <v>18124.8</v>
      </c>
      <c r="F169">
        <f t="shared" si="2"/>
        <v>8017412.0959999999</v>
      </c>
      <c r="G169">
        <f>587</f>
        <v>587</v>
      </c>
      <c r="H169">
        <f>501</f>
        <v>501</v>
      </c>
      <c r="I169">
        <f>553</f>
        <v>553</v>
      </c>
      <c r="J169">
        <f>6.35*1000</f>
        <v>6350</v>
      </c>
      <c r="K169">
        <f>262</f>
        <v>262</v>
      </c>
      <c r="L169">
        <v>15</v>
      </c>
    </row>
    <row r="170" spans="1:12" x14ac:dyDescent="0.3">
      <c r="A170" t="s">
        <v>3</v>
      </c>
      <c r="B170">
        <v>2</v>
      </c>
      <c r="C170">
        <v>0</v>
      </c>
      <c r="D170">
        <f>0.01</f>
        <v>0.01</v>
      </c>
      <c r="E170">
        <f>820</f>
        <v>820</v>
      </c>
      <c r="F170">
        <f t="shared" si="2"/>
        <v>8017412.0959999999</v>
      </c>
      <c r="G170">
        <f>857</f>
        <v>857</v>
      </c>
      <c r="H170">
        <f>847</f>
        <v>847</v>
      </c>
      <c r="I170">
        <f>0</f>
        <v>0</v>
      </c>
      <c r="J170">
        <f>0</f>
        <v>0</v>
      </c>
      <c r="K170">
        <f>262</f>
        <v>262</v>
      </c>
      <c r="L170">
        <v>15</v>
      </c>
    </row>
    <row r="171" spans="1:12" x14ac:dyDescent="0.3">
      <c r="A171" t="s">
        <v>4</v>
      </c>
      <c r="B171">
        <v>2</v>
      </c>
      <c r="C171">
        <v>0</v>
      </c>
      <c r="D171">
        <f>0.01</f>
        <v>0.01</v>
      </c>
      <c r="E171">
        <f>828</f>
        <v>828</v>
      </c>
      <c r="F171">
        <f t="shared" si="2"/>
        <v>8017412.0959999999</v>
      </c>
      <c r="G171">
        <f>537</f>
        <v>537</v>
      </c>
      <c r="H171">
        <f>526</f>
        <v>526</v>
      </c>
      <c r="I171">
        <f>0</f>
        <v>0</v>
      </c>
      <c r="J171">
        <f>0</f>
        <v>0</v>
      </c>
      <c r="K171">
        <f>262</f>
        <v>262</v>
      </c>
      <c r="L171">
        <v>15</v>
      </c>
    </row>
    <row r="172" spans="1:12" x14ac:dyDescent="0.3">
      <c r="A172" t="s">
        <v>0</v>
      </c>
      <c r="B172">
        <v>29</v>
      </c>
      <c r="C172">
        <v>45.95</v>
      </c>
      <c r="D172">
        <f>2.38</f>
        <v>2.38</v>
      </c>
      <c r="E172">
        <f>186.6*1024</f>
        <v>191078.39999999999</v>
      </c>
      <c r="F172">
        <f t="shared" si="2"/>
        <v>8017412.0959999999</v>
      </c>
      <c r="G172">
        <f>263</f>
        <v>263</v>
      </c>
      <c r="H172">
        <f>303</f>
        <v>303</v>
      </c>
      <c r="I172">
        <f>25.5*1000</f>
        <v>25500</v>
      </c>
      <c r="J172">
        <f>16.4</f>
        <v>16.399999999999999</v>
      </c>
      <c r="K172">
        <f>270</f>
        <v>270</v>
      </c>
      <c r="L172">
        <v>12</v>
      </c>
    </row>
    <row r="173" spans="1:12" x14ac:dyDescent="0.3">
      <c r="A173" t="s">
        <v>1</v>
      </c>
      <c r="B173">
        <v>12</v>
      </c>
      <c r="C173">
        <v>0.47</v>
      </c>
      <c r="D173">
        <f>0.14</f>
        <v>0.14000000000000001</v>
      </c>
      <c r="E173">
        <f>11.02*1024</f>
        <v>11284.48</v>
      </c>
      <c r="F173">
        <f t="shared" si="2"/>
        <v>8017412.0959999999</v>
      </c>
      <c r="G173">
        <f>748</f>
        <v>748</v>
      </c>
      <c r="H173">
        <f>731</f>
        <v>731</v>
      </c>
      <c r="I173">
        <f>262</f>
        <v>262</v>
      </c>
      <c r="J173">
        <f>28.7</f>
        <v>28.7</v>
      </c>
      <c r="K173">
        <f>270</f>
        <v>270</v>
      </c>
      <c r="L173">
        <v>12</v>
      </c>
    </row>
    <row r="174" spans="1:12" x14ac:dyDescent="0.3">
      <c r="A174" t="s">
        <v>2</v>
      </c>
      <c r="B174">
        <v>18</v>
      </c>
      <c r="C174">
        <v>4.03</v>
      </c>
      <c r="D174">
        <f>0.23</f>
        <v>0.23</v>
      </c>
      <c r="E174">
        <f>17.93*1024</f>
        <v>18360.32</v>
      </c>
      <c r="F174">
        <f t="shared" si="2"/>
        <v>8017412.0959999999</v>
      </c>
      <c r="G174">
        <f>610</f>
        <v>610</v>
      </c>
      <c r="H174">
        <f>521</f>
        <v>521</v>
      </c>
      <c r="I174">
        <f>553</f>
        <v>553</v>
      </c>
      <c r="J174">
        <f>6.86*1000</f>
        <v>6860</v>
      </c>
      <c r="K174">
        <f>270</f>
        <v>270</v>
      </c>
      <c r="L174">
        <v>12</v>
      </c>
    </row>
    <row r="175" spans="1:12" x14ac:dyDescent="0.3">
      <c r="A175" t="s">
        <v>3</v>
      </c>
      <c r="B175">
        <v>2</v>
      </c>
      <c r="C175">
        <v>0</v>
      </c>
      <c r="D175">
        <f>0.01</f>
        <v>0.01</v>
      </c>
      <c r="E175">
        <f>820</f>
        <v>820</v>
      </c>
      <c r="F175">
        <f t="shared" si="2"/>
        <v>8017412.0959999999</v>
      </c>
      <c r="G175">
        <f>895</f>
        <v>895</v>
      </c>
      <c r="H175">
        <f>885</f>
        <v>885</v>
      </c>
      <c r="I175">
        <f>0</f>
        <v>0</v>
      </c>
      <c r="J175">
        <f>0</f>
        <v>0</v>
      </c>
      <c r="K175">
        <f>270</f>
        <v>270</v>
      </c>
      <c r="L175">
        <v>12</v>
      </c>
    </row>
    <row r="176" spans="1:12" x14ac:dyDescent="0.3">
      <c r="A176" t="s">
        <v>4</v>
      </c>
      <c r="B176">
        <v>2</v>
      </c>
      <c r="C176">
        <v>0</v>
      </c>
      <c r="D176">
        <f>0.01</f>
        <v>0.01</v>
      </c>
      <c r="E176">
        <f>828</f>
        <v>828</v>
      </c>
      <c r="F176">
        <f t="shared" si="2"/>
        <v>8017412.0959999999</v>
      </c>
      <c r="G176">
        <f>565</f>
        <v>565</v>
      </c>
      <c r="H176">
        <f>554</f>
        <v>554</v>
      </c>
      <c r="I176">
        <f>0</f>
        <v>0</v>
      </c>
      <c r="J176">
        <f>0</f>
        <v>0</v>
      </c>
      <c r="K176">
        <f>270</f>
        <v>270</v>
      </c>
      <c r="L176">
        <v>12</v>
      </c>
    </row>
    <row r="177" spans="1:12" x14ac:dyDescent="0.3">
      <c r="A177" t="s">
        <v>0</v>
      </c>
      <c r="B177">
        <v>29</v>
      </c>
      <c r="C177">
        <v>42.85</v>
      </c>
      <c r="D177">
        <f>2.38</f>
        <v>2.38</v>
      </c>
      <c r="E177">
        <f>186.7*1024</f>
        <v>191180.79999999999</v>
      </c>
      <c r="F177">
        <f t="shared" si="2"/>
        <v>8017412.0959999999</v>
      </c>
      <c r="G177">
        <f>275</f>
        <v>275</v>
      </c>
      <c r="H177">
        <f>317</f>
        <v>317</v>
      </c>
      <c r="I177">
        <f>25.5*1000</f>
        <v>25500</v>
      </c>
      <c r="J177">
        <f>16.4</f>
        <v>16.399999999999999</v>
      </c>
      <c r="K177">
        <f>278</f>
        <v>278</v>
      </c>
      <c r="L177">
        <v>12</v>
      </c>
    </row>
    <row r="178" spans="1:12" x14ac:dyDescent="0.3">
      <c r="A178" t="s">
        <v>1</v>
      </c>
      <c r="B178">
        <v>12</v>
      </c>
      <c r="C178">
        <v>0.28000000000000003</v>
      </c>
      <c r="D178">
        <f>0.14</f>
        <v>0.14000000000000001</v>
      </c>
      <c r="E178">
        <f>11.22*1024</f>
        <v>11489.28</v>
      </c>
      <c r="F178">
        <f t="shared" si="2"/>
        <v>8017412.0959999999</v>
      </c>
      <c r="G178">
        <f>782</f>
        <v>782</v>
      </c>
      <c r="H178">
        <f>766</f>
        <v>766</v>
      </c>
      <c r="I178">
        <f>262</f>
        <v>262</v>
      </c>
      <c r="J178">
        <f>28.7</f>
        <v>28.7</v>
      </c>
      <c r="K178">
        <f>278</f>
        <v>278</v>
      </c>
      <c r="L178">
        <v>12</v>
      </c>
    </row>
    <row r="179" spans="1:12" x14ac:dyDescent="0.3">
      <c r="A179" t="s">
        <v>2</v>
      </c>
      <c r="B179">
        <v>18</v>
      </c>
      <c r="C179">
        <v>7.15</v>
      </c>
      <c r="D179">
        <f>0.22</f>
        <v>0.22</v>
      </c>
      <c r="E179">
        <f>17.55*1024</f>
        <v>17971.2</v>
      </c>
      <c r="F179">
        <f t="shared" si="2"/>
        <v>8017412.0959999999</v>
      </c>
      <c r="G179">
        <f>640</f>
        <v>640</v>
      </c>
      <c r="H179">
        <f>548</f>
        <v>548</v>
      </c>
      <c r="I179">
        <f>553</f>
        <v>553</v>
      </c>
      <c r="J179">
        <f>7.4*1000</f>
        <v>7400</v>
      </c>
      <c r="K179">
        <f>278</f>
        <v>278</v>
      </c>
      <c r="L179">
        <v>12</v>
      </c>
    </row>
    <row r="180" spans="1:12" x14ac:dyDescent="0.3">
      <c r="A180" t="s">
        <v>3</v>
      </c>
      <c r="B180">
        <v>2</v>
      </c>
      <c r="C180">
        <v>0</v>
      </c>
      <c r="D180">
        <f>0.01</f>
        <v>0.01</v>
      </c>
      <c r="E180">
        <f>820</f>
        <v>820</v>
      </c>
      <c r="F180">
        <f t="shared" si="2"/>
        <v>8017412.0959999999</v>
      </c>
      <c r="G180">
        <f>937</f>
        <v>937</v>
      </c>
      <c r="H180">
        <f>927</f>
        <v>927</v>
      </c>
      <c r="I180">
        <f>0</f>
        <v>0</v>
      </c>
      <c r="J180">
        <f>0</f>
        <v>0</v>
      </c>
      <c r="K180">
        <f>278</f>
        <v>278</v>
      </c>
      <c r="L180">
        <v>12</v>
      </c>
    </row>
    <row r="181" spans="1:12" x14ac:dyDescent="0.3">
      <c r="A181" t="s">
        <v>4</v>
      </c>
      <c r="B181">
        <v>2</v>
      </c>
      <c r="C181">
        <v>0</v>
      </c>
      <c r="D181">
        <f>0.01</f>
        <v>0.01</v>
      </c>
      <c r="E181">
        <f>828</f>
        <v>828</v>
      </c>
      <c r="F181">
        <f t="shared" si="2"/>
        <v>8017412.0959999999</v>
      </c>
      <c r="G181">
        <f>589</f>
        <v>589</v>
      </c>
      <c r="H181">
        <f>578</f>
        <v>578</v>
      </c>
      <c r="I181">
        <f>0</f>
        <v>0</v>
      </c>
      <c r="J181">
        <f>0</f>
        <v>0</v>
      </c>
      <c r="K181">
        <f>278</f>
        <v>278</v>
      </c>
      <c r="L181">
        <v>12</v>
      </c>
    </row>
    <row r="182" spans="1:12" x14ac:dyDescent="0.3">
      <c r="A182" t="s">
        <v>0</v>
      </c>
      <c r="B182">
        <v>29</v>
      </c>
      <c r="C182">
        <v>45.19</v>
      </c>
      <c r="D182">
        <f>2.39</f>
        <v>2.39</v>
      </c>
      <c r="E182">
        <f>187.1*1024</f>
        <v>191590.39999999999</v>
      </c>
      <c r="F182">
        <f t="shared" si="2"/>
        <v>8017412.0959999999</v>
      </c>
      <c r="G182">
        <f>286</f>
        <v>286</v>
      </c>
      <c r="H182">
        <f>330</f>
        <v>330</v>
      </c>
      <c r="I182">
        <f>25.5*1000</f>
        <v>25500</v>
      </c>
      <c r="J182">
        <f>16.4</f>
        <v>16.399999999999999</v>
      </c>
      <c r="K182">
        <f>286</f>
        <v>286</v>
      </c>
      <c r="L182">
        <v>20</v>
      </c>
    </row>
    <row r="183" spans="1:12" x14ac:dyDescent="0.3">
      <c r="A183" t="s">
        <v>1</v>
      </c>
      <c r="B183">
        <v>12</v>
      </c>
      <c r="C183">
        <v>0.27</v>
      </c>
      <c r="D183">
        <f>0.15</f>
        <v>0.15</v>
      </c>
      <c r="E183">
        <f>11.38*1024</f>
        <v>11653.12</v>
      </c>
      <c r="F183">
        <f t="shared" si="2"/>
        <v>8017412.0959999999</v>
      </c>
      <c r="G183">
        <f>813</f>
        <v>813</v>
      </c>
      <c r="H183">
        <f>797</f>
        <v>797</v>
      </c>
      <c r="I183">
        <f>262</f>
        <v>262</v>
      </c>
      <c r="J183">
        <f>28.7</f>
        <v>28.7</v>
      </c>
      <c r="K183">
        <f>286</f>
        <v>286</v>
      </c>
      <c r="L183">
        <v>20</v>
      </c>
    </row>
    <row r="184" spans="1:12" x14ac:dyDescent="0.3">
      <c r="A184" t="s">
        <v>2</v>
      </c>
      <c r="B184">
        <v>18</v>
      </c>
      <c r="C184">
        <v>6.44</v>
      </c>
      <c r="D184">
        <f>0.23</f>
        <v>0.23</v>
      </c>
      <c r="E184">
        <f>17.82*1024</f>
        <v>18247.68</v>
      </c>
      <c r="F184">
        <f t="shared" si="2"/>
        <v>8017412.0959999999</v>
      </c>
      <c r="G184">
        <f>665</f>
        <v>665</v>
      </c>
      <c r="H184">
        <f>571</f>
        <v>571</v>
      </c>
      <c r="I184">
        <f>553</f>
        <v>553</v>
      </c>
      <c r="J184">
        <f>7.95*1000</f>
        <v>7950</v>
      </c>
      <c r="K184">
        <f>286</f>
        <v>286</v>
      </c>
      <c r="L184">
        <v>20</v>
      </c>
    </row>
    <row r="185" spans="1:12" x14ac:dyDescent="0.3">
      <c r="A185" t="s">
        <v>3</v>
      </c>
      <c r="B185">
        <v>2</v>
      </c>
      <c r="C185">
        <v>0</v>
      </c>
      <c r="D185">
        <f>0.01</f>
        <v>0.01</v>
      </c>
      <c r="E185">
        <f>820</f>
        <v>820</v>
      </c>
      <c r="F185">
        <f t="shared" si="2"/>
        <v>8017412.0959999999</v>
      </c>
      <c r="G185">
        <f>976</f>
        <v>976</v>
      </c>
      <c r="H185">
        <f>966</f>
        <v>966</v>
      </c>
      <c r="I185">
        <f>0</f>
        <v>0</v>
      </c>
      <c r="J185">
        <f>0</f>
        <v>0</v>
      </c>
      <c r="K185">
        <f>286</f>
        <v>286</v>
      </c>
      <c r="L185">
        <v>20</v>
      </c>
    </row>
    <row r="186" spans="1:12" x14ac:dyDescent="0.3">
      <c r="A186" t="s">
        <v>4</v>
      </c>
      <c r="B186">
        <v>2</v>
      </c>
      <c r="C186">
        <v>0</v>
      </c>
      <c r="D186">
        <f>0.01</f>
        <v>0.01</v>
      </c>
      <c r="E186">
        <f>828</f>
        <v>828</v>
      </c>
      <c r="F186">
        <f t="shared" si="2"/>
        <v>8017412.0959999999</v>
      </c>
      <c r="G186">
        <f>613</f>
        <v>613</v>
      </c>
      <c r="H186">
        <f>602</f>
        <v>602</v>
      </c>
      <c r="I186">
        <f>0</f>
        <v>0</v>
      </c>
      <c r="J186">
        <f>0</f>
        <v>0</v>
      </c>
      <c r="K186">
        <f>286</f>
        <v>286</v>
      </c>
      <c r="L186">
        <v>20</v>
      </c>
    </row>
    <row r="187" spans="1:12" x14ac:dyDescent="0.3">
      <c r="A187" t="s">
        <v>0</v>
      </c>
      <c r="B187">
        <v>29</v>
      </c>
      <c r="C187">
        <v>42.22</v>
      </c>
      <c r="D187">
        <f>2.39</f>
        <v>2.39</v>
      </c>
      <c r="E187">
        <f>187.1*1024</f>
        <v>191590.39999999999</v>
      </c>
      <c r="F187">
        <f t="shared" si="2"/>
        <v>8017412.0959999999</v>
      </c>
      <c r="G187">
        <f>288</f>
        <v>288</v>
      </c>
      <c r="H187">
        <f>332</f>
        <v>332</v>
      </c>
      <c r="I187">
        <f>25.5*1000</f>
        <v>25500</v>
      </c>
      <c r="J187">
        <f>16.4</f>
        <v>16.399999999999999</v>
      </c>
      <c r="K187">
        <f>293</f>
        <v>293</v>
      </c>
      <c r="L187">
        <v>17</v>
      </c>
    </row>
    <row r="188" spans="1:12" x14ac:dyDescent="0.3">
      <c r="A188" t="s">
        <v>1</v>
      </c>
      <c r="B188">
        <v>12</v>
      </c>
      <c r="C188">
        <v>2.2400000000000002</v>
      </c>
      <c r="D188">
        <f>0.14</f>
        <v>0.14000000000000001</v>
      </c>
      <c r="E188">
        <f>10.62*1024</f>
        <v>10874.88</v>
      </c>
      <c r="F188">
        <f t="shared" si="2"/>
        <v>8017412.0959999999</v>
      </c>
      <c r="G188">
        <f>818</f>
        <v>818</v>
      </c>
      <c r="H188">
        <f>802</f>
        <v>802</v>
      </c>
      <c r="I188">
        <f>262</f>
        <v>262</v>
      </c>
      <c r="J188">
        <f>28.7</f>
        <v>28.7</v>
      </c>
      <c r="K188">
        <f>293</f>
        <v>293</v>
      </c>
      <c r="L188">
        <v>17</v>
      </c>
    </row>
    <row r="189" spans="1:12" x14ac:dyDescent="0.3">
      <c r="A189" t="s">
        <v>2</v>
      </c>
      <c r="B189">
        <v>18</v>
      </c>
      <c r="C189">
        <v>4.1900000000000004</v>
      </c>
      <c r="D189">
        <f>0.23</f>
        <v>0.23</v>
      </c>
      <c r="E189">
        <f>17.82*1024</f>
        <v>18247.68</v>
      </c>
      <c r="F189">
        <f t="shared" si="2"/>
        <v>8017412.0959999999</v>
      </c>
      <c r="G189">
        <f>671</f>
        <v>671</v>
      </c>
      <c r="H189">
        <f>577</f>
        <v>577</v>
      </c>
      <c r="I189">
        <f>553</f>
        <v>553</v>
      </c>
      <c r="J189">
        <f>8.48*1000</f>
        <v>8480</v>
      </c>
      <c r="K189">
        <f>293</f>
        <v>293</v>
      </c>
      <c r="L189">
        <v>17</v>
      </c>
    </row>
    <row r="190" spans="1:12" x14ac:dyDescent="0.3">
      <c r="A190" t="s">
        <v>3</v>
      </c>
      <c r="B190">
        <v>2</v>
      </c>
      <c r="C190">
        <v>0.01</v>
      </c>
      <c r="D190">
        <f>0.01</f>
        <v>0.01</v>
      </c>
      <c r="E190">
        <f>820</f>
        <v>820</v>
      </c>
      <c r="F190">
        <f t="shared" si="2"/>
        <v>8017412.0959999999</v>
      </c>
      <c r="G190">
        <f>981</f>
        <v>981</v>
      </c>
      <c r="H190">
        <f>971</f>
        <v>971</v>
      </c>
      <c r="I190">
        <f>0</f>
        <v>0</v>
      </c>
      <c r="J190">
        <f>0</f>
        <v>0</v>
      </c>
      <c r="K190">
        <f>293</f>
        <v>293</v>
      </c>
      <c r="L190">
        <v>17</v>
      </c>
    </row>
    <row r="191" spans="1:12" x14ac:dyDescent="0.3">
      <c r="A191" t="s">
        <v>4</v>
      </c>
      <c r="B191">
        <v>2</v>
      </c>
      <c r="C191">
        <v>0</v>
      </c>
      <c r="D191">
        <f>0.01</f>
        <v>0.01</v>
      </c>
      <c r="E191">
        <f>828</f>
        <v>828</v>
      </c>
      <c r="F191">
        <f t="shared" si="2"/>
        <v>8017412.0959999999</v>
      </c>
      <c r="G191">
        <f>615</f>
        <v>615</v>
      </c>
      <c r="H191">
        <f>604</f>
        <v>604</v>
      </c>
      <c r="I191">
        <f>0</f>
        <v>0</v>
      </c>
      <c r="J191">
        <f>0</f>
        <v>0</v>
      </c>
      <c r="K191">
        <f>293</f>
        <v>293</v>
      </c>
      <c r="L191">
        <v>17</v>
      </c>
    </row>
  </sheetData>
  <autoFilter ref="A1:L191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6"/>
  <sheetViews>
    <sheetView tabSelected="1" topLeftCell="B1" workbookViewId="0">
      <selection activeCell="E6" sqref="E6"/>
    </sheetView>
  </sheetViews>
  <sheetFormatPr defaultRowHeight="14.4" x14ac:dyDescent="0.3"/>
  <cols>
    <col min="2" max="2" width="18.33203125" bestFit="1" customWidth="1"/>
  </cols>
  <sheetData>
    <row r="1" spans="2:13" x14ac:dyDescent="0.3">
      <c r="C1" t="s">
        <v>9</v>
      </c>
      <c r="D1" t="s">
        <v>5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2:13" x14ac:dyDescent="0.3">
      <c r="B2" t="s">
        <v>0</v>
      </c>
      <c r="C2">
        <f>AVERAGEIF('running-stats-xls'!$A$2:$A$191,"="&amp;summary!$B2,'running-stats-xls'!B$2:B$191)</f>
        <v>28.842105263157894</v>
      </c>
      <c r="D2">
        <f>AVERAGEIF('running-stats-xls'!$A$2:$A$191,"="&amp;summary!$B2,'running-stats-xls'!C$2:C$191)</f>
        <v>42.664736842105263</v>
      </c>
      <c r="E2">
        <f>AVERAGEIF('running-stats-xls'!$A$2:$A$191,"="&amp;summary!$B2,'running-stats-xls'!D$2:D$191)</f>
        <v>2.2136842105263157</v>
      </c>
      <c r="F2">
        <f>AVERAGEIF('running-stats-xls'!$A$2:$A$191,"="&amp;summary!$B2,'running-stats-xls'!E$2:E$191)</f>
        <v>177526.56842105268</v>
      </c>
      <c r="G2">
        <f>AVERAGEIF('running-stats-xls'!$A$2:$A$191,"="&amp;summary!$B2,'running-stats-xls'!F$2:F$191)</f>
        <v>8017412.0959999952</v>
      </c>
      <c r="H2">
        <f>AVERAGEIF('running-stats-xls'!$A$2:$A$191,"="&amp;summary!$B2,'running-stats-xls'!G$2:G$191)</f>
        <v>105.91710526315789</v>
      </c>
      <c r="I2">
        <f>AVERAGEIF('running-stats-xls'!$A$2:$A$191,"="&amp;summary!$B2,'running-stats-xls'!H$2:H$191)</f>
        <v>120.07826315789474</v>
      </c>
      <c r="J2">
        <f>AVERAGEIF('running-stats-xls'!$A$2:$A$191,"="&amp;summary!$B2,'running-stats-xls'!I$2:I$191)</f>
        <v>17053.757894736842</v>
      </c>
      <c r="K2">
        <f>AVERAGEIF('running-stats-xls'!$A$2:$A$191,"="&amp;summary!$B2,'running-stats-xls'!J$2:J$191)</f>
        <v>16.399999999999988</v>
      </c>
      <c r="L2">
        <f>AVERAGEIF('running-stats-xls'!$A$2:$A$191,"="&amp;summary!$B2,'running-stats-xls'!K$2:K$191)</f>
        <v>149.42105263157896</v>
      </c>
      <c r="M2">
        <f>AVERAGEIF('running-stats-xls'!$A$2:$A$191,"="&amp;summary!$B2,'running-stats-xls'!L$2:L$191)</f>
        <v>10.473684210526315</v>
      </c>
    </row>
    <row r="3" spans="2:13" x14ac:dyDescent="0.3">
      <c r="B3" t="s">
        <v>1</v>
      </c>
      <c r="C3">
        <f>AVERAGEIF('running-stats-xls'!$A$2:$A$191,"="&amp;summary!$B3,'running-stats-xls'!B$2:B$191)</f>
        <v>10.5</v>
      </c>
      <c r="D3">
        <f>AVERAGEIF('running-stats-xls'!$A$2:$A$191,"="&amp;summary!$B3,'running-stats-xls'!C$2:C$191)</f>
        <v>3.1034210526315773</v>
      </c>
      <c r="E3">
        <f>AVERAGEIF('running-stats-xls'!$A$2:$A$191,"="&amp;summary!$B3,'running-stats-xls'!D$2:D$191)</f>
        <v>0.1178947368421053</v>
      </c>
      <c r="F3">
        <f>AVERAGEIF('running-stats-xls'!$A$2:$A$191,"="&amp;summary!$B3,'running-stats-xls'!E$2:E$191)</f>
        <v>9413.0661052631604</v>
      </c>
      <c r="G3">
        <f>AVERAGEIF('running-stats-xls'!$A$2:$A$191,"="&amp;summary!$B3,'running-stats-xls'!F$2:F$191)</f>
        <v>8017412.0959999952</v>
      </c>
      <c r="H3">
        <f>AVERAGEIF('running-stats-xls'!$A$2:$A$191,"="&amp;summary!$B3,'running-stats-xls'!G$2:G$191)</f>
        <v>308.7163157894737</v>
      </c>
      <c r="I3">
        <f>AVERAGEIF('running-stats-xls'!$A$2:$A$191,"="&amp;summary!$B3,'running-stats-xls'!H$2:H$191)</f>
        <v>291.87710526315789</v>
      </c>
      <c r="J3">
        <f>AVERAGEIF('running-stats-xls'!$A$2:$A$191,"="&amp;summary!$B3,'running-stats-xls'!I$2:I$191)</f>
        <v>195.8657894736842</v>
      </c>
      <c r="K3">
        <f>AVERAGEIF('running-stats-xls'!$A$2:$A$191,"="&amp;summary!$B3,'running-stats-xls'!J$2:J$191)</f>
        <v>27.836842105263173</v>
      </c>
      <c r="L3">
        <f>AVERAGEIF('running-stats-xls'!$A$2:$A$191,"="&amp;summary!$B3,'running-stats-xls'!K$2:K$191)</f>
        <v>149.42105263157896</v>
      </c>
      <c r="M3">
        <f>AVERAGEIF('running-stats-xls'!$A$2:$A$191,"="&amp;summary!$B3,'running-stats-xls'!L$2:L$191)</f>
        <v>10.473684210526315</v>
      </c>
    </row>
    <row r="4" spans="2:13" x14ac:dyDescent="0.3">
      <c r="B4" t="s">
        <v>2</v>
      </c>
      <c r="C4">
        <f>AVERAGEIF('running-stats-xls'!$A$2:$A$191,"="&amp;summary!$B4,'running-stats-xls'!B$2:B$191)</f>
        <v>17.55263157894737</v>
      </c>
      <c r="D4">
        <f>AVERAGEIF('running-stats-xls'!$A$2:$A$191,"="&amp;summary!$B4,'running-stats-xls'!C$2:C$191)</f>
        <v>4.0736842105263156</v>
      </c>
      <c r="E4">
        <f>AVERAGEIF('running-stats-xls'!$A$2:$A$191,"="&amp;summary!$B4,'running-stats-xls'!D$2:D$191)</f>
        <v>0.19078947368421056</v>
      </c>
      <c r="F4">
        <f>AVERAGEIF('running-stats-xls'!$A$2:$A$191,"="&amp;summary!$B4,'running-stats-xls'!E$2:E$191)</f>
        <v>15250.863157894735</v>
      </c>
      <c r="G4">
        <f>AVERAGEIF('running-stats-xls'!$A$2:$A$191,"="&amp;summary!$B4,'running-stats-xls'!F$2:F$191)</f>
        <v>8017412.0959999952</v>
      </c>
      <c r="H4">
        <f>AVERAGEIF('running-stats-xls'!$A$2:$A$191,"="&amp;summary!$B4,'running-stats-xls'!G$2:G$191)</f>
        <v>253.57105263157897</v>
      </c>
      <c r="I4">
        <f>AVERAGEIF('running-stats-xls'!$A$2:$A$191,"="&amp;summary!$B4,'running-stats-xls'!H$2:H$191)</f>
        <v>210.37526315789475</v>
      </c>
      <c r="J4">
        <f>AVERAGEIF('running-stats-xls'!$A$2:$A$191,"="&amp;summary!$B4,'running-stats-xls'!I$2:I$191)</f>
        <v>460.5263157894737</v>
      </c>
      <c r="K4">
        <f>AVERAGEIF('running-stats-xls'!$A$2:$A$191,"="&amp;summary!$B4,'running-stats-xls'!J$2:J$191)</f>
        <v>2323.9078947368421</v>
      </c>
      <c r="L4">
        <f>AVERAGEIF('running-stats-xls'!$A$2:$A$191,"="&amp;summary!$B4,'running-stats-xls'!K$2:K$191)</f>
        <v>149.42105263157896</v>
      </c>
      <c r="M4">
        <f>AVERAGEIF('running-stats-xls'!$A$2:$A$191,"="&amp;summary!$B4,'running-stats-xls'!L$2:L$191)</f>
        <v>10.473684210526315</v>
      </c>
    </row>
    <row r="5" spans="2:13" x14ac:dyDescent="0.3">
      <c r="B5" t="s">
        <v>3</v>
      </c>
      <c r="C5">
        <f>AVERAGEIF('running-stats-xls'!$A$2:$A$191,"="&amp;summary!$B5,'running-stats-xls'!B$2:B$191)</f>
        <v>2</v>
      </c>
      <c r="D5">
        <f>AVERAGEIF('running-stats-xls'!$A$2:$A$191,"="&amp;summary!$B5,'running-stats-xls'!C$2:C$191)</f>
        <v>2.631578947368421E-4</v>
      </c>
      <c r="E5">
        <f>AVERAGEIF('running-stats-xls'!$A$2:$A$191,"="&amp;summary!$B5,'running-stats-xls'!D$2:D$191)</f>
        <v>1.0000000000000004E-2</v>
      </c>
      <c r="F5">
        <f>AVERAGEIF('running-stats-xls'!$A$2:$A$191,"="&amp;summary!$B5,'running-stats-xls'!E$2:E$191)</f>
        <v>818.52631578947364</v>
      </c>
      <c r="G5">
        <f>AVERAGEIF('running-stats-xls'!$A$2:$A$191,"="&amp;summary!$B5,'running-stats-xls'!F$2:F$191)</f>
        <v>8017412.0959999952</v>
      </c>
      <c r="H5">
        <f>AVERAGEIF('running-stats-xls'!$A$2:$A$191,"="&amp;summary!$B5,'running-stats-xls'!G$2:G$191)</f>
        <v>356.93052631578951</v>
      </c>
      <c r="I5">
        <f>AVERAGEIF('running-stats-xls'!$A$2:$A$191,"="&amp;summary!$B5,'running-stats-xls'!H$2:H$191)</f>
        <v>347.88552631578949</v>
      </c>
      <c r="J5">
        <f>AVERAGEIF('running-stats-xls'!$A$2:$A$191,"="&amp;summary!$B5,'running-stats-xls'!I$2:I$191)</f>
        <v>0</v>
      </c>
      <c r="K5">
        <f>AVERAGEIF('running-stats-xls'!$A$2:$A$191,"="&amp;summary!$B5,'running-stats-xls'!J$2:J$191)</f>
        <v>0</v>
      </c>
      <c r="L5">
        <f>AVERAGEIF('running-stats-xls'!$A$2:$A$191,"="&amp;summary!$B5,'running-stats-xls'!K$2:K$191)</f>
        <v>149.42105263157896</v>
      </c>
      <c r="M5">
        <f>AVERAGEIF('running-stats-xls'!$A$2:$A$191,"="&amp;summary!$B5,'running-stats-xls'!L$2:L$191)</f>
        <v>10.473684210526315</v>
      </c>
    </row>
    <row r="6" spans="2:13" x14ac:dyDescent="0.3">
      <c r="B6" t="s">
        <v>4</v>
      </c>
      <c r="C6">
        <f>AVERAGEIF('running-stats-xls'!$A$2:$A$191,"="&amp;summary!$B6,'running-stats-xls'!B$2:B$191)</f>
        <v>2</v>
      </c>
      <c r="D6">
        <f>AVERAGEIF('running-stats-xls'!$A$2:$A$191,"="&amp;summary!$B6,'running-stats-xls'!C$2:C$191)</f>
        <v>5.263157894736842E-4</v>
      </c>
      <c r="E6">
        <f>AVERAGEIF('running-stats-xls'!$A$2:$A$191,"="&amp;summary!$B6,'running-stats-xls'!D$2:D$191)</f>
        <v>1.0000000000000004E-2</v>
      </c>
      <c r="F6">
        <f>AVERAGEIF('running-stats-xls'!$A$2:$A$191,"="&amp;summary!$B6,'running-stats-xls'!E$2:E$191)</f>
        <v>825.89473684210532</v>
      </c>
      <c r="G6">
        <f>AVERAGEIF('running-stats-xls'!$A$2:$A$191,"="&amp;summary!$B6,'running-stats-xls'!F$2:F$191)</f>
        <v>8017412.0959999952</v>
      </c>
      <c r="H6">
        <f>AVERAGEIF('running-stats-xls'!$A$2:$A$191,"="&amp;summary!$B6,'running-stats-xls'!G$2:G$191)</f>
        <v>225.19052631578947</v>
      </c>
      <c r="I6">
        <f>AVERAGEIF('running-stats-xls'!$A$2:$A$191,"="&amp;summary!$B6,'running-stats-xls'!H$2:H$191)</f>
        <v>214.99105263157895</v>
      </c>
      <c r="J6">
        <f>AVERAGEIF('running-stats-xls'!$A$2:$A$191,"="&amp;summary!$B6,'running-stats-xls'!I$2:I$191)</f>
        <v>0</v>
      </c>
      <c r="K6">
        <f>AVERAGEIF('running-stats-xls'!$A$2:$A$191,"="&amp;summary!$B6,'running-stats-xls'!J$2:J$191)</f>
        <v>0</v>
      </c>
      <c r="L6">
        <f>AVERAGEIF('running-stats-xls'!$A$2:$A$191,"="&amp;summary!$B6,'running-stats-xls'!K$2:K$191)</f>
        <v>149.42105263157896</v>
      </c>
      <c r="M6">
        <f>AVERAGEIF('running-stats-xls'!$A$2:$A$191,"="&amp;summary!$B6,'running-stats-xls'!L$2:L$191)</f>
        <v>10.473684210526315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running-stats-xls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Lopes</cp:lastModifiedBy>
  <dcterms:created xsi:type="dcterms:W3CDTF">2022-06-21T20:50:43Z</dcterms:created>
  <dcterms:modified xsi:type="dcterms:W3CDTF">2022-06-21T23:36:45Z</dcterms:modified>
</cp:coreProperties>
</file>