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0dabb65b2b3457/Documentos/GitHub/Analise_Enem/"/>
    </mc:Choice>
  </mc:AlternateContent>
  <xr:revisionPtr revIDLastSave="153" documentId="8_{13E7F7E4-CAAE-4E28-8545-1717342D4731}" xr6:coauthVersionLast="47" xr6:coauthVersionMax="47" xr10:uidLastSave="{E1BC83C2-63FC-4DBD-8780-25CE7C4A44E3}"/>
  <bookViews>
    <workbookView xWindow="-120" yWindow="-120" windowWidth="20730" windowHeight="11160" tabRatio="816" xr2:uid="{43C66751-8BE9-435C-8DF0-6BA65D0AAEBD}"/>
  </bookViews>
  <sheets>
    <sheet name="Ano 2017" sheetId="10" r:id="rId1"/>
    <sheet name="Total" sheetId="1" r:id="rId2"/>
    <sheet name="por Idade" sheetId="2" r:id="rId3"/>
    <sheet name="Sexo" sheetId="3" r:id="rId4"/>
    <sheet name="Raça" sheetId="4" r:id="rId5"/>
    <sheet name="Nacionalidade" sheetId="5" r:id="rId6"/>
    <sheet name="Tipo da Escola" sheetId="6" r:id="rId7"/>
    <sheet name="Tipo da Escola por Raça" sheetId="7" r:id="rId8"/>
    <sheet name="Estado" sheetId="8" r:id="rId9"/>
    <sheet name="Outro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8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U2" i="7"/>
  <c r="U3" i="7"/>
  <c r="U4" i="7"/>
  <c r="U5" i="7"/>
  <c r="U6" i="7"/>
  <c r="S2" i="7"/>
  <c r="S3" i="7"/>
  <c r="S4" i="7"/>
  <c r="S5" i="7"/>
  <c r="S6" i="7"/>
  <c r="Q2" i="7"/>
  <c r="Q3" i="7"/>
  <c r="Q4" i="7"/>
  <c r="Q5" i="7"/>
  <c r="Q6" i="7"/>
  <c r="O2" i="7"/>
  <c r="O3" i="7"/>
  <c r="O4" i="7"/>
  <c r="O5" i="7"/>
  <c r="O6" i="7"/>
  <c r="M2" i="7"/>
  <c r="M3" i="7"/>
  <c r="M4" i="7"/>
  <c r="M5" i="7"/>
  <c r="M6" i="7"/>
  <c r="K2" i="7"/>
  <c r="K3" i="7"/>
  <c r="K4" i="7"/>
  <c r="K5" i="7"/>
  <c r="K6" i="7"/>
  <c r="I2" i="7"/>
  <c r="I3" i="7"/>
  <c r="I4" i="7"/>
  <c r="I5" i="7"/>
  <c r="I6" i="7"/>
  <c r="G2" i="7"/>
  <c r="G3" i="7"/>
  <c r="G4" i="7"/>
  <c r="G5" i="7"/>
  <c r="G6" i="7"/>
  <c r="E2" i="7"/>
  <c r="E3" i="7"/>
  <c r="E4" i="7"/>
  <c r="E5" i="7"/>
  <c r="E6" i="7"/>
  <c r="C2" i="7"/>
  <c r="C3" i="7"/>
  <c r="C4" i="7"/>
  <c r="C5" i="7"/>
  <c r="C6" i="7"/>
  <c r="K2" i="9"/>
  <c r="K3" i="9"/>
  <c r="K4" i="9"/>
  <c r="K5" i="9"/>
  <c r="K6" i="9"/>
  <c r="I2" i="9"/>
  <c r="I3" i="9"/>
  <c r="I4" i="9"/>
  <c r="I5" i="9"/>
  <c r="I6" i="9"/>
  <c r="G2" i="9"/>
  <c r="G3" i="9"/>
  <c r="G4" i="9"/>
  <c r="G5" i="9"/>
  <c r="G6" i="9"/>
  <c r="E2" i="9"/>
  <c r="E3" i="9"/>
  <c r="E4" i="9"/>
  <c r="E5" i="9"/>
  <c r="E6" i="9"/>
  <c r="C2" i="9"/>
  <c r="C3" i="9"/>
  <c r="C4" i="9"/>
  <c r="C5" i="9"/>
  <c r="C6" i="9"/>
  <c r="I2" i="5"/>
  <c r="I3" i="5"/>
  <c r="I4" i="5"/>
  <c r="I5" i="5"/>
  <c r="I6" i="5"/>
  <c r="G2" i="5"/>
  <c r="G3" i="5"/>
  <c r="G4" i="5"/>
  <c r="G5" i="5"/>
  <c r="G6" i="5"/>
  <c r="E2" i="5"/>
  <c r="E3" i="5"/>
  <c r="E4" i="5"/>
  <c r="E5" i="5"/>
  <c r="E6" i="5"/>
  <c r="C2" i="5"/>
  <c r="C3" i="5"/>
  <c r="C4" i="5"/>
  <c r="C5" i="5"/>
  <c r="C6" i="5"/>
  <c r="C2" i="6"/>
  <c r="C3" i="6"/>
  <c r="C4" i="6"/>
  <c r="C5" i="6"/>
  <c r="C6" i="6"/>
  <c r="G2" i="6"/>
  <c r="G3" i="6"/>
  <c r="G4" i="6"/>
  <c r="G5" i="6"/>
  <c r="G6" i="6"/>
  <c r="E2" i="6"/>
  <c r="E3" i="6"/>
  <c r="E4" i="6"/>
  <c r="E5" i="6"/>
  <c r="E6" i="6"/>
  <c r="K2" i="4"/>
  <c r="K3" i="4"/>
  <c r="K4" i="4"/>
  <c r="K5" i="4"/>
  <c r="K6" i="4"/>
  <c r="I2" i="4"/>
  <c r="I3" i="4"/>
  <c r="I4" i="4"/>
  <c r="I5" i="4"/>
  <c r="I6" i="4"/>
  <c r="G2" i="4"/>
  <c r="G3" i="4"/>
  <c r="G4" i="4"/>
  <c r="G5" i="4"/>
  <c r="G6" i="4"/>
  <c r="E2" i="4"/>
  <c r="E3" i="4"/>
  <c r="E4" i="4"/>
  <c r="E5" i="4"/>
  <c r="E6" i="4"/>
  <c r="C2" i="4"/>
  <c r="C3" i="4"/>
  <c r="C4" i="4"/>
  <c r="C5" i="4"/>
  <c r="C6" i="4"/>
  <c r="E5" i="3"/>
  <c r="E6" i="3"/>
  <c r="E2" i="3"/>
  <c r="E3" i="3"/>
  <c r="E4" i="3"/>
  <c r="C2" i="3"/>
  <c r="C3" i="3"/>
  <c r="C4" i="3"/>
  <c r="C5" i="3"/>
  <c r="C6" i="3"/>
</calcChain>
</file>

<file path=xl/sharedStrings.xml><?xml version="1.0" encoding="utf-8"?>
<sst xmlns="http://schemas.openxmlformats.org/spreadsheetml/2006/main" count="226" uniqueCount="205">
  <si>
    <t>Ano</t>
  </si>
  <si>
    <t>Total de Candidatos</t>
  </si>
  <si>
    <t>Entre 26 e 30</t>
  </si>
  <si>
    <t>Entre 31 e 35</t>
  </si>
  <si>
    <t>Entre 36 e 40</t>
  </si>
  <si>
    <t>Entre 41 e 45</t>
  </si>
  <si>
    <t>Entre 46 e 50</t>
  </si>
  <si>
    <t>Entre 51 e 55</t>
  </si>
  <si>
    <t>Entre 56 e 60</t>
  </si>
  <si>
    <t>Entre 61 e 65</t>
  </si>
  <si>
    <t>Entre 66 e 70</t>
  </si>
  <si>
    <t>&lt; 17</t>
  </si>
  <si>
    <t>&gt; 70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</si>
  <si>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</si>
  <si>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</si>
  <si>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</si>
  <si>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</si>
  <si>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</si>
  <si>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</si>
  <si>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</si>
  <si>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</si>
  <si>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</si>
  <si>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Masculino</t>
  </si>
  <si>
    <t>Feminino</t>
  </si>
  <si>
    <t>Branco</t>
  </si>
  <si>
    <t>Pardo</t>
  </si>
  <si>
    <t>Negro</t>
  </si>
  <si>
    <t>Amarelo</t>
  </si>
  <si>
    <t>Indígena</t>
  </si>
  <si>
    <t>Brasileiro</t>
  </si>
  <si>
    <t>Brasileiro Naturalizado</t>
  </si>
  <si>
    <t>Estrangeiro</t>
  </si>
  <si>
    <t>Brasileiro nascido no Exterior</t>
  </si>
  <si>
    <t>Não Informou</t>
  </si>
  <si>
    <t>Pública</t>
  </si>
  <si>
    <t>Particular</t>
  </si>
  <si>
    <t>Branco Pública</t>
  </si>
  <si>
    <t>Branco Particular</t>
  </si>
  <si>
    <t>Negro Pública</t>
  </si>
  <si>
    <t>Negro Particular</t>
  </si>
  <si>
    <t>Pardo Pública</t>
  </si>
  <si>
    <t>Pardo Particular</t>
  </si>
  <si>
    <t>Amarelo Pública</t>
  </si>
  <si>
    <t>Amarelo Particular</t>
  </si>
  <si>
    <t>Indígena Pública</t>
  </si>
  <si>
    <t>Indígena Particular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</si>
  <si>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</si>
  <si>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</si>
  <si>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</si>
  <si>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</si>
  <si>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</si>
  <si>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</si>
  <si>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</si>
  <si>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</si>
  <si>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</si>
  <si>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Estado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</si>
  <si>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</si>
  <si>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</si>
  <si>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</si>
  <si>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</si>
  <si>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</si>
  <si>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</si>
  <si>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</si>
  <si>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</si>
  <si>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</si>
  <si>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</si>
  <si>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</si>
  <si>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</si>
  <si>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</si>
  <si>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</si>
  <si>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</si>
  <si>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</si>
  <si>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</si>
  <si>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</si>
  <si>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2017</t>
  </si>
  <si>
    <t>2018</t>
  </si>
  <si>
    <t>2019</t>
  </si>
  <si>
    <t>2020</t>
  </si>
  <si>
    <t>2021</t>
  </si>
  <si>
    <t>Sem computador</t>
  </si>
  <si>
    <t>Sem acesso a internet</t>
  </si>
  <si>
    <t>Sem banheiro</t>
  </si>
  <si>
    <t>Sem geladeira</t>
  </si>
  <si>
    <t>Sem quarto</t>
  </si>
  <si>
    <t>Não informou %</t>
  </si>
  <si>
    <t>Pública %</t>
  </si>
  <si>
    <t>Particular %</t>
  </si>
  <si>
    <t>Branco %</t>
  </si>
  <si>
    <t>Negro %</t>
  </si>
  <si>
    <t>Pardo %</t>
  </si>
  <si>
    <t>Amarelo %</t>
  </si>
  <si>
    <t>Indígena %</t>
  </si>
  <si>
    <t>Masculino %</t>
  </si>
  <si>
    <t>Feminino %</t>
  </si>
  <si>
    <t>Brasileiro %</t>
  </si>
  <si>
    <t>Brasileiro Naturalizado %</t>
  </si>
  <si>
    <t>Estrangeiro %</t>
  </si>
  <si>
    <t>Brasileiro nascido no Exterior %</t>
  </si>
  <si>
    <t>Sem computador %</t>
  </si>
  <si>
    <t>Sem acesso a internet %</t>
  </si>
  <si>
    <t>Sem banheiro %</t>
  </si>
  <si>
    <t>Sem geladeira %</t>
  </si>
  <si>
    <t>Sem quarto %</t>
  </si>
  <si>
    <t>Branco Pública %</t>
  </si>
  <si>
    <t>Branco Particular %</t>
  </si>
  <si>
    <t>Negro Pública %</t>
  </si>
  <si>
    <t>Negro Particular %</t>
  </si>
  <si>
    <t>Pardo Pública %</t>
  </si>
  <si>
    <t>Pardo Particular %</t>
  </si>
  <si>
    <t>Amarelo Pública %</t>
  </si>
  <si>
    <t>Amarelo Particular %</t>
  </si>
  <si>
    <t>Indígena Pública %</t>
  </si>
  <si>
    <t>Indígena Particular %</t>
  </si>
  <si>
    <t>2017%</t>
  </si>
  <si>
    <t>2018%</t>
  </si>
  <si>
    <t>2019%</t>
  </si>
  <si>
    <t>2020%</t>
  </si>
  <si>
    <t>2021%</t>
  </si>
  <si>
    <t>Relatório do Enem no ano de 2017</t>
  </si>
  <si>
    <t xml:space="preserve">Candidatos menor que 17 anos: </t>
  </si>
  <si>
    <t>Candidatos com 17 anos:</t>
  </si>
  <si>
    <t>Candidatos com 18 anos:</t>
  </si>
  <si>
    <t>Candidatos com 19 anos:</t>
  </si>
  <si>
    <t>Candidatos com 20 anos:</t>
  </si>
  <si>
    <t>Candidatos com 21 anos:</t>
  </si>
  <si>
    <t>Candidatos com 22 anos:</t>
  </si>
  <si>
    <t>Candidatos com 23 anos:</t>
  </si>
  <si>
    <t>Candidatos com 24 anos:</t>
  </si>
  <si>
    <t>Candidatos com 25 anos:</t>
  </si>
  <si>
    <t>Candidatos com idade entre 26 e 30 anos:</t>
  </si>
  <si>
    <t>Candidatos com idade entre 31 e 35 anos:</t>
  </si>
  <si>
    <t>Candidatos com idade entre 36 e 40 anos:</t>
  </si>
  <si>
    <t>Candidatos com idade entre 41 e 45 anos:</t>
  </si>
  <si>
    <t>Candidatos com idade entre 46 e 50 anos:</t>
  </si>
  <si>
    <t>Candidatos com idade entre 51 e 55 anos:</t>
  </si>
  <si>
    <t>Candidatos com idade entre 56 e 60 anos:</t>
  </si>
  <si>
    <t>Candidatos com idade entre 61 e 65 anos:</t>
  </si>
  <si>
    <t>Candidatos com idade entre 66 e 70 anos:</t>
  </si>
  <si>
    <t>Candidatos maiores que 70 anos:</t>
  </si>
  <si>
    <t>Sexo Masculino:</t>
  </si>
  <si>
    <t>Sexo Feminino:</t>
  </si>
  <si>
    <t>Representatividade:</t>
  </si>
  <si>
    <t>Candidatos Brancos:</t>
  </si>
  <si>
    <t>Candidatos Negros:</t>
  </si>
  <si>
    <t>Candidatos Pardos:</t>
  </si>
  <si>
    <t>Candidatos Amarelos:</t>
  </si>
  <si>
    <t>Candidatos Indígenas:</t>
  </si>
  <si>
    <t>Candidatos Brasileiros:</t>
  </si>
  <si>
    <t>Candidatos Brasileiros Naturalizados:</t>
  </si>
  <si>
    <t>Candidatos Brasileiros Nascidos no Exterior:</t>
  </si>
  <si>
    <t>Candidatos Estrangeiros:</t>
  </si>
  <si>
    <t>Não Informaram o tipo da escola:</t>
  </si>
  <si>
    <t>Candidatos que estudam em escola pública:</t>
  </si>
  <si>
    <t>Candidatos que estudam em escola particular:</t>
  </si>
  <si>
    <t>Candidatos Brancos que estudam em escola pública:</t>
  </si>
  <si>
    <t>Candidatos Negros que estudam em escola pública:</t>
  </si>
  <si>
    <t>Candidatos Pardos que estudam em escola pública:</t>
  </si>
  <si>
    <t>Candidatos Amarelos que estudam em escola pública:</t>
  </si>
  <si>
    <t>Candidatos Indígenas que estudam em escola pública:</t>
  </si>
  <si>
    <t>Candidatos Brancos que estudam em escola particular:</t>
  </si>
  <si>
    <t>Candidatos Negros que estudam em escola particular:</t>
  </si>
  <si>
    <t>Candidatos Pardos que estudam em escola particular:</t>
  </si>
  <si>
    <t>Candidatos Amarelos que estudam em escola particular:</t>
  </si>
  <si>
    <t>Candidatos Indígenas que estudam em escola particular:</t>
  </si>
  <si>
    <t>Total de Candidatos por Estado</t>
  </si>
  <si>
    <t>Total de Candidatos por Raça em Escola Particular</t>
  </si>
  <si>
    <t>Total de Candidatos por Raça em Escola Pública</t>
  </si>
  <si>
    <t>Total de Candidatos por Tipo da Escola</t>
  </si>
  <si>
    <t>Total de Candidatos por Nacionalidade</t>
  </si>
  <si>
    <t>Total de Candidatos por Raça</t>
  </si>
  <si>
    <t>Total de Candidatos por Sexo</t>
  </si>
  <si>
    <t>Total de Candidatos por Idade</t>
  </si>
  <si>
    <t>Total de Candidatos no Distrito Federal:</t>
  </si>
  <si>
    <t>Total de Candidatos no Acre:</t>
  </si>
  <si>
    <t>Total de Candidatos em Alagoas:</t>
  </si>
  <si>
    <t>Total de Candidatos no Amapá:</t>
  </si>
  <si>
    <t>Total de Candidatos no Amazonas:</t>
  </si>
  <si>
    <t>Total de Candidatos na Bahia:</t>
  </si>
  <si>
    <t>Total de Candidatos no Ceará:</t>
  </si>
  <si>
    <t>Total de Candidatos no Pará:</t>
  </si>
  <si>
    <t>Total de Candidatos no Espírito Santo:</t>
  </si>
  <si>
    <t>Total de Candidatos em Goiás:</t>
  </si>
  <si>
    <t>Total de Candidatos no Maranhão:</t>
  </si>
  <si>
    <t>Total de Candidatos no Mato Grosso:</t>
  </si>
  <si>
    <t>Total de Candidatos no Mato Grosso do Sul:</t>
  </si>
  <si>
    <t>Total de Candidatos em Minas Gerais:</t>
  </si>
  <si>
    <t>Total de Candidatos na Paraíba:</t>
  </si>
  <si>
    <t>Total de Candidatos no Paraná:</t>
  </si>
  <si>
    <t>Total de Candidatos em Pernambuco:</t>
  </si>
  <si>
    <t>Total de Candidatos no Piauí:</t>
  </si>
  <si>
    <t>Total de Candidatos no Rio de Janeiro:</t>
  </si>
  <si>
    <t>Total de Candidatos no Rio Grande do Norte:</t>
  </si>
  <si>
    <t>Total de Candidatos no Rio Grande do Sul:</t>
  </si>
  <si>
    <t>Total de Candidatos em Roraima:</t>
  </si>
  <si>
    <t>Total de Candidatos em Rondônia:</t>
  </si>
  <si>
    <t>Total de Candidatos em Santa Catarina:</t>
  </si>
  <si>
    <t>Total de Candidatos em São Paulo:</t>
  </si>
  <si>
    <t>Total de Candidatos em Sergipe:</t>
  </si>
  <si>
    <t>Total de Candidatos no Tocantins:</t>
  </si>
  <si>
    <t>Outras Análises</t>
  </si>
  <si>
    <t>Total de Candidatos sem acesso a Internet:</t>
  </si>
  <si>
    <t>Total de Candidatos sem computador em casa:</t>
  </si>
  <si>
    <t>Total de Candidatos sem banheiro em casa:</t>
  </si>
  <si>
    <t>Total de  Candidatos em geladeira em casa:</t>
  </si>
  <si>
    <t>Total de Candidatos sem quarto em casa: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</si>
</sst>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164" fontId="0" fillId="0" borderId="0" xfId="2" applyNumberFormat="1" applyFont="1" applyAlignment="1">
      <alignment horizontal="left"/>
    </xf>
    <xf numFmtId="10" fontId="0" fillId="0" borderId="0" xfId="1" applyNumberFormat="1" applyFont="1"/>
    <xf numFmtId="164" fontId="0" fillId="0" borderId="0" xfId="2" applyNumberFormat="1" applyFont="1"/>
    <xf numFmtId="0" fontId="5" fillId="0" borderId="0" xfId="0" applyFont="1" applyAlignment="1">
      <alignment vertical="top"/>
    </xf>
  </cellXfs>
  <cellStyles count="3">
    <cellStyle name="Normal" xfId="0" builtinId="0"/>
    <cellStyle name="Porcentagem" xfId="1" builtinId="5"/>
    <cellStyle name="Vírgula" xfId="2" builtinId="3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sz val="10"/>
        <name val="Arial Unicode MS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F-4294-9318-E7069557192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2017'!$B$57,'Ano 2017'!$B$59)</c:f>
              <c:numCache>
                <c:formatCode>_-* #,##0_-;\-* #,##0_-;_-* "-"??_-;_-@_-</c:formatCode>
                <c:ptCount val="2"/>
                <c:pt idx="0">
                  <c:v>2784564</c:v>
                </c:pt>
                <c:pt idx="1">
                  <c:v>3946714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2-46D2-B877-A38FDF531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B3-4F9D-BDF4-B7B4138502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B3-4F9D-BDF4-B7B4138502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B3-4F9D-BDF4-B7B4138502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B3-4F9D-BDF4-B7B4138502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B3-4F9D-BDF4-B7B4138502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2017'!$D$116,'Ano 2017'!$D$118,'Ano 2017'!$D$120,'Ano 2017'!$D$122,'Ano 2017'!$D$124)</c:f>
              <c:numCache>
                <c:formatCode>0.00%</c:formatCode>
                <c:ptCount val="5"/>
                <c:pt idx="0">
                  <c:v>7.4301492227776059E-2</c:v>
                </c:pt>
                <c:pt idx="1">
                  <c:v>2.7764267053002417E-2</c:v>
                </c:pt>
                <c:pt idx="2">
                  <c:v>0.10808942967442438</c:v>
                </c:pt>
                <c:pt idx="3">
                  <c:v>4.8289492723372889E-3</c:v>
                </c:pt>
                <c:pt idx="4">
                  <c:v>1.7700947724934254E-3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B-44BC-B522-AA6B936CBF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30-4FDF-9086-2D613079FB2F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30-4FDF-9086-2D613079FB2F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30-4FDF-9086-2D613079FB2F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30-4FDF-9086-2D613079FB2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2017'!$B$131,'Ano 2017'!$B$133,'Ano 2017'!$B$135,'Ano 2017'!$B$137,'Ano 2017'!$B$139)</c:f>
              <c:numCache>
                <c:formatCode>_-* #,##0_-;\-* #,##0_-;_-* "-"??_-;_-@_-</c:formatCode>
                <c:ptCount val="5"/>
                <c:pt idx="0">
                  <c:v>178048</c:v>
                </c:pt>
                <c:pt idx="1">
                  <c:v>17972</c:v>
                </c:pt>
                <c:pt idx="2">
                  <c:v>82230</c:v>
                </c:pt>
                <c:pt idx="3">
                  <c:v>7315</c:v>
                </c:pt>
                <c:pt idx="4" formatCode="General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0-4FDF-9086-2D613079F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B2-4239-941F-E39CA0AAF6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B2-4239-941F-E39CA0AAF6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B2-4239-941F-E39CA0AAF6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B2-4239-941F-E39CA0AAF64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B2-4239-941F-E39CA0AAF6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2017'!$D$131,'Ano 2017'!$D$133,'Ano 2017'!$D$135,'Ano 2017'!$D$137,'Ano 2017'!$D$139)</c:f>
              <c:numCache>
                <c:formatCode>0.00%</c:formatCode>
                <c:ptCount val="5"/>
                <c:pt idx="0">
                  <c:v>2.6450846332598355E-2</c:v>
                </c:pt>
                <c:pt idx="1">
                  <c:v>2.6699238985523998E-3</c:v>
                </c:pt>
                <c:pt idx="2">
                  <c:v>1.2216105173490087E-2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3-43C4-973F-7399E5D3D7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2-4711-B9AC-58F3764CA371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2-4711-B9AC-58F3764CA371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2-4711-B9AC-58F3764CA371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2-4711-B9AC-58F3764CA371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2-4711-B9AC-58F3764CA371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2-4711-B9AC-58F3764CA371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2-4711-B9AC-58F3764CA371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2-4711-B9AC-58F3764CA371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2-4711-B9AC-58F3764CA371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2-4711-B9AC-58F3764CA371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2-4711-B9AC-58F3764CA37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2017'!$B$148,'Ano 2017'!$B$150,'Ano 2017'!$B$152,'Ano 2017'!$B$154,'Ano 2017'!$B$156,'Ano 2017'!$B$158,'Ano 2017'!$B$160,'Ano 2017'!$B$162,'Ano 2017'!$B$164,'Ano 2017'!$B$166,'Ano 2017'!$B$168,'Ano 2017'!$B$170,'Ano 2017'!$B$172,'Ano 2017'!$B$174,'Ano 2017'!$B$176,'Ano 2017'!$B$178,'Ano 2017'!$B$180,'Ano 2017'!$B$182,'Ano 2017'!$B$184,'Ano 2017'!$B$186,'Ano 2017'!$B$188,'Ano 2017'!$B$190,'Ano 2017'!$B$192,'Ano 2017'!$B$194,'Ano 2017'!$B$196,'Ano 2017'!$B$198,'Ano 2017'!$B$200)</c:f>
              <c:numCache>
                <c:formatCode>_-* #,##0_-;\-* #,##0_-;_-* "-"??_-;_-@_-</c:formatCode>
                <c:ptCount val="27"/>
                <c:pt idx="0">
                  <c:v>54382</c:v>
                </c:pt>
                <c:pt idx="1">
                  <c:v>118725</c:v>
                </c:pt>
                <c:pt idx="2">
                  <c:v>51405</c:v>
                </c:pt>
                <c:pt idx="3">
                  <c:v>165078</c:v>
                </c:pt>
                <c:pt idx="4">
                  <c:v>490196</c:v>
                </c:pt>
                <c:pt idx="5">
                  <c:v>365255</c:v>
                </c:pt>
                <c:pt idx="6">
                  <c:v>125257</c:v>
                </c:pt>
                <c:pt idx="7">
                  <c:v>137399</c:v>
                </c:pt>
                <c:pt idx="8">
                  <c:v>219338</c:v>
                </c:pt>
                <c:pt idx="9">
                  <c:v>286078</c:v>
                </c:pt>
                <c:pt idx="10">
                  <c:v>126215</c:v>
                </c:pt>
                <c:pt idx="11">
                  <c:v>92299</c:v>
                </c:pt>
                <c:pt idx="12">
                  <c:v>725688</c:v>
                </c:pt>
                <c:pt idx="13">
                  <c:v>354590</c:v>
                </c:pt>
                <c:pt idx="14">
                  <c:v>189149</c:v>
                </c:pt>
                <c:pt idx="15">
                  <c:v>287837</c:v>
                </c:pt>
                <c:pt idx="16">
                  <c:v>371621</c:v>
                </c:pt>
                <c:pt idx="17">
                  <c:v>149153</c:v>
                </c:pt>
                <c:pt idx="18">
                  <c:v>440844</c:v>
                </c:pt>
                <c:pt idx="19">
                  <c:v>159484</c:v>
                </c:pt>
                <c:pt idx="20">
                  <c:v>294591</c:v>
                </c:pt>
                <c:pt idx="21">
                  <c:v>80152</c:v>
                </c:pt>
                <c:pt idx="22">
                  <c:v>20247</c:v>
                </c:pt>
                <c:pt idx="23">
                  <c:v>128522</c:v>
                </c:pt>
                <c:pt idx="24">
                  <c:v>1136873</c:v>
                </c:pt>
                <c:pt idx="25">
                  <c:v>93285</c:v>
                </c:pt>
                <c:pt idx="26">
                  <c:v>67615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2-4711-B9AC-58F3764CA3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73-474D-8326-68194909EF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73-474D-8326-68194909EF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73-474D-8326-68194909E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73-474D-8326-68194909EF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73-474D-8326-68194909EF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2017'!$D$207,'Ano 2017'!$D$209,'Ano 2017'!$D$211,'Ano 2017'!$D$213,'Ano 2017'!$D$215)</c:f>
              <c:numCache>
                <c:formatCode>0.00%</c:formatCode>
                <c:ptCount val="5"/>
                <c:pt idx="0">
                  <c:v>0.40990655860595865</c:v>
                </c:pt>
                <c:pt idx="1">
                  <c:v>0.31991488094831322</c:v>
                </c:pt>
                <c:pt idx="2">
                  <c:v>1.094131010485676E-2</c:v>
                </c:pt>
                <c:pt idx="3">
                  <c:v>1.8029265764985491E-2</c:v>
                </c:pt>
                <c:pt idx="4">
                  <c:v>9.5060700211757714E-3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3-487B-9415-B3F106D5BB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D4-442C-A884-0DF04164F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D4-442C-A884-0DF04164F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2017'!$D$57,'Ano 2017'!$D$59)</c:f>
              <c:numCache>
                <c:formatCode>0.00%</c:formatCode>
                <c:ptCount val="2"/>
                <c:pt idx="0">
                  <c:v>0.41367538229738843</c:v>
                </c:pt>
                <c:pt idx="1">
                  <c:v>0.58632461770261157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CAC-93AD-9875158C8C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5-49A1-85CA-8B5ACCE2DF81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5-49A1-85CA-8B5ACCE2DF81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5-49A1-85CA-8B5ACCE2DF81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35-49A1-85CA-8B5ACCE2D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2017'!$B$71,'Ano 2017'!$B$73,'Ano 2017'!$B$75,'Ano 2017'!$B$77,'Ano 2017'!$B$79)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894907</c:v>
                </c:pt>
                <c:pt idx="2">
                  <c:v>3154495</c:v>
                </c:pt>
                <c:pt idx="3">
                  <c:v>155344</c:v>
                </c:pt>
                <c:pt idx="4">
                  <c:v>43797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9A1-85CA-8B5ACCE2D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81-4E7A-B5FB-1269AC0AD8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81-4E7A-B5FB-1269AC0AD8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81-4E7A-B5FB-1269AC0AD8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81-4E7A-B5FB-1269AC0AD8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81-4E7A-B5FB-1269AC0AD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2017'!$D$71,'Ano 2017'!$D$73,'Ano 2017'!$D$75,'Ano 2017'!$D$77,'Ano 2017'!$D$79)</c:f>
              <c:numCache>
                <c:formatCode>0.00%</c:formatCode>
                <c:ptCount val="5"/>
                <c:pt idx="0">
                  <c:v>0.34989328920897339</c:v>
                </c:pt>
                <c:pt idx="1">
                  <c:v>0.13294756211227646</c:v>
                </c:pt>
                <c:pt idx="2">
                  <c:v>0.46863240531738548</c:v>
                </c:pt>
                <c:pt idx="3">
                  <c:v>2.3077935571818607E-2</c:v>
                </c:pt>
                <c:pt idx="4">
                  <c:v>6.5064910407800717E-3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763-AAA2-970C196BA5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2017'!$B$86,'Ano 2017'!$B$88,'Ano 2017'!$B$90,'Ano 2017'!$B$92)</c:f>
              <c:numCache>
                <c:formatCode>_-* #,##0_-;\-* #,##0_-;_-* "-"??_-;_-@_-</c:formatCode>
                <c:ptCount val="4"/>
                <c:pt idx="0">
                  <c:v>6501506</c:v>
                </c:pt>
                <c:pt idx="1">
                  <c:v>202616</c:v>
                </c:pt>
                <c:pt idx="2">
                  <c:v>16367</c:v>
                </c:pt>
                <c:pt idx="3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41FE-AA5B-32B0D8323B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A3-4CC9-959D-2D8C09A44D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A3-4CC9-959D-2D8C09A44D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A3-4CC9-959D-2D8C09A44D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A3-4CC9-959D-2D8C09A44D8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2017'!$G$86,'Ano 2017'!$G$88,'Ano 2017'!$G$90,'Ano 2017'!$G$92)</c:f>
              <c:numCache>
                <c:formatCode>0.00%</c:formatCode>
                <c:ptCount val="4"/>
                <c:pt idx="0">
                  <c:v>0.96586502592821155</c:v>
                </c:pt>
                <c:pt idx="1">
                  <c:v>3.0100673304534444E-2</c:v>
                </c:pt>
                <c:pt idx="2">
                  <c:v>2.4314847789676788E-3</c:v>
                </c:pt>
                <c:pt idx="3">
                  <c:v>1.2330496526811105E-3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35D-8438-041BB318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42-4D7F-A14E-BF63E6FB7537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2-4D7F-A14E-BF63E6FB7537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2-4D7F-A14E-BF63E6FB753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2017'!$B$101,'Ano 2017'!$B$103,'Ano 2017'!$B$105)</c:f>
              <c:numCache>
                <c:formatCode>_-* #,##0_-;\-* #,##0_-;_-* "-"??_-;_-@_-</c:formatCode>
                <c:ptCount val="3"/>
                <c:pt idx="0">
                  <c:v>4944601</c:v>
                </c:pt>
                <c:pt idx="1">
                  <c:v>1488632</c:v>
                </c:pt>
                <c:pt idx="2">
                  <c:v>293449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D7F-A14E-BF63E6FB75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77-4639-99C2-971761F8A6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77-4639-99C2-971761F8A6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77-4639-99C2-971761F8A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2017'!$G$101,'Ano 2017'!$G$103,'Ano 2017'!$G$105)</c:f>
              <c:numCache>
                <c:formatCode>0.00%</c:formatCode>
                <c:ptCount val="3"/>
                <c:pt idx="0">
                  <c:v>0.73457090912008094</c:v>
                </c:pt>
                <c:pt idx="1">
                  <c:v>0.22115146633373337</c:v>
                </c:pt>
                <c:pt idx="2">
                  <c:v>4.3594841871038459E-2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785-83EB-5F3878B0EA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45-42D7-8ADA-18F177484C84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45-42D7-8ADA-18F177484C84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5-42D7-8ADA-18F177484C84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45-42D7-8ADA-18F17748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2017'!$B$116,'Ano 2017'!$B$118,'Ano 2017'!$B$120,'Ano 2017'!$B$122,'Ano 2017'!$B$124)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186889</c:v>
                </c:pt>
                <c:pt idx="2">
                  <c:v>727580</c:v>
                </c:pt>
                <c:pt idx="3">
                  <c:v>32505</c:v>
                </c:pt>
                <c:pt idx="4">
                  <c:v>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5-42D7-8ADA-18F177484C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50</xdr:row>
      <xdr:rowOff>128587</xdr:rowOff>
    </xdr:from>
    <xdr:to>
      <xdr:col>11</xdr:col>
      <xdr:colOff>466725</xdr:colOff>
      <xdr:row>64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490AC8-F613-1017-5F47-20F2EDAF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50</xdr:row>
      <xdr:rowOff>138112</xdr:rowOff>
    </xdr:from>
    <xdr:to>
      <xdr:col>17</xdr:col>
      <xdr:colOff>209550</xdr:colOff>
      <xdr:row>64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723606-644C-25A1-14C0-0A58A2854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65</xdr:row>
      <xdr:rowOff>90487</xdr:rowOff>
    </xdr:from>
    <xdr:to>
      <xdr:col>11</xdr:col>
      <xdr:colOff>495300</xdr:colOff>
      <xdr:row>79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4ADE88-6003-EE38-2166-8EB0061F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65</xdr:row>
      <xdr:rowOff>57150</xdr:rowOff>
    </xdr:from>
    <xdr:to>
      <xdr:col>17</xdr:col>
      <xdr:colOff>257175</xdr:colOff>
      <xdr:row>79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E385B9-6442-856F-3B93-806F19FC4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80</xdr:row>
      <xdr:rowOff>138112</xdr:rowOff>
    </xdr:from>
    <xdr:to>
      <xdr:col>14</xdr:col>
      <xdr:colOff>85725</xdr:colOff>
      <xdr:row>94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E24D7F-E512-EDA7-3207-B50472F4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80</xdr:row>
      <xdr:rowOff>157162</xdr:rowOff>
    </xdr:from>
    <xdr:to>
      <xdr:col>19</xdr:col>
      <xdr:colOff>438150</xdr:colOff>
      <xdr:row>94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B7DB75-1784-2DC6-2ECD-5E887006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95</xdr:row>
      <xdr:rowOff>138112</xdr:rowOff>
    </xdr:from>
    <xdr:to>
      <xdr:col>14</xdr:col>
      <xdr:colOff>95250</xdr:colOff>
      <xdr:row>109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1AD002-03DC-0122-A8C3-2D905BC7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95</xdr:row>
      <xdr:rowOff>128587</xdr:rowOff>
    </xdr:from>
    <xdr:to>
      <xdr:col>19</xdr:col>
      <xdr:colOff>476250</xdr:colOff>
      <xdr:row>109</xdr:row>
      <xdr:rowOff>100012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925070-C79D-8F46-2962-5205A73BD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111</xdr:row>
      <xdr:rowOff>176212</xdr:rowOff>
    </xdr:from>
    <xdr:to>
      <xdr:col>12</xdr:col>
      <xdr:colOff>590550</xdr:colOff>
      <xdr:row>125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F63A257-2B69-8A76-5A1C-C4E09210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111</xdr:row>
      <xdr:rowOff>157162</xdr:rowOff>
    </xdr:from>
    <xdr:to>
      <xdr:col>18</xdr:col>
      <xdr:colOff>495300</xdr:colOff>
      <xdr:row>125</xdr:row>
      <xdr:rowOff>109537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1949535-B0F7-711F-4805-59638F76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126</xdr:row>
      <xdr:rowOff>42862</xdr:rowOff>
    </xdr:from>
    <xdr:to>
      <xdr:col>13</xdr:col>
      <xdr:colOff>38100</xdr:colOff>
      <xdr:row>139</xdr:row>
      <xdr:rowOff>185737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1F1C078-2781-95EC-B999-7E2B972E4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126</xdr:row>
      <xdr:rowOff>23812</xdr:rowOff>
    </xdr:from>
    <xdr:to>
      <xdr:col>18</xdr:col>
      <xdr:colOff>495300</xdr:colOff>
      <xdr:row>139</xdr:row>
      <xdr:rowOff>166687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983461-26DC-2153-13CC-412BEA79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144</xdr:row>
      <xdr:rowOff>204785</xdr:rowOff>
    </xdr:from>
    <xdr:to>
      <xdr:col>13</xdr:col>
      <xdr:colOff>228600</xdr:colOff>
      <xdr:row>198</xdr:row>
      <xdr:rowOff>180974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EE307EB-5D9E-504A-25EB-325133C2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203</xdr:row>
      <xdr:rowOff>14287</xdr:rowOff>
    </xdr:from>
    <xdr:to>
      <xdr:col>13</xdr:col>
      <xdr:colOff>228600</xdr:colOff>
      <xdr:row>216</xdr:row>
      <xdr:rowOff>157162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EA13874-53FD-7C60-D0D2-32A4E9A2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D7207-FD0F-4403-ACC6-F93E4580B033}" name="Total" displayName="Total" ref="A1:B6" totalsRowShown="0" headerRowDxfId="121" dataDxfId="120">
  <autoFilter ref="A1:B6" xr:uid="{9A7D7207-FD0F-4403-ACC6-F93E4580B033}"/>
  <tableColumns count="2">
    <tableColumn id="1" xr3:uid="{885E80DD-7ED4-488D-9CED-89DFB172DFB2}" name="Ano" dataDxfId="119"/>
    <tableColumn id="2" xr3:uid="{E788C68A-6014-4DA7-B83E-28C2A27B6DD4}" name="Total de Candidatos" dataDxfId="1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3EAD8-0C22-41BC-ACA5-24E5D174D6DA}" name="Idade" displayName="Idade" ref="A1:U6" totalsRowShown="0" headerRowDxfId="117" dataDxfId="116">
  <autoFilter ref="A1:U6" xr:uid="{7B23EAD8-0C22-41BC-ACA5-24E5D174D6DA}"/>
  <tableColumns count="21">
    <tableColumn id="1" xr3:uid="{97A0FFFB-EEEF-4260-8B8E-CB259B2E13C2}" name="Ano" dataDxfId="115"/>
    <tableColumn id="2" xr3:uid="{5966CADF-60AE-4049-9992-794BE3DA21F5}" name="&lt; 17" dataDxfId="114"/>
    <tableColumn id="3" xr3:uid="{2AE526B0-A389-4190-86D0-78FB6B8C06A8}" name="17" dataDxfId="113"/>
    <tableColumn id="4" xr3:uid="{D76065C4-55A3-48A6-A3BE-A89B7A030D64}" name="18" dataDxfId="112"/>
    <tableColumn id="5" xr3:uid="{D00C17AE-4984-4888-ACC7-F1D677051AA9}" name="19" dataDxfId="111"/>
    <tableColumn id="6" xr3:uid="{A4651B86-F88E-40FB-A98C-3950FA5BC4A7}" name="20" dataDxfId="110"/>
    <tableColumn id="7" xr3:uid="{22BC3CA9-31CC-41FC-B958-ED4C4BED95A3}" name="21" dataDxfId="109"/>
    <tableColumn id="8" xr3:uid="{2725ABD4-9DC1-410F-A3D3-7A5F5E01C0B1}" name="22" dataDxfId="108"/>
    <tableColumn id="9" xr3:uid="{F49AAF1C-5485-40E8-B767-DD9D12015BDC}" name="23" dataDxfId="107"/>
    <tableColumn id="10" xr3:uid="{95954F8B-CDE3-4751-905B-4F12ADE2257D}" name="24" dataDxfId="106"/>
    <tableColumn id="11" xr3:uid="{64929BF2-76B7-48F9-994C-AACBC57D4309}" name="25" dataDxfId="105"/>
    <tableColumn id="12" xr3:uid="{215A3209-1D8D-46B1-ADFB-6FBBD6B75C83}" name="Entre 26 e 30" dataDxfId="104"/>
    <tableColumn id="13" xr3:uid="{83025B9D-F403-4E98-AA0C-E44B5D0E4050}" name="Entre 31 e 35" dataDxfId="103"/>
    <tableColumn id="14" xr3:uid="{DC607A0C-9579-4A41-A5DB-1E2D53218F8C}" name="Entre 36 e 40" dataDxfId="102"/>
    <tableColumn id="15" xr3:uid="{4E1F9CC7-6F25-4F94-8B55-0BE55EB88EC6}" name="Entre 41 e 45" dataDxfId="101"/>
    <tableColumn id="16" xr3:uid="{01AE4BDA-7CAB-4379-A163-542E116578EB}" name="Entre 46 e 50" dataDxfId="100"/>
    <tableColumn id="17" xr3:uid="{BCEFE9D3-2444-4C1E-9926-DEC42CE9B895}" name="Entre 51 e 55" dataDxfId="99"/>
    <tableColumn id="18" xr3:uid="{2E73E8B3-EEDC-4DEE-8FB7-403AB8C79104}" name="Entre 56 e 60" dataDxfId="98"/>
    <tableColumn id="19" xr3:uid="{EB33566B-DB87-4EBC-83A2-1F49AE9DCC0C}" name="Entre 61 e 65" dataDxfId="97"/>
    <tableColumn id="20" xr3:uid="{86075A98-522E-4FA8-B67C-ADF23A13C193}" name="Entre 66 e 70" dataDxfId="96"/>
    <tableColumn id="21" xr3:uid="{E6E2B6FF-5659-4674-9CEB-E2780A0B1698}" name="&gt; 70" dataDxfId="9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E05467-20EF-4361-80F0-1BABB4DF9797}" name="Sexo" displayName="Sexo" ref="A1:E6" totalsRowShown="0" headerRowDxfId="94" dataDxfId="93" tableBorderDxfId="92">
  <autoFilter ref="A1:E6" xr:uid="{D4E05467-20EF-4361-80F0-1BABB4DF9797}"/>
  <tableColumns count="5">
    <tableColumn id="1" xr3:uid="{B795BCD0-A14D-4A23-80AF-E892FFB0ECF9}" name="Ano" dataDxfId="91"/>
    <tableColumn id="2" xr3:uid="{D4C140EF-DE2D-491C-94CC-752EFAE74A46}" name="Masculino" dataDxfId="90"/>
    <tableColumn id="4" xr3:uid="{A145783B-3A6B-4947-B9C7-6D52632664E7}" name="Masculino %" dataDxfId="89" dataCellStyle="Porcentagem">
      <calculatedColumnFormula>Sexo[[#This Row],[Masculino]]/Total[[#This Row],[Total de Candidatos]]</calculatedColumnFormula>
    </tableColumn>
    <tableColumn id="3" xr3:uid="{B0A58A0C-DD73-423A-89EB-AECF1EDB6665}" name="Feminino" dataDxfId="88"/>
    <tableColumn id="5" xr3:uid="{BD424FA4-E16D-46F0-B734-D29E7D733CA8}" name="Feminino %" dataDxfId="87" dataCellStyle="Porcentagem">
      <calculatedColumnFormula>Sexo[[#This Row],[Feminino]]/Total[[#This Row],[Total de Candidatos]]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BB4F3-5CC1-4272-BFCD-A4F728A5B1A0}" name="Raca" displayName="Raca" ref="A1:K6" totalsRowShown="0" headerRowDxfId="86" dataDxfId="85" tableBorderDxfId="84">
  <autoFilter ref="A1:K6" xr:uid="{148BB4F3-5CC1-4272-BFCD-A4F728A5B1A0}"/>
  <tableColumns count="11">
    <tableColumn id="1" xr3:uid="{E291788F-DF7E-4BCC-B002-5DBD0F0334D3}" name="Ano" dataDxfId="83"/>
    <tableColumn id="2" xr3:uid="{93A87298-8CD0-4561-97B5-13B626EB4A4A}" name="Branco" dataDxfId="82"/>
    <tableColumn id="7" xr3:uid="{68E4F191-FD9B-412B-A412-7D4EE3851DB4}" name="Branco %" dataDxfId="81" dataCellStyle="Porcentagem">
      <calculatedColumnFormula>Raca[[#This Row],[Branco]]/Total[[#This Row],[Total de Candidatos]]</calculatedColumnFormula>
    </tableColumn>
    <tableColumn id="3" xr3:uid="{3049A574-1E10-4EE6-BA54-4EA7FA97D85F}" name="Negro" dataDxfId="80"/>
    <tableColumn id="8" xr3:uid="{A52BB540-3A0B-4EE7-A04D-3F4EE5C0EBA1}" name="Negro %" dataDxfId="79" dataCellStyle="Porcentagem">
      <calculatedColumnFormula>Raca[[#This Row],[Negro]]/Total[[#This Row],[Total de Candidatos]]</calculatedColumnFormula>
    </tableColumn>
    <tableColumn id="4" xr3:uid="{E099DF98-59C9-4B1B-BDD0-50D90665F591}" name="Pardo" dataDxfId="78"/>
    <tableColumn id="9" xr3:uid="{0878347B-F426-4CDA-BD73-01761A717D23}" name="Pardo %" dataDxfId="77" dataCellStyle="Porcentagem">
      <calculatedColumnFormula>Raca[[#This Row],[Pardo]]/Total[[#This Row],[Total de Candidatos]]</calculatedColumnFormula>
    </tableColumn>
    <tableColumn id="5" xr3:uid="{EACAACBD-2027-40C2-B6CD-38300400E575}" name="Amarelo" dataDxfId="76"/>
    <tableColumn id="10" xr3:uid="{84AAC733-9193-4D9A-805C-92A613004A04}" name="Amarelo %" dataDxfId="75" dataCellStyle="Porcentagem">
      <calculatedColumnFormula>Raca[[#This Row],[Amarelo]]/Total[[#This Row],[Total de Candidatos]]</calculatedColumnFormula>
    </tableColumn>
    <tableColumn id="6" xr3:uid="{A1B85963-6305-4E34-A1D1-EFDE7C4D9762}" name="Indígena" dataDxfId="74"/>
    <tableColumn id="11" xr3:uid="{97DF88EA-F4F2-44CF-93E1-FCDD8350E416}" name="Indígena %" dataDxfId="73" dataCellStyle="Porcentagem">
      <calculatedColumnFormula>Raca[[#This Row],[Indígena]]/Total[[#This Row],[Total de Candidatos]]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C20172-B05B-4148-9A94-FFCCCC968185}" name="Nacionalidade" displayName="Nacionalidade" ref="A1:I6" totalsRowShown="0" headerRowDxfId="72" dataDxfId="71" tableBorderDxfId="70">
  <autoFilter ref="A1:I6" xr:uid="{ECC20172-B05B-4148-9A94-FFCCCC968185}"/>
  <tableColumns count="9">
    <tableColumn id="1" xr3:uid="{C43FBDA8-E080-49A0-88DC-5055BD0EE3F5}" name="Ano" dataDxfId="69"/>
    <tableColumn id="2" xr3:uid="{E958270A-5187-4AD1-AF0D-12A7711772FB}" name="Brasileiro" dataDxfId="68"/>
    <tableColumn id="7" xr3:uid="{24286878-67F6-4802-BC54-A5B14AA8DF58}" name="Brasileiro %" dataDxfId="67" dataCellStyle="Porcentagem">
      <calculatedColumnFormula>Nacionalidade[[#This Row],[Brasileiro]]/Total[[#This Row],[Total de Candidatos]]</calculatedColumnFormula>
    </tableColumn>
    <tableColumn id="3" xr3:uid="{CE1781E3-E64A-4362-B3E6-BC96E0F21678}" name="Brasileiro Naturalizado" dataDxfId="66"/>
    <tableColumn id="8" xr3:uid="{451C11AC-2513-43BF-8FE9-05DE4685BF4F}" name="Brasileiro Naturalizado %" dataDxfId="65" dataCellStyle="Porcentagem">
      <calculatedColumnFormula>Nacionalidade[[#This Row],[Brasileiro Naturalizado]]/Total[[#This Row],[Total de Candidatos]]</calculatedColumnFormula>
    </tableColumn>
    <tableColumn id="4" xr3:uid="{B45A76BA-B71A-4EFC-AF3E-5E1867C3BBFF}" name="Estrangeiro" dataDxfId="64"/>
    <tableColumn id="9" xr3:uid="{BE8EF6EC-803F-4F9D-A618-653E7025B6E5}" name="Estrangeiro %" dataDxfId="63" dataCellStyle="Porcentagem">
      <calculatedColumnFormula>Nacionalidade[[#This Row],[Estrangeiro]]/Total[[#This Row],[Total de Candidatos]]</calculatedColumnFormula>
    </tableColumn>
    <tableColumn id="5" xr3:uid="{4E22D0D7-892A-4BF0-BC96-D7D977B1A0FE}" name="Brasileiro nascido no Exterior" dataDxfId="62"/>
    <tableColumn id="10" xr3:uid="{E6E91F51-0460-4FF4-A701-1F6A71FF2830}" name="Brasileiro nascido no Exterior %" dataDxfId="61" dataCellStyle="Porcentagem">
      <calculatedColumnFormula>Nacionalidade[[#This Row],[Brasileiro nascido no Exterior]]/Total[[#This Row],[Total de Candidatos]]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3596BB-8012-4EC1-AFED-6D8E806DBF89}" name="Tipo_Escola" displayName="Tipo_Escola" ref="A1:G6" totalsRowShown="0" headerRowDxfId="60" dataDxfId="59" tableBorderDxfId="58">
  <autoFilter ref="A1:G6" xr:uid="{C33596BB-8012-4EC1-AFED-6D8E806DBF89}"/>
  <tableColumns count="7">
    <tableColumn id="1" xr3:uid="{E07E57F8-A2AE-4821-A39C-40623F1D5B0E}" name="Ano" dataDxfId="57"/>
    <tableColumn id="2" xr3:uid="{795CAA1A-97FA-41B7-A4E7-529F928C6414}" name="Não Informou" dataDxfId="56"/>
    <tableColumn id="8" xr3:uid="{F4BA888C-0D75-4956-835F-04C5BB6D8ABD}" name="Não informou %" dataDxfId="55" dataCellStyle="Porcentagem">
      <calculatedColumnFormula>Tipo_Escola[[#This Row],[Não Informou]]/Total[[#This Row],[Total de Candidatos]]</calculatedColumnFormula>
    </tableColumn>
    <tableColumn id="3" xr3:uid="{E2854A19-5CAC-4E8A-8C19-BF4D6EA886EB}" name="Pública" dataDxfId="54"/>
    <tableColumn id="5" xr3:uid="{54D6CEB2-6A1B-4475-BC1E-66E90A5CF59A}" name="Pública %" dataDxfId="53" dataCellStyle="Porcentagem">
      <calculatedColumnFormula>Tipo_Escola[[#This Row],[Pública]]/Total[[#This Row],[Total de Candidatos]]</calculatedColumnFormula>
    </tableColumn>
    <tableColumn id="4" xr3:uid="{FB9676B3-B932-4C7B-9943-6B503DCB8895}" name="Particular" dataDxfId="52"/>
    <tableColumn id="6" xr3:uid="{64F02135-0492-47A6-A495-B59B50F0912A}" name="Particular %" dataDxfId="51" dataCellStyle="Porcentagem">
      <calculatedColumnFormula>Tipo_Escola[[#This Row],[Particular]]/Total[[#This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598CAE-7FFB-493B-8710-ACA73A953D95}" name="Raca_Tipo_Escola" displayName="Raca_Tipo_Escola" ref="A1:U6" totalsRowShown="0" headerRowDxfId="50" dataDxfId="49" tableBorderDxfId="48">
  <autoFilter ref="A1:U6" xr:uid="{87598CAE-7FFB-493B-8710-ACA73A953D95}"/>
  <tableColumns count="21">
    <tableColumn id="1" xr3:uid="{F816B586-DB01-493E-863A-F5E539886245}" name="Ano" dataDxfId="47"/>
    <tableColumn id="2" xr3:uid="{26E1D46B-3D4E-4A01-8B5E-F624D3D5A543}" name="Branco Pública" dataDxfId="46"/>
    <tableColumn id="12" xr3:uid="{7BEC4BA7-FEF7-4A67-A534-ED5B7F8F268D}" name="Branco Pública %" dataDxfId="45" dataCellStyle="Porcentagem">
      <calculatedColumnFormula>Raca_Tipo_Escola[[#This Row],[Branco Pública]]/Total[[#This Row],[Total de Candidatos]]</calculatedColumnFormula>
    </tableColumn>
    <tableColumn id="3" xr3:uid="{68F2ECAD-AD7D-46A1-B8B4-75D7B77A3DAB}" name="Branco Particular" dataDxfId="44"/>
    <tableColumn id="13" xr3:uid="{59972B4E-4432-4E61-BAA6-B1A61DFBD464}" name="Branco Particular %" dataDxfId="43" dataCellStyle="Porcentagem">
      <calculatedColumnFormula>Raca_Tipo_Escola[[#This Row],[Branco Particular]]/Total[[#This Row],[Total de Candidatos]]</calculatedColumnFormula>
    </tableColumn>
    <tableColumn id="4" xr3:uid="{BDE33E08-3092-400A-85F4-8A522D789957}" name="Negro Pública" dataDxfId="42"/>
    <tableColumn id="14" xr3:uid="{05A59D66-5B8B-47D6-AE41-5E23A9E60DEC}" name="Negro Pública %" dataDxfId="41" dataCellStyle="Porcentagem">
      <calculatedColumnFormula>Raca_Tipo_Escola[[#This Row],[Negro Pública]]/Total[[#This Row],[Total de Candidatos]]</calculatedColumnFormula>
    </tableColumn>
    <tableColumn id="5" xr3:uid="{6B45016C-C7FD-4C9D-9E9D-BD9DCBE3A0B2}" name="Negro Particular" dataDxfId="40"/>
    <tableColumn id="15" xr3:uid="{40AFCB9C-B720-4A23-AF58-2D85CCEB0EEF}" name="Negro Particular %" dataDxfId="39" dataCellStyle="Porcentagem">
      <calculatedColumnFormula>Raca_Tipo_Escola[[#This Row],[Negro Particular]]/Total[[#This Row],[Total de Candidatos]]</calculatedColumnFormula>
    </tableColumn>
    <tableColumn id="6" xr3:uid="{87F3B37A-1674-43BF-B1C0-5064E4DA15A7}" name="Pardo Pública" dataDxfId="38"/>
    <tableColumn id="16" xr3:uid="{A831052C-EB41-479C-867F-C3604735AB3E}" name="Pardo Pública %" dataDxfId="37" dataCellStyle="Porcentagem">
      <calculatedColumnFormula>Raca_Tipo_Escola[[#This Row],[Pardo Pública]]/Total[[#This Row],[Total de Candidatos]]</calculatedColumnFormula>
    </tableColumn>
    <tableColumn id="7" xr3:uid="{8BF28462-C68D-4EEC-AAE4-D74F5D7179AE}" name="Pardo Particular" dataDxfId="36"/>
    <tableColumn id="17" xr3:uid="{3B0067DE-A766-4B00-AA09-A8D5A92118A5}" name="Pardo Particular %" dataDxfId="35" dataCellStyle="Porcentagem">
      <calculatedColumnFormula>Raca_Tipo_Escola[[#This Row],[Pardo Particular]]/Total[[#This Row],[Total de Candidatos]]</calculatedColumnFormula>
    </tableColumn>
    <tableColumn id="8" xr3:uid="{7510DEB4-5418-412E-872E-8830D23013F7}" name="Amarelo Pública" dataDxfId="34"/>
    <tableColumn id="18" xr3:uid="{30678B44-4B08-4CBD-8075-4547A35C3E85}" name="Amarelo Pública %" dataDxfId="33" dataCellStyle="Porcentagem">
      <calculatedColumnFormula>Raca_Tipo_Escola[[#This Row],[Amarelo Pública]]/Total[[#This Row],[Total de Candidatos]]</calculatedColumnFormula>
    </tableColumn>
    <tableColumn id="9" xr3:uid="{776004F7-0514-40A0-A812-D5458DB8CECC}" name="Amarelo Particular" dataDxfId="32"/>
    <tableColumn id="19" xr3:uid="{E42F49BC-B62A-4B9F-BA7F-E757DFA4A323}" name="Amarelo Particular %" dataDxfId="31" dataCellStyle="Porcentagem">
      <calculatedColumnFormula>Raca_Tipo_Escola[[#This Row],[Amarelo Particular]]/Total[[#This Row],[Total de Candidatos]]</calculatedColumnFormula>
    </tableColumn>
    <tableColumn id="10" xr3:uid="{23568FDA-0F8F-4F7F-B0D5-B6E1139A5549}" name="Indígena Pública" dataDxfId="30"/>
    <tableColumn id="20" xr3:uid="{920693F7-9D5E-4309-BAE6-8750B3620453}" name="Indígena Pública %" dataDxfId="29" dataCellStyle="Porcentagem">
      <calculatedColumnFormula>Raca_Tipo_Escola[[#This Row],[Indígena Pública]]/Total[[#This Row],[Total de Candidatos]]</calculatedColumnFormula>
    </tableColumn>
    <tableColumn id="11" xr3:uid="{478F2954-714E-4C2A-A39C-BE254C37BA89}" name="Indígena Particular" dataDxfId="28"/>
    <tableColumn id="21" xr3:uid="{3498BEDE-C72A-4F1C-95E1-E7C39998FE5A}" name="Indígena Particular %" dataDxfId="27" dataCellStyle="Porcentagem">
      <calculatedColumnFormula>Raca_Tipo_Escola[[#This Row],[Indígena 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C94F68-3CEF-4D41-93E9-12047C4ECD09}" name="Estado" displayName="Estado" ref="A1:K28" totalsRowShown="0" headerRowDxfId="26" dataDxfId="25">
  <autoFilter ref="A1:K28" xr:uid="{3EC94F68-3CEF-4D41-93E9-12047C4ECD09}"/>
  <tableColumns count="11">
    <tableColumn id="1" xr3:uid="{DF9293E0-9DC9-4B26-9E46-1210014B2FFC}" name="Estado" dataDxfId="24"/>
    <tableColumn id="2" xr3:uid="{071363EC-E667-4011-AD23-39BD1D20D6B9}" name="2017" dataDxfId="23"/>
    <tableColumn id="7" xr3:uid="{DA5B6F88-5426-4E2C-86CA-32C4B069B040}" name="2017%" dataDxfId="22" dataCellStyle="Porcentagem">
      <calculatedColumnFormula>Estado[[#This Row],[2017]]/6731278</calculatedColumnFormula>
    </tableColumn>
    <tableColumn id="3" xr3:uid="{0C58C880-6C48-4F02-B802-8C3CFE765C43}" name="2018" dataDxfId="21"/>
    <tableColumn id="8" xr3:uid="{2A35451F-61F9-4FB8-9A67-82D7156585E0}" name="2018%" dataDxfId="20" dataCellStyle="Porcentagem">
      <calculatedColumnFormula>Estado[[#This Row],[2018]]/5513733</calculatedColumnFormula>
    </tableColumn>
    <tableColumn id="4" xr3:uid="{CFBB1EDF-7E0B-4FAF-9876-7A4C11FAD7DD}" name="2019" dataDxfId="19"/>
    <tableColumn id="9" xr3:uid="{56095979-CFD0-4EE1-BA2E-6D92EEDC42AD}" name="2019%" dataDxfId="18" dataCellStyle="Porcentagem">
      <calculatedColumnFormula>Estado[[#This Row],[2019]]/5095171</calculatedColumnFormula>
    </tableColumn>
    <tableColumn id="5" xr3:uid="{C7C21EE1-8720-4C9D-9DF6-0178B18B7EF1}" name="2020" dataDxfId="17"/>
    <tableColumn id="10" xr3:uid="{B4BD0A14-CC3A-4205-BB08-D35110263C92}" name="2020%" dataDxfId="16" dataCellStyle="Porcentagem">
      <calculatedColumnFormula>Estado[[#This Row],[2020]]/5783109</calculatedColumnFormula>
    </tableColumn>
    <tableColumn id="6" xr3:uid="{DFA55246-79DB-4BF8-A120-7DCED75A4A2F}" name="2021" dataDxfId="15"/>
    <tableColumn id="11" xr3:uid="{CA2CDBB5-FC30-41EF-8339-52C7D1EF5BFC}" name="2021%" dataDxfId="14" dataCellStyle="Porcentagem">
      <calculatedColumnFormula>Estado[[#This Row],[2021]]/3389832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B21715-26D9-40A5-A0B7-EA10B9560ACC}" name="Outros" displayName="Outros" ref="A1:K6" totalsRowShown="0" headerRowDxfId="13" dataDxfId="12" tableBorderDxfId="11">
  <autoFilter ref="A1:K6" xr:uid="{A3B21715-26D9-40A5-A0B7-EA10B9560ACC}"/>
  <tableColumns count="11">
    <tableColumn id="1" xr3:uid="{BCBA7789-4C36-4405-AD82-52006EC08359}" name="Ano" dataDxfId="10"/>
    <tableColumn id="2" xr3:uid="{86CC1F79-7C67-42F8-B4FF-DF491AE0B8C9}" name="Sem computador" dataDxfId="9"/>
    <tableColumn id="7" xr3:uid="{518AFE2E-9EB5-4130-B6CB-4AE2C3A769D4}" name="Sem computador %" dataDxfId="8" dataCellStyle="Porcentagem">
      <calculatedColumnFormula>Outros[[#This Row],[Sem computador]]/Total[[#This Row],[Total de Candidatos]]</calculatedColumnFormula>
    </tableColumn>
    <tableColumn id="3" xr3:uid="{1FA0C142-DE4E-460D-8612-8CFD945E897D}" name="Sem acesso a internet" dataDxfId="7"/>
    <tableColumn id="8" xr3:uid="{1047B25C-A0AA-4196-B5E6-FCF662107335}" name="Sem acesso a internet %" dataDxfId="6" dataCellStyle="Porcentagem">
      <calculatedColumnFormula>Outros[[#This Row],[Sem acesso a internet]]/Total[[#This Row],[Total de Candidatos]]</calculatedColumnFormula>
    </tableColumn>
    <tableColumn id="4" xr3:uid="{4E4F315C-BD0A-477E-9706-84E3F56F0DF0}" name="Sem banheiro" dataDxfId="5"/>
    <tableColumn id="9" xr3:uid="{FEFAB8E6-6E71-4FFE-BF07-9AEC57EAB330}" name="Sem banheiro %" dataDxfId="4" dataCellStyle="Porcentagem">
      <calculatedColumnFormula>Outros[[#This Row],[Sem banheiro]]/Total[[#This Row],[Total de Candidatos]]</calculatedColumnFormula>
    </tableColumn>
    <tableColumn id="5" xr3:uid="{9AEB5543-EB00-48C3-B906-4E680541A54D}" name="Sem geladeira" dataDxfId="3"/>
    <tableColumn id="11" xr3:uid="{FF65609C-F662-4E4D-B523-8BC3C04B1434}" name="Sem geladeira %" dataDxfId="2" dataCellStyle="Porcentagem">
      <calculatedColumnFormula>Outros[[#This Row],[Sem geladeira]]/Total[[#This Row],[Total de Candidatos]]</calculatedColumnFormula>
    </tableColumn>
    <tableColumn id="6" xr3:uid="{D0000045-0DF8-41CD-A550-81D467C74A05}" name="Sem quarto" dataDxfId="1"/>
    <tableColumn id="10" xr3:uid="{A47381B1-917C-47B1-A81F-FE4D1B07B873}" name="Sem quarto %" dataDxfId="0" dataCellStyle="Porcentagem">
      <calculatedColumnFormula>Outros[[#This Row],[Sem quarto]]/Total[[#This Row],[Total de Candidatos]]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89ED-7F2A-47A0-92D2-94AE0B6B8C38}">
  <dimension ref="B2:G215"/>
  <sheetViews>
    <sheetView showGridLines="0" tabSelected="1" topLeftCell="A202" workbookViewId="0">
      <selection activeCell="T125" sqref="T125"/>
    </sheetView>
  </sheetViews>
  <sheetFormatPr defaultRowHeight="15" x14ac:dyDescent="0.25"/>
  <cols>
    <col min="2" max="2" width="15.28515625" bestFit="1" customWidth="1"/>
  </cols>
  <sheetData>
    <row r="2" spans="2:2" ht="23.25" x14ac:dyDescent="0.35">
      <c r="B2" s="10" t="s">
        <v>118</v>
      </c>
    </row>
    <row r="4" spans="2:2" ht="15.75" x14ac:dyDescent="0.25">
      <c r="B4" s="11" t="s">
        <v>1</v>
      </c>
    </row>
    <row r="5" spans="2:2" x14ac:dyDescent="0.25">
      <c r="B5" s="13">
        <v>6731278</v>
      </c>
    </row>
    <row r="7" spans="2:2" ht="21" x14ac:dyDescent="0.35">
      <c r="B7" s="12" t="s">
        <v>171</v>
      </c>
    </row>
    <row r="9" spans="2:2" ht="15.75" x14ac:dyDescent="0.25">
      <c r="B9" s="11" t="s">
        <v>119</v>
      </c>
    </row>
    <row r="10" spans="2:2" x14ac:dyDescent="0.25">
      <c r="B10" s="13">
        <v>404148</v>
      </c>
    </row>
    <row r="11" spans="2:2" ht="15.75" x14ac:dyDescent="0.25">
      <c r="B11" s="11" t="s">
        <v>120</v>
      </c>
    </row>
    <row r="12" spans="2:2" x14ac:dyDescent="0.25">
      <c r="B12" s="13">
        <v>965948</v>
      </c>
    </row>
    <row r="13" spans="2:2" ht="15.75" x14ac:dyDescent="0.25">
      <c r="B13" s="11" t="s">
        <v>121</v>
      </c>
    </row>
    <row r="14" spans="2:2" x14ac:dyDescent="0.25">
      <c r="B14" s="13">
        <v>980662</v>
      </c>
    </row>
    <row r="15" spans="2:2" ht="15.75" x14ac:dyDescent="0.25">
      <c r="B15" s="11" t="s">
        <v>122</v>
      </c>
    </row>
    <row r="16" spans="2:2" x14ac:dyDescent="0.25">
      <c r="B16" s="13">
        <v>694353</v>
      </c>
    </row>
    <row r="17" spans="2:2" ht="15.75" x14ac:dyDescent="0.25">
      <c r="B17" s="11" t="s">
        <v>123</v>
      </c>
    </row>
    <row r="18" spans="2:2" x14ac:dyDescent="0.25">
      <c r="B18" s="13">
        <v>550471</v>
      </c>
    </row>
    <row r="19" spans="2:2" ht="15.75" x14ac:dyDescent="0.25">
      <c r="B19" s="11" t="s">
        <v>124</v>
      </c>
    </row>
    <row r="20" spans="2:2" x14ac:dyDescent="0.25">
      <c r="B20" s="13">
        <v>427367</v>
      </c>
    </row>
    <row r="21" spans="2:2" ht="15.75" x14ac:dyDescent="0.25">
      <c r="B21" s="11" t="s">
        <v>125</v>
      </c>
    </row>
    <row r="22" spans="2:2" x14ac:dyDescent="0.25">
      <c r="B22" s="13">
        <v>349924</v>
      </c>
    </row>
    <row r="23" spans="2:2" ht="15.75" x14ac:dyDescent="0.25">
      <c r="B23" s="11" t="s">
        <v>126</v>
      </c>
    </row>
    <row r="24" spans="2:2" x14ac:dyDescent="0.25">
      <c r="B24" s="13">
        <v>286688</v>
      </c>
    </row>
    <row r="25" spans="2:2" ht="15.75" x14ac:dyDescent="0.25">
      <c r="B25" s="11" t="s">
        <v>127</v>
      </c>
    </row>
    <row r="26" spans="2:2" x14ac:dyDescent="0.25">
      <c r="B26" s="13">
        <v>240521</v>
      </c>
    </row>
    <row r="27" spans="2:2" ht="15.75" x14ac:dyDescent="0.25">
      <c r="B27" s="11" t="s">
        <v>128</v>
      </c>
    </row>
    <row r="28" spans="2:2" x14ac:dyDescent="0.25">
      <c r="B28" s="13">
        <v>198306</v>
      </c>
    </row>
    <row r="29" spans="2:2" ht="15.75" x14ac:dyDescent="0.25">
      <c r="B29" s="11" t="s">
        <v>129</v>
      </c>
    </row>
    <row r="30" spans="2:2" x14ac:dyDescent="0.25">
      <c r="B30" s="13">
        <v>675889</v>
      </c>
    </row>
    <row r="31" spans="2:2" ht="15.75" x14ac:dyDescent="0.25">
      <c r="B31" s="11" t="s">
        <v>130</v>
      </c>
    </row>
    <row r="32" spans="2:2" x14ac:dyDescent="0.25">
      <c r="B32" s="13">
        <v>399838</v>
      </c>
    </row>
    <row r="33" spans="2:2" ht="15.75" x14ac:dyDescent="0.25">
      <c r="B33" s="11" t="s">
        <v>131</v>
      </c>
    </row>
    <row r="34" spans="2:2" x14ac:dyDescent="0.25">
      <c r="B34" s="13">
        <v>250983</v>
      </c>
    </row>
    <row r="35" spans="2:2" ht="15.75" x14ac:dyDescent="0.25">
      <c r="B35" s="11" t="s">
        <v>132</v>
      </c>
    </row>
    <row r="36" spans="2:2" x14ac:dyDescent="0.25">
      <c r="B36" s="13">
        <v>145200</v>
      </c>
    </row>
    <row r="37" spans="2:2" ht="15.75" x14ac:dyDescent="0.25">
      <c r="B37" s="11" t="s">
        <v>133</v>
      </c>
    </row>
    <row r="38" spans="2:2" x14ac:dyDescent="0.25">
      <c r="B38" s="13">
        <v>85666</v>
      </c>
    </row>
    <row r="39" spans="2:2" ht="15.75" x14ac:dyDescent="0.25">
      <c r="B39" s="11" t="s">
        <v>134</v>
      </c>
    </row>
    <row r="40" spans="2:2" x14ac:dyDescent="0.25">
      <c r="B40" s="13">
        <v>46095</v>
      </c>
    </row>
    <row r="41" spans="2:2" ht="15.75" x14ac:dyDescent="0.25">
      <c r="B41" s="11" t="s">
        <v>135</v>
      </c>
    </row>
    <row r="42" spans="2:2" x14ac:dyDescent="0.25">
      <c r="B42" s="13">
        <v>19601</v>
      </c>
    </row>
    <row r="43" spans="2:2" ht="15.75" x14ac:dyDescent="0.25">
      <c r="B43" s="11" t="s">
        <v>136</v>
      </c>
    </row>
    <row r="44" spans="2:2" x14ac:dyDescent="0.25">
      <c r="B44" s="13">
        <v>6789</v>
      </c>
    </row>
    <row r="45" spans="2:2" ht="15.75" x14ac:dyDescent="0.25">
      <c r="B45" s="11" t="s">
        <v>137</v>
      </c>
    </row>
    <row r="46" spans="2:2" x14ac:dyDescent="0.25">
      <c r="B46" s="13">
        <v>2084</v>
      </c>
    </row>
    <row r="47" spans="2:2" ht="15.75" x14ac:dyDescent="0.25">
      <c r="B47" s="11" t="s">
        <v>138</v>
      </c>
    </row>
    <row r="48" spans="2:2" x14ac:dyDescent="0.25">
      <c r="B48" s="13">
        <v>745</v>
      </c>
    </row>
    <row r="49" spans="2:4" x14ac:dyDescent="0.25">
      <c r="B49" s="13"/>
    </row>
    <row r="50" spans="2:4" x14ac:dyDescent="0.25">
      <c r="B50" s="13"/>
    </row>
    <row r="51" spans="2:4" x14ac:dyDescent="0.25">
      <c r="B51" s="13"/>
    </row>
    <row r="52" spans="2:4" x14ac:dyDescent="0.25">
      <c r="B52" s="13"/>
    </row>
    <row r="54" spans="2:4" ht="21" x14ac:dyDescent="0.35">
      <c r="B54" s="12" t="s">
        <v>170</v>
      </c>
    </row>
    <row r="56" spans="2:4" ht="15.75" x14ac:dyDescent="0.25">
      <c r="B56" s="11" t="s">
        <v>139</v>
      </c>
      <c r="D56" s="11" t="s">
        <v>141</v>
      </c>
    </row>
    <row r="57" spans="2:4" x14ac:dyDescent="0.25">
      <c r="B57" s="13">
        <v>2784564</v>
      </c>
      <c r="D57" s="14">
        <v>0.41367538229738843</v>
      </c>
    </row>
    <row r="58" spans="2:4" ht="15.75" x14ac:dyDescent="0.25">
      <c r="B58" s="11" t="s">
        <v>140</v>
      </c>
      <c r="D58" s="11" t="s">
        <v>141</v>
      </c>
    </row>
    <row r="59" spans="2:4" x14ac:dyDescent="0.25">
      <c r="B59" s="13">
        <v>3946714</v>
      </c>
      <c r="D59" s="14">
        <v>0.58632461770261157</v>
      </c>
    </row>
    <row r="60" spans="2:4" x14ac:dyDescent="0.25">
      <c r="B60" s="13"/>
      <c r="D60" s="14"/>
    </row>
    <row r="61" spans="2:4" x14ac:dyDescent="0.25">
      <c r="B61" s="13"/>
      <c r="D61" s="14"/>
    </row>
    <row r="62" spans="2:4" x14ac:dyDescent="0.25">
      <c r="B62" s="13"/>
      <c r="D62" s="14"/>
    </row>
    <row r="63" spans="2:4" x14ac:dyDescent="0.25">
      <c r="B63" s="13"/>
      <c r="D63" s="14"/>
    </row>
    <row r="64" spans="2:4" x14ac:dyDescent="0.25">
      <c r="B64" s="13"/>
      <c r="D64" s="14"/>
    </row>
    <row r="68" spans="2:4" ht="21" x14ac:dyDescent="0.35">
      <c r="B68" s="12" t="s">
        <v>169</v>
      </c>
    </row>
    <row r="70" spans="2:4" ht="15.75" x14ac:dyDescent="0.25">
      <c r="B70" s="11" t="s">
        <v>142</v>
      </c>
      <c r="D70" s="11" t="s">
        <v>141</v>
      </c>
    </row>
    <row r="71" spans="2:4" x14ac:dyDescent="0.25">
      <c r="B71" s="15">
        <v>2355229</v>
      </c>
      <c r="D71" s="14">
        <v>0.34989328920897339</v>
      </c>
    </row>
    <row r="72" spans="2:4" ht="15.75" x14ac:dyDescent="0.25">
      <c r="B72" s="11" t="s">
        <v>143</v>
      </c>
      <c r="D72" s="11" t="s">
        <v>141</v>
      </c>
    </row>
    <row r="73" spans="2:4" x14ac:dyDescent="0.25">
      <c r="B73" s="15">
        <v>894907</v>
      </c>
      <c r="D73" s="14">
        <v>0.13294756211227646</v>
      </c>
    </row>
    <row r="74" spans="2:4" ht="15.75" x14ac:dyDescent="0.25">
      <c r="B74" s="11" t="s">
        <v>144</v>
      </c>
      <c r="D74" s="11" t="s">
        <v>141</v>
      </c>
    </row>
    <row r="75" spans="2:4" x14ac:dyDescent="0.25">
      <c r="B75" s="15">
        <v>3154495</v>
      </c>
      <c r="D75" s="14">
        <v>0.46863240531738548</v>
      </c>
    </row>
    <row r="76" spans="2:4" ht="15.75" x14ac:dyDescent="0.25">
      <c r="B76" s="11" t="s">
        <v>145</v>
      </c>
      <c r="D76" s="11" t="s">
        <v>141</v>
      </c>
    </row>
    <row r="77" spans="2:4" x14ac:dyDescent="0.25">
      <c r="B77" s="15">
        <v>155344</v>
      </c>
      <c r="D77" s="14">
        <v>2.3077935571818607E-2</v>
      </c>
    </row>
    <row r="78" spans="2:4" ht="15.75" x14ac:dyDescent="0.25">
      <c r="B78" s="11" t="s">
        <v>146</v>
      </c>
      <c r="D78" s="11" t="s">
        <v>141</v>
      </c>
    </row>
    <row r="79" spans="2:4" x14ac:dyDescent="0.25">
      <c r="B79" s="15">
        <v>43797</v>
      </c>
      <c r="D79" s="14">
        <v>6.5064910407800717E-3</v>
      </c>
    </row>
    <row r="83" spans="2:7" ht="21" x14ac:dyDescent="0.35">
      <c r="B83" s="12" t="s">
        <v>168</v>
      </c>
    </row>
    <row r="85" spans="2:7" ht="15.75" x14ac:dyDescent="0.25">
      <c r="B85" s="11" t="s">
        <v>147</v>
      </c>
      <c r="G85" s="11" t="s">
        <v>141</v>
      </c>
    </row>
    <row r="86" spans="2:7" x14ac:dyDescent="0.25">
      <c r="B86" s="15">
        <v>6501506</v>
      </c>
      <c r="G86" s="14">
        <v>0.96586502592821155</v>
      </c>
    </row>
    <row r="87" spans="2:7" ht="15.75" x14ac:dyDescent="0.25">
      <c r="B87" s="11" t="s">
        <v>148</v>
      </c>
      <c r="G87" s="11" t="s">
        <v>141</v>
      </c>
    </row>
    <row r="88" spans="2:7" x14ac:dyDescent="0.25">
      <c r="B88" s="15">
        <v>202616</v>
      </c>
      <c r="G88" s="14">
        <v>3.0100673304534444E-2</v>
      </c>
    </row>
    <row r="89" spans="2:7" ht="15.75" x14ac:dyDescent="0.25">
      <c r="B89" s="11" t="s">
        <v>149</v>
      </c>
      <c r="G89" s="11" t="s">
        <v>141</v>
      </c>
    </row>
    <row r="90" spans="2:7" x14ac:dyDescent="0.25">
      <c r="B90" s="15">
        <v>16367</v>
      </c>
      <c r="G90" s="14">
        <v>2.4314847789676788E-3</v>
      </c>
    </row>
    <row r="91" spans="2:7" ht="15.75" x14ac:dyDescent="0.25">
      <c r="B91" s="11" t="s">
        <v>150</v>
      </c>
      <c r="G91" s="11" t="s">
        <v>141</v>
      </c>
    </row>
    <row r="92" spans="2:7" x14ac:dyDescent="0.25">
      <c r="B92" s="15">
        <v>8300</v>
      </c>
      <c r="G92" s="14">
        <v>1.2330496526811105E-3</v>
      </c>
    </row>
    <row r="98" spans="2:7" ht="21" x14ac:dyDescent="0.35">
      <c r="B98" s="12" t="s">
        <v>167</v>
      </c>
    </row>
    <row r="100" spans="2:7" ht="15.75" x14ac:dyDescent="0.25">
      <c r="B100" s="11" t="s">
        <v>151</v>
      </c>
      <c r="G100" s="11" t="s">
        <v>141</v>
      </c>
    </row>
    <row r="101" spans="2:7" x14ac:dyDescent="0.25">
      <c r="B101" s="15">
        <v>4944601</v>
      </c>
      <c r="G101" s="14">
        <v>0.73457090912008094</v>
      </c>
    </row>
    <row r="102" spans="2:7" ht="15.75" x14ac:dyDescent="0.25">
      <c r="B102" s="11" t="s">
        <v>152</v>
      </c>
      <c r="G102" s="11" t="s">
        <v>141</v>
      </c>
    </row>
    <row r="103" spans="2:7" x14ac:dyDescent="0.25">
      <c r="B103" s="15">
        <v>1488632</v>
      </c>
      <c r="G103" s="14">
        <v>0.22115146633373337</v>
      </c>
    </row>
    <row r="104" spans="2:7" ht="15.75" x14ac:dyDescent="0.25">
      <c r="B104" s="11" t="s">
        <v>153</v>
      </c>
      <c r="G104" s="11" t="s">
        <v>141</v>
      </c>
    </row>
    <row r="105" spans="2:7" x14ac:dyDescent="0.25">
      <c r="B105" s="15">
        <v>293449</v>
      </c>
      <c r="G105" s="14">
        <v>4.3594841871038459E-2</v>
      </c>
    </row>
    <row r="113" spans="2:4" ht="21" x14ac:dyDescent="0.35">
      <c r="B113" s="12" t="s">
        <v>166</v>
      </c>
    </row>
    <row r="115" spans="2:4" ht="15.75" x14ac:dyDescent="0.25">
      <c r="B115" s="11" t="s">
        <v>154</v>
      </c>
    </row>
    <row r="116" spans="2:4" x14ac:dyDescent="0.25">
      <c r="B116" s="15">
        <v>500144</v>
      </c>
      <c r="D116" s="14">
        <v>7.4301492227776059E-2</v>
      </c>
    </row>
    <row r="117" spans="2:4" ht="15.75" x14ac:dyDescent="0.25">
      <c r="B117" s="11" t="s">
        <v>155</v>
      </c>
    </row>
    <row r="118" spans="2:4" x14ac:dyDescent="0.25">
      <c r="B118" s="15">
        <v>186889</v>
      </c>
      <c r="D118" s="14">
        <v>2.7764267053002417E-2</v>
      </c>
    </row>
    <row r="119" spans="2:4" ht="15.75" x14ac:dyDescent="0.25">
      <c r="B119" s="11" t="s">
        <v>156</v>
      </c>
    </row>
    <row r="120" spans="2:4" x14ac:dyDescent="0.25">
      <c r="B120" s="15">
        <v>727580</v>
      </c>
      <c r="D120" s="14">
        <v>0.10808942967442438</v>
      </c>
    </row>
    <row r="121" spans="2:4" ht="15.75" x14ac:dyDescent="0.25">
      <c r="B121" s="11" t="s">
        <v>157</v>
      </c>
    </row>
    <row r="122" spans="2:4" x14ac:dyDescent="0.25">
      <c r="B122" s="15">
        <v>32505</v>
      </c>
      <c r="D122" s="14">
        <v>4.8289492723372889E-3</v>
      </c>
    </row>
    <row r="123" spans="2:4" ht="15.75" x14ac:dyDescent="0.25">
      <c r="B123" s="11" t="s">
        <v>158</v>
      </c>
    </row>
    <row r="124" spans="2:4" x14ac:dyDescent="0.25">
      <c r="B124" s="15">
        <v>11915</v>
      </c>
      <c r="D124" s="14">
        <v>1.7700947724934254E-3</v>
      </c>
    </row>
    <row r="128" spans="2:4" ht="21" x14ac:dyDescent="0.35">
      <c r="B128" s="12" t="s">
        <v>165</v>
      </c>
    </row>
    <row r="130" spans="2:4" ht="15.75" x14ac:dyDescent="0.25">
      <c r="B130" s="11" t="s">
        <v>159</v>
      </c>
    </row>
    <row r="131" spans="2:4" x14ac:dyDescent="0.25">
      <c r="B131" s="15">
        <v>178048</v>
      </c>
      <c r="D131" s="14">
        <v>2.6450846332598355E-2</v>
      </c>
    </row>
    <row r="132" spans="2:4" ht="15.75" x14ac:dyDescent="0.25">
      <c r="B132" s="11" t="s">
        <v>160</v>
      </c>
    </row>
    <row r="133" spans="2:4" x14ac:dyDescent="0.25">
      <c r="B133" s="15">
        <v>17972</v>
      </c>
      <c r="D133" s="14">
        <v>2.6699238985523998E-3</v>
      </c>
    </row>
    <row r="134" spans="2:4" ht="15.75" x14ac:dyDescent="0.25">
      <c r="B134" s="11" t="s">
        <v>161</v>
      </c>
    </row>
    <row r="135" spans="2:4" x14ac:dyDescent="0.25">
      <c r="B135" s="15">
        <v>82230</v>
      </c>
      <c r="D135" s="14">
        <v>1.2216105173490087E-2</v>
      </c>
    </row>
    <row r="136" spans="2:4" ht="15.75" x14ac:dyDescent="0.25">
      <c r="B136" s="11" t="s">
        <v>162</v>
      </c>
    </row>
    <row r="137" spans="2:4" x14ac:dyDescent="0.25">
      <c r="B137" s="15">
        <v>7315</v>
      </c>
      <c r="D137" s="14">
        <v>1.0867178565496774E-3</v>
      </c>
    </row>
    <row r="138" spans="2:4" ht="15.75" x14ac:dyDescent="0.25">
      <c r="B138" s="11" t="s">
        <v>163</v>
      </c>
    </row>
    <row r="139" spans="2:4" x14ac:dyDescent="0.25">
      <c r="B139">
        <v>727</v>
      </c>
      <c r="D139" s="14">
        <v>1.0800326475893582E-4</v>
      </c>
    </row>
    <row r="145" spans="2:4" ht="21" x14ac:dyDescent="0.35">
      <c r="B145" s="12" t="s">
        <v>164</v>
      </c>
    </row>
    <row r="147" spans="2:4" ht="15.75" x14ac:dyDescent="0.25">
      <c r="B147" s="11" t="s">
        <v>173</v>
      </c>
    </row>
    <row r="148" spans="2:4" x14ac:dyDescent="0.25">
      <c r="B148" s="15">
        <v>54382</v>
      </c>
      <c r="D148" s="14">
        <v>8.0790007484462835E-3</v>
      </c>
    </row>
    <row r="149" spans="2:4" ht="15.75" x14ac:dyDescent="0.25">
      <c r="B149" s="11" t="s">
        <v>174</v>
      </c>
    </row>
    <row r="150" spans="2:4" x14ac:dyDescent="0.25">
      <c r="B150" s="15">
        <v>118725</v>
      </c>
      <c r="D150" s="14">
        <v>1.7637809640309018E-2</v>
      </c>
    </row>
    <row r="151" spans="2:4" ht="15.75" x14ac:dyDescent="0.25">
      <c r="B151" s="11" t="s">
        <v>175</v>
      </c>
    </row>
    <row r="152" spans="2:4" x14ac:dyDescent="0.25">
      <c r="B152" s="15">
        <v>51405</v>
      </c>
      <c r="D152" s="14">
        <v>7.6367370356713836E-3</v>
      </c>
    </row>
    <row r="153" spans="2:4" ht="15.75" x14ac:dyDescent="0.25">
      <c r="B153" s="11" t="s">
        <v>176</v>
      </c>
    </row>
    <row r="154" spans="2:4" x14ac:dyDescent="0.25">
      <c r="B154" s="15">
        <v>165078</v>
      </c>
      <c r="D154" s="14">
        <v>2.4524020550035223E-2</v>
      </c>
    </row>
    <row r="155" spans="2:4" ht="15.75" x14ac:dyDescent="0.25">
      <c r="B155" s="11" t="s">
        <v>177</v>
      </c>
    </row>
    <row r="156" spans="2:4" x14ac:dyDescent="0.25">
      <c r="B156" s="15">
        <v>490196</v>
      </c>
      <c r="D156" s="14">
        <v>7.2823615366948147E-2</v>
      </c>
    </row>
    <row r="157" spans="2:4" ht="15.75" x14ac:dyDescent="0.25">
      <c r="B157" s="11" t="s">
        <v>178</v>
      </c>
    </row>
    <row r="158" spans="2:4" x14ac:dyDescent="0.25">
      <c r="B158" s="15">
        <v>365255</v>
      </c>
      <c r="D158" s="14">
        <v>5.4262355528920364E-2</v>
      </c>
    </row>
    <row r="159" spans="2:4" ht="15.75" x14ac:dyDescent="0.25">
      <c r="B159" s="11" t="s">
        <v>172</v>
      </c>
    </row>
    <row r="160" spans="2:4" x14ac:dyDescent="0.25">
      <c r="B160" s="15">
        <v>125257</v>
      </c>
      <c r="D160" s="14">
        <v>1.8608204860949138E-2</v>
      </c>
    </row>
    <row r="161" spans="2:4" ht="15.75" x14ac:dyDescent="0.25">
      <c r="B161" s="16" t="s">
        <v>180</v>
      </c>
    </row>
    <row r="162" spans="2:4" x14ac:dyDescent="0.25">
      <c r="B162" s="15">
        <v>137399</v>
      </c>
      <c r="D162" s="14">
        <v>2.0412022798642397E-2</v>
      </c>
    </row>
    <row r="163" spans="2:4" ht="15.75" x14ac:dyDescent="0.25">
      <c r="B163" s="11" t="s">
        <v>181</v>
      </c>
    </row>
    <row r="164" spans="2:4" x14ac:dyDescent="0.25">
      <c r="B164" s="15">
        <v>219338</v>
      </c>
      <c r="D164" s="14">
        <v>3.2584896954189084E-2</v>
      </c>
    </row>
    <row r="165" spans="2:4" ht="15.75" x14ac:dyDescent="0.25">
      <c r="B165" s="11" t="s">
        <v>182</v>
      </c>
    </row>
    <row r="166" spans="2:4" x14ac:dyDescent="0.25">
      <c r="B166" s="15">
        <v>286078</v>
      </c>
      <c r="D166" s="14">
        <v>4.2499804643338163E-2</v>
      </c>
    </row>
    <row r="167" spans="2:4" ht="15.75" x14ac:dyDescent="0.25">
      <c r="B167" s="11" t="s">
        <v>183</v>
      </c>
    </row>
    <row r="168" spans="2:4" x14ac:dyDescent="0.25">
      <c r="B168" s="15">
        <v>126215</v>
      </c>
      <c r="D168" s="14">
        <v>1.8750525531704379E-2</v>
      </c>
    </row>
    <row r="169" spans="2:4" ht="15.75" x14ac:dyDescent="0.25">
      <c r="B169" s="11" t="s">
        <v>184</v>
      </c>
    </row>
    <row r="170" spans="2:4" x14ac:dyDescent="0.25">
      <c r="B170" s="15">
        <v>92299</v>
      </c>
      <c r="D170" s="14">
        <v>1.3711957818411303E-2</v>
      </c>
    </row>
    <row r="171" spans="2:4" ht="15.75" x14ac:dyDescent="0.25">
      <c r="B171" s="11" t="s">
        <v>185</v>
      </c>
    </row>
    <row r="172" spans="2:4" x14ac:dyDescent="0.25">
      <c r="B172" s="15">
        <v>725688</v>
      </c>
      <c r="D172" s="14">
        <v>0.10780835377769274</v>
      </c>
    </row>
    <row r="173" spans="2:4" ht="15.75" x14ac:dyDescent="0.25">
      <c r="B173" s="11" t="s">
        <v>179</v>
      </c>
    </row>
    <row r="174" spans="2:4" x14ac:dyDescent="0.25">
      <c r="B174" s="15">
        <v>354590</v>
      </c>
      <c r="D174" s="14">
        <v>5.2677961005324694E-2</v>
      </c>
    </row>
    <row r="175" spans="2:4" ht="15.75" x14ac:dyDescent="0.25">
      <c r="B175" s="11" t="s">
        <v>186</v>
      </c>
    </row>
    <row r="176" spans="2:4" x14ac:dyDescent="0.25">
      <c r="B176" s="15">
        <v>189149</v>
      </c>
      <c r="D176" s="14">
        <v>2.8100013103009563E-2</v>
      </c>
    </row>
    <row r="177" spans="2:4" ht="15.75" x14ac:dyDescent="0.25">
      <c r="B177" s="11" t="s">
        <v>187</v>
      </c>
    </row>
    <row r="178" spans="2:4" x14ac:dyDescent="0.25">
      <c r="B178" s="15">
        <v>287837</v>
      </c>
      <c r="D178" s="14">
        <v>4.2761122033587083E-2</v>
      </c>
    </row>
    <row r="179" spans="2:4" ht="15.75" x14ac:dyDescent="0.25">
      <c r="B179" s="11" t="s">
        <v>188</v>
      </c>
    </row>
    <row r="180" spans="2:4" x14ac:dyDescent="0.25">
      <c r="B180" s="15">
        <v>371621</v>
      </c>
      <c r="D180" s="14">
        <v>5.5208089756506859E-2</v>
      </c>
    </row>
    <row r="181" spans="2:4" ht="15.75" x14ac:dyDescent="0.25">
      <c r="B181" s="11" t="s">
        <v>189</v>
      </c>
    </row>
    <row r="182" spans="2:4" x14ac:dyDescent="0.25">
      <c r="B182" s="15">
        <v>149153</v>
      </c>
      <c r="D182" s="14">
        <v>2.2158199379077793E-2</v>
      </c>
    </row>
    <row r="183" spans="2:4" ht="15.75" x14ac:dyDescent="0.25">
      <c r="B183" s="11" t="s">
        <v>190</v>
      </c>
    </row>
    <row r="184" spans="2:4" x14ac:dyDescent="0.25">
      <c r="B184" s="15">
        <v>440844</v>
      </c>
      <c r="D184" s="14">
        <v>6.5491872420066446E-2</v>
      </c>
    </row>
    <row r="185" spans="2:4" ht="15.75" x14ac:dyDescent="0.25">
      <c r="B185" s="11" t="s">
        <v>191</v>
      </c>
    </row>
    <row r="186" spans="2:4" x14ac:dyDescent="0.25">
      <c r="B186" s="15">
        <v>159484</v>
      </c>
      <c r="D186" s="14">
        <v>2.3692974796167977E-2</v>
      </c>
    </row>
    <row r="187" spans="2:4" ht="15.75" x14ac:dyDescent="0.25">
      <c r="B187" s="11" t="s">
        <v>192</v>
      </c>
    </row>
    <row r="188" spans="2:4" x14ac:dyDescent="0.25">
      <c r="B188" s="15">
        <v>294591</v>
      </c>
      <c r="D188" s="14">
        <v>4.3764497618431451E-2</v>
      </c>
    </row>
    <row r="189" spans="2:4" ht="15.75" x14ac:dyDescent="0.25">
      <c r="B189" s="11" t="s">
        <v>194</v>
      </c>
    </row>
    <row r="190" spans="2:4" x14ac:dyDescent="0.25">
      <c r="B190" s="15">
        <v>80152</v>
      </c>
      <c r="D190" s="14">
        <v>1.1907397079722454E-2</v>
      </c>
    </row>
    <row r="191" spans="2:4" ht="15.75" x14ac:dyDescent="0.25">
      <c r="B191" s="11" t="s">
        <v>193</v>
      </c>
    </row>
    <row r="192" spans="2:4" x14ac:dyDescent="0.25">
      <c r="B192" s="15">
        <v>20247</v>
      </c>
      <c r="D192" s="14">
        <v>3.0078983515463187E-3</v>
      </c>
    </row>
    <row r="193" spans="2:4" ht="15.75" x14ac:dyDescent="0.25">
      <c r="B193" s="11" t="s">
        <v>195</v>
      </c>
    </row>
    <row r="194" spans="2:4" x14ac:dyDescent="0.25">
      <c r="B194" s="15">
        <v>128522</v>
      </c>
      <c r="D194" s="14">
        <v>1.9093253911070081E-2</v>
      </c>
    </row>
    <row r="195" spans="2:4" ht="15.75" x14ac:dyDescent="0.25">
      <c r="B195" s="11" t="s">
        <v>196</v>
      </c>
    </row>
    <row r="196" spans="2:4" x14ac:dyDescent="0.25">
      <c r="B196" s="15">
        <v>1136873</v>
      </c>
      <c r="D196" s="14">
        <v>0.16889407925211231</v>
      </c>
    </row>
    <row r="197" spans="2:4" ht="15.75" x14ac:dyDescent="0.25">
      <c r="B197" s="11" t="s">
        <v>197</v>
      </c>
    </row>
    <row r="198" spans="2:4" x14ac:dyDescent="0.25">
      <c r="B198" s="15">
        <v>93285</v>
      </c>
      <c r="D198" s="14">
        <v>1.3858438174741854E-2</v>
      </c>
    </row>
    <row r="199" spans="2:4" ht="15.75" x14ac:dyDescent="0.25">
      <c r="B199" s="11" t="s">
        <v>198</v>
      </c>
    </row>
    <row r="200" spans="2:4" x14ac:dyDescent="0.25">
      <c r="B200" s="15">
        <v>67615</v>
      </c>
      <c r="D200" s="14">
        <v>1.0044897863377504E-2</v>
      </c>
    </row>
    <row r="204" spans="2:4" ht="21" x14ac:dyDescent="0.35">
      <c r="B204" s="12" t="s">
        <v>199</v>
      </c>
    </row>
    <row r="206" spans="2:4" ht="15.75" x14ac:dyDescent="0.25">
      <c r="B206" s="11" t="s">
        <v>201</v>
      </c>
    </row>
    <row r="207" spans="2:4" x14ac:dyDescent="0.25">
      <c r="B207" s="15">
        <v>2759195</v>
      </c>
      <c r="D207" s="14">
        <v>0.40990655860595865</v>
      </c>
    </row>
    <row r="208" spans="2:4" ht="15.75" x14ac:dyDescent="0.25">
      <c r="B208" s="11" t="s">
        <v>200</v>
      </c>
    </row>
    <row r="209" spans="2:4" x14ac:dyDescent="0.25">
      <c r="B209" s="15">
        <v>2153436</v>
      </c>
      <c r="D209" s="14">
        <v>0.31991488094831322</v>
      </c>
    </row>
    <row r="210" spans="2:4" ht="15.75" x14ac:dyDescent="0.25">
      <c r="B210" s="11" t="s">
        <v>202</v>
      </c>
    </row>
    <row r="211" spans="2:4" x14ac:dyDescent="0.25">
      <c r="B211" s="15">
        <v>73649</v>
      </c>
      <c r="D211" s="14">
        <v>1.094131010485676E-2</v>
      </c>
    </row>
    <row r="212" spans="2:4" ht="15.75" x14ac:dyDescent="0.25">
      <c r="B212" s="11" t="s">
        <v>203</v>
      </c>
    </row>
    <row r="213" spans="2:4" x14ac:dyDescent="0.25">
      <c r="B213" s="15">
        <v>121360</v>
      </c>
      <c r="D213" s="14">
        <v>1.8029265764985491E-2</v>
      </c>
    </row>
    <row r="214" spans="2:4" ht="15.75" x14ac:dyDescent="0.25">
      <c r="B214" s="11" t="s">
        <v>204</v>
      </c>
    </row>
    <row r="215" spans="2:4" x14ac:dyDescent="0.25">
      <c r="B215" s="15">
        <v>63988</v>
      </c>
      <c r="D215" s="14">
        <v>9.5060700211757714E-3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4483-E32E-4C0F-8F8C-852175963121}">
  <dimension ref="A1:M6"/>
  <sheetViews>
    <sheetView topLeftCell="D1" workbookViewId="0">
      <selection activeCell="K2" sqref="K2"/>
    </sheetView>
  </sheetViews>
  <sheetFormatPr defaultRowHeight="15" x14ac:dyDescent="0.25"/>
  <cols>
    <col min="2" max="12" width="23.28515625" customWidth="1"/>
    <col min="13" max="13" width="18.42578125" customWidth="1"/>
  </cols>
  <sheetData>
    <row r="1" spans="1:13" x14ac:dyDescent="0.25">
      <c r="A1" s="4" t="s">
        <v>0</v>
      </c>
      <c r="B1" s="2" t="s">
        <v>79</v>
      </c>
      <c r="C1" s="2" t="s">
        <v>98</v>
      </c>
      <c r="D1" s="2" t="s">
        <v>80</v>
      </c>
      <c r="E1" s="2" t="s">
        <v>99</v>
      </c>
      <c r="F1" s="2" t="s">
        <v>81</v>
      </c>
      <c r="G1" s="2" t="s">
        <v>100</v>
      </c>
      <c r="H1" s="2" t="s">
        <v>82</v>
      </c>
      <c r="I1" s="2" t="s">
        <v>101</v>
      </c>
      <c r="J1" s="2" t="s">
        <v>83</v>
      </c>
      <c r="K1" s="2" t="s">
        <v>102</v>
      </c>
    </row>
    <row r="2" spans="1:13" x14ac:dyDescent="0.25">
      <c r="A2" s="5">
        <v>2017</v>
      </c>
      <c r="B2" s="3">
        <v>2759195</v>
      </c>
      <c r="C2" s="7">
        <f>Outros[[#This Row],[Sem computador]]/Total[[#This Row],[Total de Candidatos]]</f>
        <v>0.40990655860595865</v>
      </c>
      <c r="D2" s="3">
        <v>2153436</v>
      </c>
      <c r="E2" s="7">
        <f>Outros[[#This Row],[Sem acesso a internet]]/Total[[#This Row],[Total de Candidatos]]</f>
        <v>0.31991488094831322</v>
      </c>
      <c r="F2" s="3">
        <v>73649</v>
      </c>
      <c r="G2" s="7">
        <f>Outros[[#This Row],[Sem banheiro]]/Total[[#This Row],[Total de Candidatos]]</f>
        <v>1.094131010485676E-2</v>
      </c>
      <c r="H2" s="3">
        <v>121360</v>
      </c>
      <c r="I2" s="7">
        <f>Outros[[#This Row],[Sem geladeira]]/Total[[#This Row],[Total de Candidatos]]</f>
        <v>1.8029265764985491E-2</v>
      </c>
      <c r="J2" s="3">
        <v>63988</v>
      </c>
      <c r="K2" s="7">
        <f>Outros[[#This Row],[Sem quarto]]/Total[[#This Row],[Total de Candidatos]]</f>
        <v>9.5060700211757714E-3</v>
      </c>
      <c r="L2" s="1"/>
      <c r="M2" s="1"/>
    </row>
    <row r="3" spans="1:13" x14ac:dyDescent="0.25">
      <c r="A3" s="6">
        <v>2018</v>
      </c>
      <c r="B3" s="3">
        <v>2335635</v>
      </c>
      <c r="C3" s="7">
        <f>Outros[[#This Row],[Sem computador]]/Total[[#This Row],[Total de Candidatos]]</f>
        <v>0.42360321038396309</v>
      </c>
      <c r="D3" s="3">
        <v>1427467</v>
      </c>
      <c r="E3" s="7">
        <f>Outros[[#This Row],[Sem acesso a internet]]/Total[[#This Row],[Total de Candidatos]]</f>
        <v>0.25889302220473859</v>
      </c>
      <c r="F3" s="3">
        <v>55603</v>
      </c>
      <c r="G3" s="7">
        <f>Outros[[#This Row],[Sem banheiro]]/Total[[#This Row],[Total de Candidatos]]</f>
        <v>1.0084456392792325E-2</v>
      </c>
      <c r="H3" s="3">
        <v>95608</v>
      </c>
      <c r="I3" s="7">
        <f>Outros[[#This Row],[Sem geladeira]]/Total[[#This Row],[Total de Candidatos]]</f>
        <v>1.7339976382606849E-2</v>
      </c>
      <c r="J3" s="3">
        <v>48445</v>
      </c>
      <c r="K3" s="7">
        <f>Outros[[#This Row],[Sem quarto]]/Total[[#This Row],[Total de Candidatos]]</f>
        <v>8.7862433672432089E-3</v>
      </c>
      <c r="L3" s="1"/>
      <c r="M3" s="1"/>
    </row>
    <row r="4" spans="1:13" x14ac:dyDescent="0.25">
      <c r="A4" s="5">
        <v>2019</v>
      </c>
      <c r="B4" s="3">
        <v>2345423</v>
      </c>
      <c r="C4" s="7">
        <f>Outros[[#This Row],[Sem computador]]/Total[[#This Row],[Total de Candidatos]]</f>
        <v>0.46032272518429707</v>
      </c>
      <c r="D4" s="3">
        <v>1140438</v>
      </c>
      <c r="E4" s="7">
        <f>Outros[[#This Row],[Sem acesso a internet]]/Total[[#This Row],[Total de Candidatos]]</f>
        <v>0.22382722778097144</v>
      </c>
      <c r="F4" s="3">
        <v>49410</v>
      </c>
      <c r="G4" s="7">
        <f>Outros[[#This Row],[Sem banheiro]]/Total[[#This Row],[Total de Candidatos]]</f>
        <v>9.6974174173938416E-3</v>
      </c>
      <c r="H4" s="3">
        <v>87412</v>
      </c>
      <c r="I4" s="7">
        <f>Outros[[#This Row],[Sem geladeira]]/Total[[#This Row],[Total de Candidatos]]</f>
        <v>1.7155852080332535E-2</v>
      </c>
      <c r="J4" s="3">
        <v>40896</v>
      </c>
      <c r="K4" s="7">
        <f>Outros[[#This Row],[Sem quarto]]/Total[[#This Row],[Total de Candidatos]]</f>
        <v>8.0264234507536648E-3</v>
      </c>
    </row>
    <row r="5" spans="1:13" x14ac:dyDescent="0.25">
      <c r="A5" s="6">
        <v>2020</v>
      </c>
      <c r="B5" s="3">
        <v>2844982</v>
      </c>
      <c r="C5" s="7">
        <f>Outros[[#This Row],[Sem computador]]/Total[[#This Row],[Total de Candidatos]]</f>
        <v>0.49194680577523264</v>
      </c>
      <c r="D5" s="3">
        <v>1052332</v>
      </c>
      <c r="E5" s="7">
        <f>Outros[[#This Row],[Sem acesso a internet]]/Total[[#This Row],[Total de Candidatos]]</f>
        <v>0.18196648204279048</v>
      </c>
      <c r="F5" s="3">
        <v>45052</v>
      </c>
      <c r="G5" s="7">
        <f>Outros[[#This Row],[Sem banheiro]]/Total[[#This Row],[Total de Candidatos]]</f>
        <v>7.7902733633414137E-3</v>
      </c>
      <c r="H5" s="3">
        <v>93629</v>
      </c>
      <c r="I5" s="7">
        <f>Outros[[#This Row],[Sem geladeira]]/Total[[#This Row],[Total de Candidatos]]</f>
        <v>1.6190080456723193E-2</v>
      </c>
      <c r="J5" s="3">
        <v>50481</v>
      </c>
      <c r="K5" s="7">
        <f>Outros[[#This Row],[Sem quarto]]/Total[[#This Row],[Total de Candidatos]]</f>
        <v>8.7290417662886869E-3</v>
      </c>
    </row>
    <row r="6" spans="1:13" x14ac:dyDescent="0.25">
      <c r="A6" s="5">
        <v>2021</v>
      </c>
      <c r="B6" s="3">
        <v>1436524</v>
      </c>
      <c r="C6" s="7">
        <f>Outros[[#This Row],[Sem computador]]/Total[[#This Row],[Total de Candidatos]]</f>
        <v>0.42377439353926682</v>
      </c>
      <c r="D6" s="3">
        <v>352198</v>
      </c>
      <c r="E6" s="7">
        <f>Outros[[#This Row],[Sem acesso a internet]]/Total[[#This Row],[Total de Candidatos]]</f>
        <v>0.10389836428471971</v>
      </c>
      <c r="F6" s="3">
        <v>22665</v>
      </c>
      <c r="G6" s="7">
        <f>Outros[[#This Row],[Sem banheiro]]/Total[[#This Row],[Total de Candidatos]]</f>
        <v>6.6861720580842941E-3</v>
      </c>
      <c r="H6" s="3">
        <v>44569</v>
      </c>
      <c r="I6" s="7">
        <f>Outros[[#This Row],[Sem geladeira]]/Total[[#This Row],[Total de Candidatos]]</f>
        <v>1.3147849214946345E-2</v>
      </c>
      <c r="J6" s="3">
        <v>23991</v>
      </c>
      <c r="K6" s="7">
        <f>Outros[[#This Row],[Sem quarto]]/Total[[#This Row],[Total de Candidatos]]</f>
        <v>7.0773418859695703E-3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7502-F35F-492B-8458-DF5F336C1381}">
  <dimension ref="A1:D6"/>
  <sheetViews>
    <sheetView workbookViewId="0">
      <selection activeCell="B2" sqref="B2"/>
    </sheetView>
  </sheetViews>
  <sheetFormatPr defaultRowHeight="15" x14ac:dyDescent="0.25"/>
  <cols>
    <col min="1" max="2" width="25.140625" customWidth="1"/>
    <col min="3" max="3" width="9.85546875" bestFit="1" customWidth="1"/>
    <col min="4" max="4" width="10.8554687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2">
        <v>2017</v>
      </c>
      <c r="B2" s="3">
        <v>6731278</v>
      </c>
      <c r="C2" s="1"/>
      <c r="D2" s="1"/>
    </row>
    <row r="3" spans="1:4" x14ac:dyDescent="0.25">
      <c r="A3" s="2">
        <v>2018</v>
      </c>
      <c r="B3" s="3">
        <v>5513733</v>
      </c>
    </row>
    <row r="4" spans="1:4" x14ac:dyDescent="0.25">
      <c r="A4" s="2">
        <v>2019</v>
      </c>
      <c r="B4" s="3">
        <v>5095171</v>
      </c>
    </row>
    <row r="5" spans="1:4" x14ac:dyDescent="0.25">
      <c r="A5" s="2">
        <v>2020</v>
      </c>
      <c r="B5" s="3">
        <v>5783109</v>
      </c>
    </row>
    <row r="6" spans="1:4" x14ac:dyDescent="0.25">
      <c r="A6" s="2">
        <v>2021</v>
      </c>
      <c r="B6" s="3">
        <v>3389832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9A08-4C30-44C0-856A-97D210FC09B1}">
  <dimension ref="A1:U6"/>
  <sheetViews>
    <sheetView topLeftCell="K1" workbookViewId="0">
      <selection activeCell="U2" sqref="U2"/>
    </sheetView>
  </sheetViews>
  <sheetFormatPr defaultRowHeight="15" x14ac:dyDescent="0.25"/>
  <cols>
    <col min="1" max="21" width="15.85546875" customWidth="1"/>
  </cols>
  <sheetData>
    <row r="1" spans="1:21" x14ac:dyDescent="0.25">
      <c r="A1" s="2" t="s">
        <v>0</v>
      </c>
      <c r="B1" s="2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12</v>
      </c>
    </row>
    <row r="2" spans="1:21" x14ac:dyDescent="0.25">
      <c r="A2" s="2">
        <v>2017</v>
      </c>
      <c r="B2" s="3">
        <v>404148</v>
      </c>
      <c r="C2" s="3">
        <v>965948</v>
      </c>
      <c r="D2" s="3">
        <v>980662</v>
      </c>
      <c r="E2" s="3">
        <v>694353</v>
      </c>
      <c r="F2" s="3">
        <v>550471</v>
      </c>
      <c r="G2" s="3">
        <v>427367</v>
      </c>
      <c r="H2" s="3">
        <v>349924</v>
      </c>
      <c r="I2" s="3">
        <v>286688</v>
      </c>
      <c r="J2" s="3">
        <v>240521</v>
      </c>
      <c r="K2" s="3">
        <v>198306</v>
      </c>
      <c r="L2" s="3">
        <v>675889</v>
      </c>
      <c r="M2" s="3">
        <v>399838</v>
      </c>
      <c r="N2" s="3">
        <v>250983</v>
      </c>
      <c r="O2" s="3">
        <v>145200</v>
      </c>
      <c r="P2" s="3">
        <v>85666</v>
      </c>
      <c r="Q2" s="3">
        <v>46095</v>
      </c>
      <c r="R2" s="3">
        <v>19601</v>
      </c>
      <c r="S2" s="3">
        <v>6789</v>
      </c>
      <c r="T2" s="3">
        <v>2084</v>
      </c>
      <c r="U2" s="3">
        <v>745</v>
      </c>
    </row>
    <row r="3" spans="1:21" x14ac:dyDescent="0.25">
      <c r="A3" s="2">
        <v>2018</v>
      </c>
      <c r="B3" s="3">
        <v>390454</v>
      </c>
      <c r="C3" s="3">
        <v>878292</v>
      </c>
      <c r="D3" s="3">
        <v>928789</v>
      </c>
      <c r="E3" s="3">
        <v>617457</v>
      </c>
      <c r="F3" s="3">
        <v>424792</v>
      </c>
      <c r="G3" s="3">
        <v>325778</v>
      </c>
      <c r="H3" s="3">
        <v>254331</v>
      </c>
      <c r="I3" s="3">
        <v>208829</v>
      </c>
      <c r="J3" s="3">
        <v>171932</v>
      </c>
      <c r="K3" s="3">
        <v>143814</v>
      </c>
      <c r="L3" s="3">
        <v>470384</v>
      </c>
      <c r="M3" s="3">
        <v>279899</v>
      </c>
      <c r="N3" s="3">
        <v>186454</v>
      </c>
      <c r="O3" s="3">
        <v>107100</v>
      </c>
      <c r="P3" s="3">
        <v>64532</v>
      </c>
      <c r="Q3" s="3">
        <v>35940</v>
      </c>
      <c r="R3" s="3">
        <v>16252</v>
      </c>
      <c r="S3" s="3">
        <v>6011</v>
      </c>
      <c r="T3" s="3">
        <v>1993</v>
      </c>
      <c r="U3" s="3">
        <v>700</v>
      </c>
    </row>
    <row r="4" spans="1:21" x14ac:dyDescent="0.25">
      <c r="A4" s="2">
        <v>2019</v>
      </c>
      <c r="B4" s="3">
        <v>400661</v>
      </c>
      <c r="C4" s="3">
        <v>847284</v>
      </c>
      <c r="D4" s="3">
        <v>864166</v>
      </c>
      <c r="E4" s="3">
        <v>577155</v>
      </c>
      <c r="F4" s="3">
        <v>409378</v>
      </c>
      <c r="G4" s="3">
        <v>290307</v>
      </c>
      <c r="H4" s="3">
        <v>233034</v>
      </c>
      <c r="I4" s="3">
        <v>187679</v>
      </c>
      <c r="J4" s="3">
        <v>156259</v>
      </c>
      <c r="K4" s="3">
        <v>128038</v>
      </c>
      <c r="L4" s="3">
        <v>403776</v>
      </c>
      <c r="M4" s="3">
        <v>235044</v>
      </c>
      <c r="N4" s="3">
        <v>158944</v>
      </c>
      <c r="O4" s="3">
        <v>93328</v>
      </c>
      <c r="P4" s="3">
        <v>55930</v>
      </c>
      <c r="Q4" s="3">
        <v>31186</v>
      </c>
      <c r="R4" s="3">
        <v>14743</v>
      </c>
      <c r="S4" s="3">
        <v>5623</v>
      </c>
      <c r="T4" s="3">
        <v>1919</v>
      </c>
      <c r="U4" s="3">
        <v>717</v>
      </c>
    </row>
    <row r="5" spans="1:21" x14ac:dyDescent="0.25">
      <c r="A5" s="2">
        <v>2020</v>
      </c>
      <c r="B5" s="3">
        <v>336805</v>
      </c>
      <c r="C5" s="3">
        <v>775404</v>
      </c>
      <c r="D5" s="3">
        <v>887715</v>
      </c>
      <c r="E5" s="3">
        <v>609450</v>
      </c>
      <c r="F5" s="3">
        <v>459606</v>
      </c>
      <c r="G5" s="3">
        <v>353734</v>
      </c>
      <c r="H5" s="3">
        <v>274709</v>
      </c>
      <c r="I5" s="3">
        <v>239812</v>
      </c>
      <c r="J5" s="3">
        <v>204689</v>
      </c>
      <c r="K5" s="3">
        <v>177344</v>
      </c>
      <c r="L5" s="3">
        <v>575442</v>
      </c>
      <c r="M5" s="3">
        <v>341808</v>
      </c>
      <c r="N5" s="3">
        <v>235027</v>
      </c>
      <c r="O5" s="3">
        <v>143795</v>
      </c>
      <c r="P5" s="3">
        <v>86079</v>
      </c>
      <c r="Q5" s="3">
        <v>47539</v>
      </c>
      <c r="R5" s="3">
        <v>22383</v>
      </c>
      <c r="S5" s="3">
        <v>8144</v>
      </c>
      <c r="T5" s="3">
        <v>2693</v>
      </c>
      <c r="U5" s="3">
        <v>931</v>
      </c>
    </row>
    <row r="6" spans="1:21" x14ac:dyDescent="0.25">
      <c r="A6" s="2">
        <v>2021</v>
      </c>
      <c r="B6" s="3">
        <v>274318</v>
      </c>
      <c r="C6" s="3">
        <v>620784</v>
      </c>
      <c r="D6" s="3">
        <v>699365</v>
      </c>
      <c r="E6" s="3">
        <v>394689</v>
      </c>
      <c r="F6" s="3">
        <v>250690</v>
      </c>
      <c r="G6" s="3">
        <v>177086</v>
      </c>
      <c r="H6" s="3">
        <v>132052</v>
      </c>
      <c r="I6" s="3">
        <v>100580</v>
      </c>
      <c r="J6" s="3">
        <v>85742</v>
      </c>
      <c r="K6" s="3">
        <v>71199</v>
      </c>
      <c r="L6" s="3">
        <v>227574</v>
      </c>
      <c r="M6" s="3">
        <v>130746</v>
      </c>
      <c r="N6" s="3">
        <v>93073</v>
      </c>
      <c r="O6" s="3">
        <v>58754</v>
      </c>
      <c r="P6" s="3">
        <v>35808</v>
      </c>
      <c r="Q6" s="3">
        <v>20564</v>
      </c>
      <c r="R6" s="3">
        <v>10804</v>
      </c>
      <c r="S6" s="3">
        <v>4102</v>
      </c>
      <c r="T6" s="3">
        <v>1342</v>
      </c>
      <c r="U6" s="3">
        <v>560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02DF-AA4C-4971-A405-163A249C5C95}">
  <dimension ref="A1:F6"/>
  <sheetViews>
    <sheetView workbookViewId="0">
      <selection activeCell="E2" sqref="E2"/>
    </sheetView>
  </sheetViews>
  <sheetFormatPr defaultRowHeight="15" x14ac:dyDescent="0.25"/>
  <cols>
    <col min="1" max="1" width="11.42578125" customWidth="1"/>
    <col min="2" max="5" width="37.140625" customWidth="1"/>
  </cols>
  <sheetData>
    <row r="1" spans="1:6" x14ac:dyDescent="0.25">
      <c r="A1" s="4" t="s">
        <v>0</v>
      </c>
      <c r="B1" s="2" t="s">
        <v>22</v>
      </c>
      <c r="C1" s="2" t="s">
        <v>92</v>
      </c>
      <c r="D1" s="2" t="s">
        <v>23</v>
      </c>
      <c r="E1" s="2" t="s">
        <v>93</v>
      </c>
      <c r="F1" s="2"/>
    </row>
    <row r="2" spans="1:6" x14ac:dyDescent="0.25">
      <c r="A2" s="5">
        <v>2017</v>
      </c>
      <c r="B2" s="3">
        <v>2784564</v>
      </c>
      <c r="C2" s="8">
        <f>Sexo[[#This Row],[Masculino]]/Total[[#This Row],[Total de Candidatos]]</f>
        <v>0.41367538229738843</v>
      </c>
      <c r="D2" s="3">
        <v>3946714</v>
      </c>
      <c r="E2" s="8">
        <f>Sexo[[#This Row],[Feminino]]/Total[[#This Row],[Total de Candidatos]]</f>
        <v>0.58632461770261157</v>
      </c>
      <c r="F2" s="2"/>
    </row>
    <row r="3" spans="1:6" x14ac:dyDescent="0.25">
      <c r="A3" s="6">
        <v>2018</v>
      </c>
      <c r="B3" s="3">
        <v>2256035</v>
      </c>
      <c r="C3" s="8">
        <f>Sexo[[#This Row],[Masculino]]/Total[[#This Row],[Total de Candidatos]]</f>
        <v>0.40916653018925653</v>
      </c>
      <c r="D3" s="3">
        <v>3257698</v>
      </c>
      <c r="E3" s="8">
        <f>Sexo[[#This Row],[Feminino]]/Total[[#This Row],[Total de Candidatos]]</f>
        <v>0.59083346981074347</v>
      </c>
      <c r="F3" s="2"/>
    </row>
    <row r="4" spans="1:6" x14ac:dyDescent="0.25">
      <c r="A4" s="5">
        <v>2019</v>
      </c>
      <c r="B4" s="3">
        <v>2063411</v>
      </c>
      <c r="C4" s="8">
        <f>Sexo[[#This Row],[Masculino]]/Total[[#This Row],[Total de Candidatos]]</f>
        <v>0.40497384680514159</v>
      </c>
      <c r="D4" s="3">
        <v>3031760</v>
      </c>
      <c r="E4" s="8">
        <f>Sexo[[#This Row],[Feminino]]/Total[[#This Row],[Total de Candidatos]]</f>
        <v>0.59502615319485841</v>
      </c>
      <c r="F4" s="2"/>
    </row>
    <row r="5" spans="1:6" x14ac:dyDescent="0.25">
      <c r="A5" s="6">
        <v>2020</v>
      </c>
      <c r="B5" s="3">
        <v>2314304</v>
      </c>
      <c r="C5" s="8">
        <f>Sexo[[#This Row],[Masculino]]/Total[[#This Row],[Total de Candidatos]]</f>
        <v>0.40018336157938578</v>
      </c>
      <c r="D5" s="3">
        <v>3468805</v>
      </c>
      <c r="E5" s="8">
        <f>Sexo[[#This Row],[Feminino]]/Total[[#This Row],[Total de Candidatos]]</f>
        <v>0.59981663842061428</v>
      </c>
      <c r="F5" s="2"/>
    </row>
    <row r="6" spans="1:6" x14ac:dyDescent="0.25">
      <c r="A6" s="5">
        <v>2021</v>
      </c>
      <c r="B6" s="3">
        <v>1299306</v>
      </c>
      <c r="C6" s="8">
        <f>Sexo[[#This Row],[Masculino]]/Total[[#This Row],[Total de Candidatos]]</f>
        <v>0.38329510135015543</v>
      </c>
      <c r="D6" s="3">
        <v>2090526</v>
      </c>
      <c r="E6" s="8">
        <f>Sexo[[#This Row],[Feminino]]/Total[[#This Row],[Total de Candidatos]]</f>
        <v>0.61670489864984457</v>
      </c>
      <c r="F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1930-A249-4DEA-BAF1-2932320E346F}">
  <dimension ref="A1:K6"/>
  <sheetViews>
    <sheetView topLeftCell="F1" workbookViewId="0">
      <selection activeCell="K2" sqref="K2"/>
    </sheetView>
  </sheetViews>
  <sheetFormatPr defaultRowHeight="15" x14ac:dyDescent="0.25"/>
  <cols>
    <col min="2" max="11" width="27.85546875" customWidth="1"/>
  </cols>
  <sheetData>
    <row r="1" spans="1:11" x14ac:dyDescent="0.25">
      <c r="A1" s="4" t="s">
        <v>0</v>
      </c>
      <c r="B1" s="2" t="s">
        <v>24</v>
      </c>
      <c r="C1" s="2" t="s">
        <v>87</v>
      </c>
      <c r="D1" s="2" t="s">
        <v>26</v>
      </c>
      <c r="E1" s="2" t="s">
        <v>88</v>
      </c>
      <c r="F1" s="2" t="s">
        <v>25</v>
      </c>
      <c r="G1" s="2" t="s">
        <v>89</v>
      </c>
      <c r="H1" s="2" t="s">
        <v>27</v>
      </c>
      <c r="I1" s="2" t="s">
        <v>90</v>
      </c>
      <c r="J1" s="2" t="s">
        <v>28</v>
      </c>
      <c r="K1" s="2" t="s">
        <v>91</v>
      </c>
    </row>
    <row r="2" spans="1:11" x14ac:dyDescent="0.25">
      <c r="A2" s="5">
        <v>2017</v>
      </c>
      <c r="B2" s="3">
        <v>2355229</v>
      </c>
      <c r="C2" s="7">
        <f>Raca[[#This Row],[Branco]]/Total[[#This Row],[Total de Candidatos]]</f>
        <v>0.34989328920897339</v>
      </c>
      <c r="D2" s="3">
        <v>894907</v>
      </c>
      <c r="E2" s="7">
        <f>Raca[[#This Row],[Negro]]/Total[[#This Row],[Total de Candidatos]]</f>
        <v>0.13294756211227646</v>
      </c>
      <c r="F2" s="3">
        <v>3154495</v>
      </c>
      <c r="G2" s="7">
        <f>Raca[[#This Row],[Pardo]]/Total[[#This Row],[Total de Candidatos]]</f>
        <v>0.46863240531738548</v>
      </c>
      <c r="H2" s="3">
        <v>155344</v>
      </c>
      <c r="I2" s="7">
        <f>Raca[[#This Row],[Amarelo]]/Total[[#This Row],[Total de Candidatos]]</f>
        <v>2.3077935571818607E-2</v>
      </c>
      <c r="J2" s="3">
        <v>43797</v>
      </c>
      <c r="K2" s="7">
        <f>Raca[[#This Row],[Indígena]]/Total[[#This Row],[Total de Candidatos]]</f>
        <v>6.5064910407800717E-3</v>
      </c>
    </row>
    <row r="3" spans="1:11" x14ac:dyDescent="0.25">
      <c r="A3" s="6">
        <v>2018</v>
      </c>
      <c r="B3" s="3">
        <v>1981654</v>
      </c>
      <c r="C3" s="7">
        <f>Raca[[#This Row],[Branco]]/Total[[#This Row],[Total de Candidatos]]</f>
        <v>0.35940332983116885</v>
      </c>
      <c r="D3" s="3">
        <v>698694</v>
      </c>
      <c r="E3" s="7">
        <f>Raca[[#This Row],[Negro]]/Total[[#This Row],[Total de Candidatos]]</f>
        <v>0.12671886723568224</v>
      </c>
      <c r="F3" s="3">
        <v>2561307</v>
      </c>
      <c r="G3" s="7">
        <f>Raca[[#This Row],[Pardo]]/Total[[#This Row],[Total de Candidatos]]</f>
        <v>0.46453228692793069</v>
      </c>
      <c r="H3" s="3">
        <v>123611</v>
      </c>
      <c r="I3" s="7">
        <f>Raca[[#This Row],[Amarelo]]/Total[[#This Row],[Total de Candidatos]]</f>
        <v>2.2418749692812472E-2</v>
      </c>
      <c r="J3" s="3">
        <v>34033</v>
      </c>
      <c r="K3" s="7">
        <f>Raca[[#This Row],[Indígena]]/Total[[#This Row],[Total de Candidatos]]</f>
        <v>6.1724062445533724E-3</v>
      </c>
    </row>
    <row r="4" spans="1:11" x14ac:dyDescent="0.25">
      <c r="A4" s="5">
        <v>2019</v>
      </c>
      <c r="B4" s="3">
        <v>1831750</v>
      </c>
      <c r="C4" s="7">
        <f>Raca[[#This Row],[Branco]]/Total[[#This Row],[Total de Candidatos]]</f>
        <v>0.3595070705183398</v>
      </c>
      <c r="D4" s="3">
        <v>648298</v>
      </c>
      <c r="E4" s="7">
        <f>Raca[[#This Row],[Negro]]/Total[[#This Row],[Total de Candidatos]]</f>
        <v>0.12723773156975496</v>
      </c>
      <c r="F4" s="3">
        <v>2364011</v>
      </c>
      <c r="G4" s="7">
        <f>Raca[[#This Row],[Pardo]]/Total[[#This Row],[Total de Candidatos]]</f>
        <v>0.46397088537362141</v>
      </c>
      <c r="H4" s="3">
        <v>116157</v>
      </c>
      <c r="I4" s="7">
        <f>Raca[[#This Row],[Amarelo]]/Total[[#This Row],[Total de Candidatos]]</f>
        <v>2.2797468426476755E-2</v>
      </c>
      <c r="J4" s="3">
        <v>31756</v>
      </c>
      <c r="K4" s="7">
        <f>Raca[[#This Row],[Indígena]]/Total[[#This Row],[Total de Candidatos]]</f>
        <v>6.2325680531624943E-3</v>
      </c>
    </row>
    <row r="5" spans="1:11" x14ac:dyDescent="0.25">
      <c r="A5" s="6">
        <v>2020</v>
      </c>
      <c r="B5" s="3">
        <v>2007633</v>
      </c>
      <c r="C5" s="7">
        <f>Raca[[#This Row],[Branco]]/Total[[#This Row],[Total de Candidatos]]</f>
        <v>0.34715461873535497</v>
      </c>
      <c r="D5" s="3">
        <v>771740</v>
      </c>
      <c r="E5" s="7">
        <f>Raca[[#This Row],[Negro]]/Total[[#This Row],[Total de Candidatos]]</f>
        <v>0.13344725129683704</v>
      </c>
      <c r="F5" s="3">
        <v>2720485</v>
      </c>
      <c r="G5" s="7">
        <f>Raca[[#This Row],[Pardo]]/Total[[#This Row],[Total de Candidatos]]</f>
        <v>0.47041911193442837</v>
      </c>
      <c r="H5" s="3">
        <v>128522</v>
      </c>
      <c r="I5" s="7">
        <f>Raca[[#This Row],[Amarelo]]/Total[[#This Row],[Total de Candidatos]]</f>
        <v>2.2223686255956786E-2</v>
      </c>
      <c r="J5" s="3">
        <v>37846</v>
      </c>
      <c r="K5" s="7">
        <f>Raca[[#This Row],[Indígena]]/Total[[#This Row],[Total de Candidatos]]</f>
        <v>6.544230793505708E-3</v>
      </c>
    </row>
    <row r="6" spans="1:11" x14ac:dyDescent="0.25">
      <c r="A6" s="5">
        <v>2021</v>
      </c>
      <c r="B6" s="3">
        <v>1362256</v>
      </c>
      <c r="C6" s="7">
        <f>Raca[[#This Row],[Branco]]/Total[[#This Row],[Total de Candidatos]]</f>
        <v>0.40186534317924899</v>
      </c>
      <c r="D6" s="3">
        <v>411302</v>
      </c>
      <c r="E6" s="7">
        <f>Raca[[#This Row],[Negro]]/Total[[#This Row],[Total de Candidatos]]</f>
        <v>0.12133403661302389</v>
      </c>
      <c r="F6" s="3">
        <v>1457454</v>
      </c>
      <c r="G6" s="7">
        <f>Raca[[#This Row],[Pardo]]/Total[[#This Row],[Total de Candidatos]]</f>
        <v>0.42994874082255402</v>
      </c>
      <c r="H6" s="3">
        <v>68491</v>
      </c>
      <c r="I6" s="7">
        <f>Raca[[#This Row],[Amarelo]]/Total[[#This Row],[Total de Candidatos]]</f>
        <v>2.0204836109872112E-2</v>
      </c>
      <c r="J6" s="3">
        <v>19175</v>
      </c>
      <c r="K6" s="7">
        <f>Raca[[#This Row],[Indígena]]/Total[[#This Row],[Total de Candidatos]]</f>
        <v>5.6566225110860954E-3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2A97-F7FF-462A-9EAB-A29F87A8A2B0}">
  <dimension ref="A1:I6"/>
  <sheetViews>
    <sheetView topLeftCell="F1" workbookViewId="0">
      <selection activeCell="G2" sqref="G2"/>
    </sheetView>
  </sheetViews>
  <sheetFormatPr defaultRowHeight="15" x14ac:dyDescent="0.25"/>
  <cols>
    <col min="1" max="9" width="40.140625" customWidth="1"/>
  </cols>
  <sheetData>
    <row r="1" spans="1:9" x14ac:dyDescent="0.25">
      <c r="A1" s="4" t="s">
        <v>0</v>
      </c>
      <c r="B1" s="2" t="s">
        <v>29</v>
      </c>
      <c r="C1" s="2" t="s">
        <v>94</v>
      </c>
      <c r="D1" s="2" t="s">
        <v>30</v>
      </c>
      <c r="E1" s="2" t="s">
        <v>95</v>
      </c>
      <c r="F1" s="2" t="s">
        <v>31</v>
      </c>
      <c r="G1" s="2" t="s">
        <v>96</v>
      </c>
      <c r="H1" s="2" t="s">
        <v>32</v>
      </c>
      <c r="I1" s="2" t="s">
        <v>97</v>
      </c>
    </row>
    <row r="2" spans="1:9" x14ac:dyDescent="0.25">
      <c r="A2" s="5">
        <v>2017</v>
      </c>
      <c r="B2" s="3">
        <v>6501506</v>
      </c>
      <c r="C2" s="7">
        <f>Nacionalidade[[#This Row],[Brasileiro]]/Total[[#This Row],[Total de Candidatos]]</f>
        <v>0.96586502592821155</v>
      </c>
      <c r="D2" s="3">
        <v>202616</v>
      </c>
      <c r="E2" s="7">
        <f>Nacionalidade[[#This Row],[Brasileiro Naturalizado]]/Total[[#This Row],[Total de Candidatos]]</f>
        <v>3.0100673304534444E-2</v>
      </c>
      <c r="F2" s="3">
        <v>8300</v>
      </c>
      <c r="G2" s="7">
        <f>Nacionalidade[[#This Row],[Estrangeiro]]/Total[[#This Row],[Total de Candidatos]]</f>
        <v>1.2330496526811105E-3</v>
      </c>
      <c r="H2" s="3">
        <v>16367</v>
      </c>
      <c r="I2" s="7">
        <f>Nacionalidade[[#This Row],[Brasileiro nascido no Exterior]]/Total[[#This Row],[Total de Candidatos]]</f>
        <v>2.4314847789676788E-3</v>
      </c>
    </row>
    <row r="3" spans="1:9" x14ac:dyDescent="0.25">
      <c r="A3" s="6">
        <v>2018</v>
      </c>
      <c r="B3" s="3">
        <v>5327950</v>
      </c>
      <c r="C3" s="7">
        <f>Nacionalidade[[#This Row],[Brasileiro]]/Total[[#This Row],[Total de Candidatos]]</f>
        <v>0.96630540506767371</v>
      </c>
      <c r="D3" s="3">
        <v>164645</v>
      </c>
      <c r="E3" s="7">
        <f>Nacionalidade[[#This Row],[Brasileiro Naturalizado]]/Total[[#This Row],[Total de Candidatos]]</f>
        <v>2.9860894606249522E-2</v>
      </c>
      <c r="F3" s="3">
        <v>6876</v>
      </c>
      <c r="G3" s="7">
        <f>Nacionalidade[[#This Row],[Estrangeiro]]/Total[[#This Row],[Total de Candidatos]]</f>
        <v>1.2470680027487728E-3</v>
      </c>
      <c r="H3" s="3">
        <v>12475</v>
      </c>
      <c r="I3" s="7">
        <f>Nacionalidade[[#This Row],[Brasileiro nascido no Exterior]]/Total[[#This Row],[Total de Candidatos]]</f>
        <v>2.2625324802633714E-3</v>
      </c>
    </row>
    <row r="4" spans="1:9" x14ac:dyDescent="0.25">
      <c r="A4" s="5">
        <v>2019</v>
      </c>
      <c r="B4" s="3">
        <v>4949923</v>
      </c>
      <c r="C4" s="7">
        <f>Nacionalidade[[#This Row],[Brasileiro]]/Total[[#This Row],[Total de Candidatos]]</f>
        <v>0.97149300779110259</v>
      </c>
      <c r="D4" s="3">
        <v>124331</v>
      </c>
      <c r="E4" s="7">
        <f>Nacionalidade[[#This Row],[Brasileiro Naturalizado]]/Total[[#This Row],[Total de Candidatos]]</f>
        <v>2.4401732542440675E-2</v>
      </c>
      <c r="F4" s="3">
        <v>5935</v>
      </c>
      <c r="G4" s="7">
        <f>Nacionalidade[[#This Row],[Estrangeiro]]/Total[[#This Row],[Total de Candidatos]]</f>
        <v>1.1648284228340914E-3</v>
      </c>
      <c r="H4" s="3">
        <v>8233</v>
      </c>
      <c r="I4" s="7">
        <f>Nacionalidade[[#This Row],[Brasileiro nascido no Exterior]]/Total[[#This Row],[Total de Candidatos]]</f>
        <v>1.6158437076989173E-3</v>
      </c>
    </row>
    <row r="5" spans="1:9" x14ac:dyDescent="0.25">
      <c r="A5" s="6">
        <v>2020</v>
      </c>
      <c r="B5" s="3">
        <v>5624622</v>
      </c>
      <c r="C5" s="7">
        <f>Nacionalidade[[#This Row],[Brasileiro]]/Total[[#This Row],[Total de Candidatos]]</f>
        <v>0.97259484474527458</v>
      </c>
      <c r="D5" s="3">
        <v>139381</v>
      </c>
      <c r="E5" s="7">
        <f>Nacionalidade[[#This Row],[Brasileiro Naturalizado]]/Total[[#This Row],[Total de Candidatos]]</f>
        <v>2.4101395979221556E-2</v>
      </c>
      <c r="F5" s="3">
        <v>8036</v>
      </c>
      <c r="G5" s="7">
        <f>Nacionalidade[[#This Row],[Estrangeiro]]/Total[[#This Row],[Total de Candidatos]]</f>
        <v>1.3895639871218059E-3</v>
      </c>
      <c r="H5" s="3">
        <v>9411</v>
      </c>
      <c r="I5" s="7">
        <f>Nacionalidade[[#This Row],[Brasileiro nascido no Exterior]]/Total[[#This Row],[Total de Candidatos]]</f>
        <v>1.627325371180104E-3</v>
      </c>
    </row>
    <row r="6" spans="1:9" x14ac:dyDescent="0.25">
      <c r="A6" s="5">
        <v>2021</v>
      </c>
      <c r="B6" s="3">
        <v>3310876</v>
      </c>
      <c r="C6" s="7">
        <f>Nacionalidade[[#This Row],[Brasileiro]]/Total[[#This Row],[Total de Candidatos]]</f>
        <v>0.97670799024848431</v>
      </c>
      <c r="D6" s="3">
        <v>65525</v>
      </c>
      <c r="E6" s="7">
        <f>Nacionalidade[[#This Row],[Brasileiro Naturalizado]]/Total[[#This Row],[Total de Candidatos]]</f>
        <v>1.9329866494858742E-2</v>
      </c>
      <c r="F6" s="3">
        <v>4562</v>
      </c>
      <c r="G6" s="7">
        <f>Nacionalidade[[#This Row],[Estrangeiro]]/Total[[#This Row],[Total de Candidatos]]</f>
        <v>1.3457894078526605E-3</v>
      </c>
      <c r="H6" s="3">
        <v>6526</v>
      </c>
      <c r="I6" s="7">
        <f>Nacionalidade[[#This Row],[Brasileiro nascido no Exterior]]/Total[[#This Row],[Total de Candidatos]]</f>
        <v>1.9251691529255726E-3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763F-14E5-40A3-8753-73F15930F78D}">
  <dimension ref="A1:G6"/>
  <sheetViews>
    <sheetView topLeftCell="C1" workbookViewId="0">
      <selection activeCell="G2" sqref="G2"/>
    </sheetView>
  </sheetViews>
  <sheetFormatPr defaultRowHeight="15" x14ac:dyDescent="0.25"/>
  <cols>
    <col min="1" max="1" width="15.85546875" customWidth="1"/>
    <col min="2" max="7" width="31.42578125" customWidth="1"/>
  </cols>
  <sheetData>
    <row r="1" spans="1:7" x14ac:dyDescent="0.25">
      <c r="A1" s="4" t="s">
        <v>0</v>
      </c>
      <c r="B1" s="2" t="s">
        <v>33</v>
      </c>
      <c r="C1" s="2" t="s">
        <v>84</v>
      </c>
      <c r="D1" s="2" t="s">
        <v>34</v>
      </c>
      <c r="E1" s="2" t="s">
        <v>85</v>
      </c>
      <c r="F1" s="2" t="s">
        <v>35</v>
      </c>
      <c r="G1" s="2" t="s">
        <v>86</v>
      </c>
    </row>
    <row r="2" spans="1:7" x14ac:dyDescent="0.25">
      <c r="A2" s="5">
        <v>2017</v>
      </c>
      <c r="B2" s="3">
        <v>4944601</v>
      </c>
      <c r="C2" s="7">
        <f>Tipo_Escola[[#This Row],[Não Informou]]/Total[[#This Row],[Total de Candidatos]]</f>
        <v>0.73457090912008094</v>
      </c>
      <c r="D2" s="3">
        <v>1488632</v>
      </c>
      <c r="E2" s="7">
        <f>Tipo_Escola[[#This Row],[Pública]]/Total[[#This Row],[Total de Candidatos]]</f>
        <v>0.22115146633373337</v>
      </c>
      <c r="F2" s="3">
        <v>293449</v>
      </c>
      <c r="G2" s="7">
        <f>Tipo_Escola[[#This Row],[Particular]]/Total[[#This Row],[Total de Candidatos]]</f>
        <v>4.3594841871038459E-2</v>
      </c>
    </row>
    <row r="3" spans="1:7" x14ac:dyDescent="0.25">
      <c r="A3" s="6">
        <v>2018</v>
      </c>
      <c r="B3" s="3">
        <v>4110755</v>
      </c>
      <c r="C3" s="7">
        <f>Tipo_Escola[[#This Row],[Não Informou]]/Total[[#This Row],[Total de Candidatos]]</f>
        <v>0.74554843333908261</v>
      </c>
      <c r="D3" s="3">
        <v>1137488</v>
      </c>
      <c r="E3" s="7">
        <f>Tipo_Escola[[#This Row],[Pública]]/Total[[#This Row],[Total de Candidatos]]</f>
        <v>0.20630088544367309</v>
      </c>
      <c r="F3" s="3">
        <v>13877</v>
      </c>
      <c r="G3" s="7">
        <f>Tipo_Escola[[#This Row],[Particular]]/Total[[#This Row],[Total de Candidatos]]</f>
        <v>2.5168066716324492E-3</v>
      </c>
    </row>
    <row r="4" spans="1:7" x14ac:dyDescent="0.25">
      <c r="A4" s="5">
        <v>2019</v>
      </c>
      <c r="B4" s="3">
        <v>3629310</v>
      </c>
      <c r="C4" s="7">
        <f>Tipo_Escola[[#This Row],[Não Informou]]/Total[[#This Row],[Total de Candidatos]]</f>
        <v>0.71230386575838178</v>
      </c>
      <c r="D4" s="3">
        <v>1247234</v>
      </c>
      <c r="E4" s="7">
        <f>Tipo_Escola[[#This Row],[Pública]]/Total[[#This Row],[Total de Candidatos]]</f>
        <v>0.24478746640691745</v>
      </c>
      <c r="F4" s="3">
        <v>218627</v>
      </c>
      <c r="G4" s="7">
        <f>Tipo_Escola[[#This Row],[Particular]]/Total[[#This Row],[Total de Candidatos]]</f>
        <v>4.2908667834700737E-2</v>
      </c>
    </row>
    <row r="5" spans="1:7" x14ac:dyDescent="0.25">
      <c r="A5" s="6">
        <v>2020</v>
      </c>
      <c r="B5" s="3">
        <v>4387282</v>
      </c>
      <c r="C5" s="7">
        <f>Tipo_Escola[[#This Row],[Não Informou]]/Total[[#This Row],[Total de Candidatos]]</f>
        <v>0.75863726587204217</v>
      </c>
      <c r="D5" s="3">
        <v>1194496</v>
      </c>
      <c r="E5" s="7">
        <f>Tipo_Escola[[#This Row],[Pública]]/Total[[#This Row],[Total de Candidatos]]</f>
        <v>0.20654910706334603</v>
      </c>
      <c r="F5" s="3">
        <v>201331</v>
      </c>
      <c r="G5" s="7">
        <f>Tipo_Escola[[#This Row],[Particular]]/Total[[#This Row],[Total de Candidatos]]</f>
        <v>3.4813627064611788E-2</v>
      </c>
    </row>
    <row r="6" spans="1:7" x14ac:dyDescent="0.25">
      <c r="A6" s="5">
        <v>2021</v>
      </c>
      <c r="B6" s="3">
        <v>2238977</v>
      </c>
      <c r="C6" s="7">
        <f>Tipo_Escola[[#This Row],[Não Informou]]/Total[[#This Row],[Total de Candidatos]]</f>
        <v>0.66049792438091326</v>
      </c>
      <c r="D6" s="3">
        <v>958611</v>
      </c>
      <c r="E6" s="7">
        <f>Tipo_Escola[[#This Row],[Pública]]/Total[[#This Row],[Total de Candidatos]]</f>
        <v>0.28279012057234693</v>
      </c>
      <c r="F6" s="3">
        <v>192244</v>
      </c>
      <c r="G6" s="7">
        <f>Tipo_Escola[[#This Row],[Particular]]/Total[[#This Row],[Total de Candidatos]]</f>
        <v>5.671195504673978E-2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8593-FAD7-4C7D-88EE-0770407A4AAB}">
  <dimension ref="A1:U6"/>
  <sheetViews>
    <sheetView topLeftCell="E1" workbookViewId="0">
      <selection activeCell="E2" sqref="E2"/>
    </sheetView>
  </sheetViews>
  <sheetFormatPr defaultRowHeight="15" x14ac:dyDescent="0.25"/>
  <cols>
    <col min="2" max="20" width="21.7109375" customWidth="1"/>
    <col min="21" max="21" width="24" customWidth="1"/>
  </cols>
  <sheetData>
    <row r="1" spans="1:21" x14ac:dyDescent="0.25">
      <c r="A1" s="4" t="s">
        <v>0</v>
      </c>
      <c r="B1" s="2" t="s">
        <v>36</v>
      </c>
      <c r="C1" s="2" t="s">
        <v>103</v>
      </c>
      <c r="D1" s="2" t="s">
        <v>37</v>
      </c>
      <c r="E1" s="2" t="s">
        <v>104</v>
      </c>
      <c r="F1" s="2" t="s">
        <v>38</v>
      </c>
      <c r="G1" s="2" t="s">
        <v>105</v>
      </c>
      <c r="H1" s="2" t="s">
        <v>39</v>
      </c>
      <c r="I1" s="2" t="s">
        <v>106</v>
      </c>
      <c r="J1" s="2" t="s">
        <v>40</v>
      </c>
      <c r="K1" s="2" t="s">
        <v>107</v>
      </c>
      <c r="L1" s="2" t="s">
        <v>41</v>
      </c>
      <c r="M1" s="2" t="s">
        <v>108</v>
      </c>
      <c r="N1" s="2" t="s">
        <v>42</v>
      </c>
      <c r="O1" s="2" t="s">
        <v>109</v>
      </c>
      <c r="P1" s="2" t="s">
        <v>43</v>
      </c>
      <c r="Q1" s="2" t="s">
        <v>110</v>
      </c>
      <c r="R1" s="2" t="s">
        <v>44</v>
      </c>
      <c r="S1" s="2" t="s">
        <v>111</v>
      </c>
      <c r="T1" s="2" t="s">
        <v>45</v>
      </c>
      <c r="U1" s="2" t="s">
        <v>112</v>
      </c>
    </row>
    <row r="2" spans="1:21" x14ac:dyDescent="0.25">
      <c r="A2" s="5">
        <v>2017</v>
      </c>
      <c r="B2" s="3">
        <v>500144</v>
      </c>
      <c r="C2" s="7">
        <f>Raca_Tipo_Escola[[#This Row],[Branco Pública]]/Total[[#This Row],[Total de Candidatos]]</f>
        <v>7.4301492227776059E-2</v>
      </c>
      <c r="D2" s="3">
        <v>178048</v>
      </c>
      <c r="E2" s="7">
        <f>Raca_Tipo_Escola[[#This Row],[Branco Particular]]/Total[[#This Row],[Total de Candidatos]]</f>
        <v>2.6450846332598355E-2</v>
      </c>
      <c r="F2" s="3">
        <v>186889</v>
      </c>
      <c r="G2" s="7">
        <f>Raca_Tipo_Escola[[#This Row],[Negro Pública]]/Total[[#This Row],[Total de Candidatos]]</f>
        <v>2.7764267053002417E-2</v>
      </c>
      <c r="H2" s="3">
        <v>17972</v>
      </c>
      <c r="I2" s="7">
        <f>Raca_Tipo_Escola[[#This Row],[Negro Particular]]/Total[[#This Row],[Total de Candidatos]]</f>
        <v>2.6699238985523998E-3</v>
      </c>
      <c r="J2" s="3">
        <v>727580</v>
      </c>
      <c r="K2" s="7">
        <f>Raca_Tipo_Escola[[#This Row],[Pardo Pública]]/Total[[#This Row],[Total de Candidatos]]</f>
        <v>0.10808942967442438</v>
      </c>
      <c r="L2" s="3">
        <v>82230</v>
      </c>
      <c r="M2" s="7">
        <f>Raca_Tipo_Escola[[#This Row],[Pardo Particular]]/Total[[#This Row],[Total de Candidatos]]</f>
        <v>1.2216105173490087E-2</v>
      </c>
      <c r="N2" s="3">
        <v>32505</v>
      </c>
      <c r="O2" s="7">
        <f>Raca_Tipo_Escola[[#This Row],[Amarelo Pública]]/Total[[#This Row],[Total de Candidatos]]</f>
        <v>4.8289492723372889E-3</v>
      </c>
      <c r="P2" s="3">
        <v>7315</v>
      </c>
      <c r="Q2" s="7">
        <f>Raca_Tipo_Escola[[#This Row],[Amarelo Particular]]/Total[[#This Row],[Total de Candidatos]]</f>
        <v>1.0867178565496774E-3</v>
      </c>
      <c r="R2" s="3">
        <v>11915</v>
      </c>
      <c r="S2" s="7">
        <f>Raca_Tipo_Escola[[#This Row],[Indígena Pública]]/Total[[#This Row],[Total de Candidatos]]</f>
        <v>1.7700947724934254E-3</v>
      </c>
      <c r="T2" s="3">
        <v>727</v>
      </c>
      <c r="U2" s="7">
        <f>Raca_Tipo_Escola[[#This Row],[Indígena Particular]]/Total[[#This Row],[Total de Candidatos]]</f>
        <v>1.0800326475893582E-4</v>
      </c>
    </row>
    <row r="3" spans="1:21" x14ac:dyDescent="0.25">
      <c r="A3" s="6">
        <v>2018</v>
      </c>
      <c r="B3" s="3">
        <v>366232</v>
      </c>
      <c r="C3" s="7">
        <f>Raca_Tipo_Escola[[#This Row],[Branco Pública]]/Total[[#This Row],[Total de Candidatos]]</f>
        <v>6.6421787199343899E-2</v>
      </c>
      <c r="D3" s="3">
        <v>152221</v>
      </c>
      <c r="E3" s="7">
        <f>Raca_Tipo_Escola[[#This Row],[Branco Particular]]/Total[[#This Row],[Total de Candidatos]]</f>
        <v>2.7607611757769192E-2</v>
      </c>
      <c r="F3" s="3">
        <v>140625</v>
      </c>
      <c r="G3" s="7">
        <f>Raca_Tipo_Escola[[#This Row],[Negro Pública]]/Total[[#This Row],[Total de Candidatos]]</f>
        <v>2.550449940176646E-2</v>
      </c>
      <c r="H3" s="3">
        <v>14770</v>
      </c>
      <c r="I3" s="7">
        <f>Raca_Tipo_Escola[[#This Row],[Negro Particular]]/Total[[#This Row],[Total de Candidatos]]</f>
        <v>2.6787659105002E-3</v>
      </c>
      <c r="J3" s="3">
        <v>571909</v>
      </c>
      <c r="K3" s="7">
        <f>Raca_Tipo_Escola[[#This Row],[Pardo Pública]]/Total[[#This Row],[Total de Candidatos]]</f>
        <v>0.1037244639883723</v>
      </c>
      <c r="L3" s="3">
        <v>71756</v>
      </c>
      <c r="M3" s="7">
        <f>Raca_Tipo_Escola[[#This Row],[Pardo Particular]]/Total[[#This Row],[Total de Candidatos]]</f>
        <v>1.3014050553409097E-2</v>
      </c>
      <c r="N3" s="3">
        <v>24784</v>
      </c>
      <c r="O3" s="7">
        <f>Raca_Tipo_Escola[[#This Row],[Amarelo Pública]]/Total[[#This Row],[Total de Candidatos]]</f>
        <v>4.4949583158995915E-3</v>
      </c>
      <c r="P3" s="3">
        <v>6309</v>
      </c>
      <c r="Q3" s="7">
        <f>Raca_Tipo_Escola[[#This Row],[Amarelo Particular]]/Total[[#This Row],[Total de Candidatos]]</f>
        <v>1.1442338611608505E-3</v>
      </c>
      <c r="R3" s="3">
        <v>9229</v>
      </c>
      <c r="S3" s="7">
        <f>Raca_Tipo_Escola[[#This Row],[Indígena Pública]]/Total[[#This Row],[Total de Candidatos]]</f>
        <v>1.6738206220721968E-3</v>
      </c>
      <c r="T3" s="3">
        <v>573</v>
      </c>
      <c r="U3" s="7">
        <f>Raca_Tipo_Escola[[#This Row],[Indígena Particular]]/Total[[#This Row],[Total de Candidatos]]</f>
        <v>1.0392233356239774E-4</v>
      </c>
    </row>
    <row r="4" spans="1:21" x14ac:dyDescent="0.25">
      <c r="A4" s="5">
        <v>2019</v>
      </c>
      <c r="B4" s="3">
        <v>425238</v>
      </c>
      <c r="C4" s="7">
        <f>Raca_Tipo_Escola[[#This Row],[Branco Pública]]/Total[[#This Row],[Total de Candidatos]]</f>
        <v>8.3459024240795848E-2</v>
      </c>
      <c r="D4" s="3">
        <v>139376</v>
      </c>
      <c r="E4" s="7">
        <f>Raca_Tipo_Escola[[#This Row],[Branco Particular]]/Total[[#This Row],[Total de Candidatos]]</f>
        <v>2.7354528434865091E-2</v>
      </c>
      <c r="F4" s="3">
        <v>154433</v>
      </c>
      <c r="G4" s="7">
        <f>Raca_Tipo_Escola[[#This Row],[Negro Pública]]/Total[[#This Row],[Total de Candidatos]]</f>
        <v>3.0309679498489846E-2</v>
      </c>
      <c r="H4" s="3">
        <v>11813</v>
      </c>
      <c r="I4" s="7">
        <f>Raca_Tipo_Escola[[#This Row],[Negro Particular]]/Total[[#This Row],[Total de Candidatos]]</f>
        <v>2.3184697824665747E-3</v>
      </c>
      <c r="J4" s="3">
        <v>602096</v>
      </c>
      <c r="K4" s="7">
        <f>Raca_Tipo_Escola[[#This Row],[Pardo Pública]]/Total[[#This Row],[Total de Candidatos]]</f>
        <v>0.11816992991991829</v>
      </c>
      <c r="L4" s="3">
        <v>56930</v>
      </c>
      <c r="M4" s="7">
        <f>Raca_Tipo_Escola[[#This Row],[Pardo Particular]]/Total[[#This Row],[Total de Candidatos]]</f>
        <v>1.1173324702939313E-2</v>
      </c>
      <c r="N4" s="3">
        <v>28229</v>
      </c>
      <c r="O4" s="7">
        <f>Raca_Tipo_Escola[[#This Row],[Amarelo Pública]]/Total[[#This Row],[Total de Candidatos]]</f>
        <v>5.5403439845296658E-3</v>
      </c>
      <c r="P4" s="3">
        <v>5196</v>
      </c>
      <c r="Q4" s="7">
        <f>Raca_Tipo_Escola[[#This Row],[Amarelo Particular]]/Total[[#This Row],[Total de Candidatos]]</f>
        <v>1.0197891297465777E-3</v>
      </c>
      <c r="R4" s="3">
        <v>9178</v>
      </c>
      <c r="S4" s="7">
        <f>Raca_Tipo_Escola[[#This Row],[Indígena Pública]]/Total[[#This Row],[Total de Candidatos]]</f>
        <v>1.8013134397255755E-3</v>
      </c>
      <c r="T4" s="3">
        <v>446</v>
      </c>
      <c r="U4" s="7">
        <f>Raca_Tipo_Escola[[#This Row],[Indígena Particular]]/Total[[#This Row],[Total de Candidatos]]</f>
        <v>8.753386294591487E-5</v>
      </c>
    </row>
    <row r="5" spans="1:21" x14ac:dyDescent="0.25">
      <c r="A5" s="6">
        <v>2020</v>
      </c>
      <c r="B5" s="3">
        <v>402597</v>
      </c>
      <c r="C5" s="7">
        <f>Raca_Tipo_Escola[[#This Row],[Branco Pública]]/Total[[#This Row],[Total de Candidatos]]</f>
        <v>6.9616014500159001E-2</v>
      </c>
      <c r="D5" s="3">
        <v>134038</v>
      </c>
      <c r="E5" s="7">
        <f>Raca_Tipo_Escola[[#This Row],[Branco Particular]]/Total[[#This Row],[Total de Candidatos]]</f>
        <v>2.3177498470113567E-2</v>
      </c>
      <c r="F5" s="3">
        <v>141561</v>
      </c>
      <c r="G5" s="7">
        <f>Raca_Tipo_Escola[[#This Row],[Negro Pública]]/Total[[#This Row],[Total de Candidatos]]</f>
        <v>2.4478355846310348E-2</v>
      </c>
      <c r="H5" s="3">
        <v>9626</v>
      </c>
      <c r="I5" s="7">
        <f>Raca_Tipo_Escola[[#This Row],[Negro Particular]]/Total[[#This Row],[Total de Candidatos]]</f>
        <v>1.6645026057783105E-3</v>
      </c>
      <c r="J5" s="3">
        <v>583273</v>
      </c>
      <c r="K5" s="7">
        <f>Raca_Tipo_Escola[[#This Row],[Pardo Pública]]/Total[[#This Row],[Total de Candidatos]]</f>
        <v>0.10085803328278958</v>
      </c>
      <c r="L5" s="3">
        <v>48858</v>
      </c>
      <c r="M5" s="7">
        <f>Raca_Tipo_Escola[[#This Row],[Pardo Particular]]/Total[[#This Row],[Total de Candidatos]]</f>
        <v>8.4483968744147823E-3</v>
      </c>
      <c r="N5" s="3">
        <v>26080</v>
      </c>
      <c r="O5" s="7">
        <f>Raca_Tipo_Escola[[#This Row],[Amarelo Pública]]/Total[[#This Row],[Total de Candidatos]]</f>
        <v>4.5096850154475732E-3</v>
      </c>
      <c r="P5" s="3">
        <v>4564</v>
      </c>
      <c r="Q5" s="7">
        <f>Raca_Tipo_Escola[[#This Row],[Amarelo Particular]]/Total[[#This Row],[Total de Candidatos]]</f>
        <v>7.8919487770332528E-4</v>
      </c>
      <c r="R5" s="3">
        <v>9493</v>
      </c>
      <c r="S5" s="7">
        <f>Raca_Tipo_Escola[[#This Row],[Indígena Pública]]/Total[[#This Row],[Total de Candidatos]]</f>
        <v>1.6415045955384898E-3</v>
      </c>
      <c r="T5" s="3">
        <v>302</v>
      </c>
      <c r="U5" s="7">
        <f>Raca_Tipo_Escola[[#This Row],[Indígena Particular]]/Total[[#This Row],[Total de Candidatos]]</f>
        <v>5.2221045807713464E-5</v>
      </c>
    </row>
    <row r="6" spans="1:21" x14ac:dyDescent="0.25">
      <c r="A6" s="5">
        <v>2021</v>
      </c>
      <c r="B6" s="3">
        <v>344109</v>
      </c>
      <c r="C6" s="7">
        <f>Raca_Tipo_Escola[[#This Row],[Branco Pública]]/Total[[#This Row],[Total de Candidatos]]</f>
        <v>0.10151211033467145</v>
      </c>
      <c r="D6" s="3">
        <v>132802</v>
      </c>
      <c r="E6" s="7">
        <f>Raca_Tipo_Escola[[#This Row],[Branco Particular]]/Total[[#This Row],[Total de Candidatos]]</f>
        <v>3.9176572762307987E-2</v>
      </c>
      <c r="F6" s="3">
        <v>112658</v>
      </c>
      <c r="G6" s="7">
        <f>Raca_Tipo_Escola[[#This Row],[Negro Pública]]/Total[[#This Row],[Total de Candidatos]]</f>
        <v>3.3234095376998035E-2</v>
      </c>
      <c r="H6" s="3">
        <v>9455</v>
      </c>
      <c r="I6" s="7">
        <f>Raca_Tipo_Escola[[#This Row],[Negro Particular]]/Total[[#This Row],[Total de Candidatos]]</f>
        <v>2.78922377274154E-3</v>
      </c>
      <c r="J6" s="3">
        <v>449334</v>
      </c>
      <c r="K6" s="7">
        <f>Raca_Tipo_Escola[[#This Row],[Pardo Pública]]/Total[[#This Row],[Total de Candidatos]]</f>
        <v>0.13255347167647247</v>
      </c>
      <c r="L6" s="3">
        <v>42650</v>
      </c>
      <c r="M6" s="7">
        <f>Raca_Tipo_Escola[[#This Row],[Pardo Particular]]/Total[[#This Row],[Total de Candidatos]]</f>
        <v>1.2581744464032436E-2</v>
      </c>
      <c r="N6" s="3">
        <v>19092</v>
      </c>
      <c r="O6" s="7">
        <f>Raca_Tipo_Escola[[#This Row],[Amarelo Pública]]/Total[[#This Row],[Total de Candidatos]]</f>
        <v>5.6321375218594903E-3</v>
      </c>
      <c r="P6" s="3">
        <v>3870</v>
      </c>
      <c r="Q6" s="7">
        <f>Raca_Tipo_Escola[[#This Row],[Amarelo Particular]]/Total[[#This Row],[Total de Candidatos]]</f>
        <v>1.1416494976742211E-3</v>
      </c>
      <c r="R6" s="3">
        <v>6953</v>
      </c>
      <c r="S6" s="7">
        <f>Raca_Tipo_Escola[[#This Row],[Indígena Pública]]/Total[[#This Row],[Total de Candidatos]]</f>
        <v>2.0511340975009969E-3</v>
      </c>
      <c r="T6" s="3">
        <v>201</v>
      </c>
      <c r="U6" s="7">
        <f>Raca_Tipo_Escola[[#This Row],[Indígena Particular]]/Total[[#This Row],[Total de Candidatos]]</f>
        <v>5.9294973910211481E-5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C61-5D0D-46B1-A654-1D2FCDD8CFE5}">
  <dimension ref="A1:K28"/>
  <sheetViews>
    <sheetView topLeftCell="A10" workbookViewId="0">
      <selection activeCell="C28" sqref="C28"/>
    </sheetView>
  </sheetViews>
  <sheetFormatPr defaultRowHeight="15" x14ac:dyDescent="0.25"/>
  <cols>
    <col min="1" max="1" width="19.28515625" bestFit="1" customWidth="1"/>
    <col min="2" max="11" width="12.7109375" customWidth="1"/>
  </cols>
  <sheetData>
    <row r="1" spans="1:11" x14ac:dyDescent="0.25">
      <c r="A1" s="2" t="s">
        <v>55</v>
      </c>
      <c r="B1" s="2" t="s">
        <v>74</v>
      </c>
      <c r="C1" s="9" t="s">
        <v>113</v>
      </c>
      <c r="D1" s="2" t="s">
        <v>75</v>
      </c>
      <c r="E1" s="9" t="s">
        <v>114</v>
      </c>
      <c r="F1" s="2" t="s">
        <v>76</v>
      </c>
      <c r="G1" s="9" t="s">
        <v>115</v>
      </c>
      <c r="H1" s="2" t="s">
        <v>77</v>
      </c>
      <c r="I1" s="9" t="s">
        <v>116</v>
      </c>
      <c r="J1" s="2" t="s">
        <v>78</v>
      </c>
      <c r="K1" s="9" t="s">
        <v>117</v>
      </c>
    </row>
    <row r="2" spans="1:11" x14ac:dyDescent="0.25">
      <c r="A2" s="2" t="s">
        <v>46</v>
      </c>
      <c r="B2" s="3">
        <v>54382</v>
      </c>
      <c r="C2" s="7">
        <f>Estado[[#This Row],[2017]]/6731278</f>
        <v>8.0790007484462835E-3</v>
      </c>
      <c r="D2" s="3">
        <v>38330</v>
      </c>
      <c r="E2" s="7">
        <f>Estado[[#This Row],[2018]]/5513733</f>
        <v>6.9517330636068159E-3</v>
      </c>
      <c r="F2" s="3">
        <v>38645</v>
      </c>
      <c r="G2" s="7">
        <f>Estado[[#This Row],[2019]]/5095171</f>
        <v>7.5846325864234974E-3</v>
      </c>
      <c r="H2" s="3">
        <v>41824</v>
      </c>
      <c r="I2" s="7">
        <f>Estado[[#This Row],[2020]]/5783109</f>
        <v>7.232096092257642E-3</v>
      </c>
      <c r="J2" s="3">
        <v>20336</v>
      </c>
      <c r="K2" s="7">
        <f>Estado[[#This Row],[2021]]/3389832</f>
        <v>5.9991173603883615E-3</v>
      </c>
    </row>
    <row r="3" spans="1:11" x14ac:dyDescent="0.25">
      <c r="A3" s="2" t="s">
        <v>47</v>
      </c>
      <c r="B3" s="3">
        <v>118725</v>
      </c>
      <c r="C3" s="7">
        <f>Estado[[#This Row],[2017]]/6731278</f>
        <v>1.7637809640309018E-2</v>
      </c>
      <c r="D3" s="3">
        <v>87976</v>
      </c>
      <c r="E3" s="7">
        <f>Estado[[#This Row],[2018]]/5513733</f>
        <v>1.5955796191074179E-2</v>
      </c>
      <c r="F3" s="3">
        <v>89824</v>
      </c>
      <c r="G3" s="7">
        <f>Estado[[#This Row],[2019]]/5095171</f>
        <v>1.7629241491600577E-2</v>
      </c>
      <c r="H3" s="3">
        <v>102551</v>
      </c>
      <c r="I3" s="7">
        <f>Estado[[#This Row],[2020]]/5783109</f>
        <v>1.7732849233863653E-2</v>
      </c>
      <c r="J3" s="3">
        <v>56584</v>
      </c>
      <c r="K3" s="7">
        <f>Estado[[#This Row],[2021]]/3389832</f>
        <v>1.669227265540003E-2</v>
      </c>
    </row>
    <row r="4" spans="1:11" x14ac:dyDescent="0.25">
      <c r="A4" s="2" t="s">
        <v>48</v>
      </c>
      <c r="B4" s="3">
        <v>51405</v>
      </c>
      <c r="C4" s="7">
        <f>Estado[[#This Row],[2017]]/6731278</f>
        <v>7.6367370356713836E-3</v>
      </c>
      <c r="D4" s="3">
        <v>40622</v>
      </c>
      <c r="E4" s="7">
        <f>Estado[[#This Row],[2018]]/5513733</f>
        <v>7.3674223978564069E-3</v>
      </c>
      <c r="F4" s="3">
        <v>42603</v>
      </c>
      <c r="G4" s="7">
        <f>Estado[[#This Row],[2019]]/5095171</f>
        <v>8.3614465540018182E-3</v>
      </c>
      <c r="H4" s="3">
        <v>47263</v>
      </c>
      <c r="I4" s="7">
        <f>Estado[[#This Row],[2020]]/5783109</f>
        <v>8.1725936689071577E-3</v>
      </c>
      <c r="J4" s="3">
        <v>21774</v>
      </c>
      <c r="K4" s="7">
        <f>Estado[[#This Row],[2021]]/3389832</f>
        <v>6.4233271737360433E-3</v>
      </c>
    </row>
    <row r="5" spans="1:11" x14ac:dyDescent="0.25">
      <c r="A5" s="2" t="s">
        <v>49</v>
      </c>
      <c r="B5" s="3">
        <v>165078</v>
      </c>
      <c r="C5" s="7">
        <f>Estado[[#This Row],[2017]]/6731278</f>
        <v>2.4524020550035223E-2</v>
      </c>
      <c r="D5" s="3">
        <v>123801</v>
      </c>
      <c r="E5" s="7">
        <f>Estado[[#This Row],[2018]]/5513733</f>
        <v>2.2453209105337529E-2</v>
      </c>
      <c r="F5" s="3">
        <v>118144</v>
      </c>
      <c r="G5" s="7">
        <f>Estado[[#This Row],[2019]]/5095171</f>
        <v>2.3187445524399476E-2</v>
      </c>
      <c r="H5" s="3">
        <v>163426</v>
      </c>
      <c r="I5" s="7">
        <f>Estado[[#This Row],[2020]]/5783109</f>
        <v>2.825919414626285E-2</v>
      </c>
      <c r="J5" s="3">
        <v>89778</v>
      </c>
      <c r="K5" s="7">
        <f>Estado[[#This Row],[2021]]/3389832</f>
        <v>2.6484498346820727E-2</v>
      </c>
    </row>
    <row r="6" spans="1:11" x14ac:dyDescent="0.25">
      <c r="A6" s="2" t="s">
        <v>50</v>
      </c>
      <c r="B6" s="3">
        <v>490196</v>
      </c>
      <c r="C6" s="7">
        <f>Estado[[#This Row],[2017]]/6731278</f>
        <v>7.2823615366948147E-2</v>
      </c>
      <c r="D6" s="3">
        <v>398492</v>
      </c>
      <c r="E6" s="7">
        <f>Estado[[#This Row],[2018]]/5513733</f>
        <v>7.2272632715439794E-2</v>
      </c>
      <c r="F6" s="3">
        <v>395427</v>
      </c>
      <c r="G6" s="7">
        <f>Estado[[#This Row],[2019]]/5095171</f>
        <v>7.7608190186354883E-2</v>
      </c>
      <c r="H6" s="3">
        <v>447691</v>
      </c>
      <c r="I6" s="7">
        <f>Estado[[#This Row],[2020]]/5783109</f>
        <v>7.7413550393049826E-2</v>
      </c>
      <c r="J6" s="3">
        <v>266194</v>
      </c>
      <c r="K6" s="7">
        <f>Estado[[#This Row],[2021]]/3389832</f>
        <v>7.8527195448034007E-2</v>
      </c>
    </row>
    <row r="7" spans="1:11" x14ac:dyDescent="0.25">
      <c r="A7" s="2" t="s">
        <v>51</v>
      </c>
      <c r="B7" s="3">
        <v>365255</v>
      </c>
      <c r="C7" s="7">
        <f>Estado[[#This Row],[2017]]/6731278</f>
        <v>5.4262355528920364E-2</v>
      </c>
      <c r="D7" s="3">
        <v>328589</v>
      </c>
      <c r="E7" s="7">
        <f>Estado[[#This Row],[2018]]/5513733</f>
        <v>5.9594652116814507E-2</v>
      </c>
      <c r="F7" s="3">
        <v>294984</v>
      </c>
      <c r="G7" s="7">
        <f>Estado[[#This Row],[2019]]/5095171</f>
        <v>5.7894818446721417E-2</v>
      </c>
      <c r="H7" s="3">
        <v>325680</v>
      </c>
      <c r="I7" s="7">
        <f>Estado[[#This Row],[2020]]/5783109</f>
        <v>5.6315729134622919E-2</v>
      </c>
      <c r="J7" s="3">
        <v>220517</v>
      </c>
      <c r="K7" s="7">
        <f>Estado[[#This Row],[2021]]/3389832</f>
        <v>6.5052486376905999E-2</v>
      </c>
    </row>
    <row r="8" spans="1:11" x14ac:dyDescent="0.25">
      <c r="A8" s="2" t="s">
        <v>52</v>
      </c>
      <c r="B8" s="3">
        <v>125257</v>
      </c>
      <c r="C8" s="7">
        <f>Estado[[#This Row],[2017]]/6731278</f>
        <v>1.8608204860949138E-2</v>
      </c>
      <c r="D8" s="3">
        <v>106304</v>
      </c>
      <c r="E8" s="7">
        <f>Estado[[#This Row],[2018]]/5513733</f>
        <v>1.9279859942438273E-2</v>
      </c>
      <c r="F8" s="3">
        <v>95849</v>
      </c>
      <c r="G8" s="7">
        <f>Estado[[#This Row],[2019]]/5095171</f>
        <v>1.8811733698437208E-2</v>
      </c>
      <c r="H8" s="3">
        <v>116932</v>
      </c>
      <c r="I8" s="7">
        <f>Estado[[#This Row],[2020]]/5783109</f>
        <v>2.0219573935058115E-2</v>
      </c>
      <c r="J8" s="3">
        <v>67501</v>
      </c>
      <c r="K8" s="7">
        <f>Estado[[#This Row],[2021]]/3389832</f>
        <v>1.9912786238374055E-2</v>
      </c>
    </row>
    <row r="9" spans="1:11" x14ac:dyDescent="0.25">
      <c r="A9" s="2" t="s">
        <v>53</v>
      </c>
      <c r="B9" s="3">
        <v>137399</v>
      </c>
      <c r="C9" s="7">
        <f>Estado[[#This Row],[2017]]/6731278</f>
        <v>2.0412022798642397E-2</v>
      </c>
      <c r="D9" s="3">
        <v>111972</v>
      </c>
      <c r="E9" s="7">
        <f>Estado[[#This Row],[2018]]/5513733</f>
        <v>2.0307838627659336E-2</v>
      </c>
      <c r="F9" s="3">
        <v>102273</v>
      </c>
      <c r="G9" s="7">
        <f>Estado[[#This Row],[2019]]/5095171</f>
        <v>2.0072535347685092E-2</v>
      </c>
      <c r="H9" s="3">
        <v>105812</v>
      </c>
      <c r="I9" s="7">
        <f>Estado[[#This Row],[2020]]/5783109</f>
        <v>1.8296732778164824E-2</v>
      </c>
      <c r="J9" s="3">
        <v>64181</v>
      </c>
      <c r="K9" s="7">
        <f>Estado[[#This Row],[2021]]/3389832</f>
        <v>1.8933386669309864E-2</v>
      </c>
    </row>
    <row r="10" spans="1:11" x14ac:dyDescent="0.25">
      <c r="A10" s="2" t="s">
        <v>54</v>
      </c>
      <c r="B10" s="3">
        <v>219338</v>
      </c>
      <c r="C10" s="7">
        <f>Estado[[#This Row],[2017]]/6731278</f>
        <v>3.2584896954189084E-2</v>
      </c>
      <c r="D10" s="3">
        <v>190593</v>
      </c>
      <c r="E10" s="7">
        <f>Estado[[#This Row],[2018]]/5513733</f>
        <v>3.4566962165197335E-2</v>
      </c>
      <c r="F10" s="3">
        <v>169980</v>
      </c>
      <c r="G10" s="7">
        <f>Estado[[#This Row],[2019]]/5095171</f>
        <v>3.336100005279509E-2</v>
      </c>
      <c r="H10" s="3">
        <v>211069</v>
      </c>
      <c r="I10" s="7">
        <f>Estado[[#This Row],[2020]]/5783109</f>
        <v>3.6497496415855209E-2</v>
      </c>
      <c r="J10" s="3">
        <v>136915</v>
      </c>
      <c r="K10" s="7">
        <f>Estado[[#This Row],[2021]]/3389832</f>
        <v>4.0389907228440818E-2</v>
      </c>
    </row>
    <row r="11" spans="1:11" x14ac:dyDescent="0.25">
      <c r="A11" s="2" t="s">
        <v>56</v>
      </c>
      <c r="B11" s="3">
        <v>286078</v>
      </c>
      <c r="C11" s="7">
        <f>Estado[[#This Row],[2017]]/6731278</f>
        <v>4.2499804643338163E-2</v>
      </c>
      <c r="D11" s="3">
        <v>216757</v>
      </c>
      <c r="E11" s="7">
        <f>Estado[[#This Row],[2018]]/5513733</f>
        <v>3.9312204635226264E-2</v>
      </c>
      <c r="F11" s="3">
        <v>218074</v>
      </c>
      <c r="G11" s="7">
        <f>Estado[[#This Row],[2019]]/5095171</f>
        <v>4.280013369521847E-2</v>
      </c>
      <c r="H11" s="3">
        <v>238272</v>
      </c>
      <c r="I11" s="7">
        <f>Estado[[#This Row],[2020]]/5783109</f>
        <v>4.1201367638064576E-2</v>
      </c>
      <c r="J11" s="3">
        <v>127905</v>
      </c>
      <c r="K11" s="7">
        <f>Estado[[#This Row],[2021]]/3389832</f>
        <v>3.7731958397938303E-2</v>
      </c>
    </row>
    <row r="12" spans="1:11" x14ac:dyDescent="0.25">
      <c r="A12" s="2" t="s">
        <v>57</v>
      </c>
      <c r="B12" s="3">
        <v>126215</v>
      </c>
      <c r="C12" s="7">
        <f>Estado[[#This Row],[2017]]/6731278</f>
        <v>1.8750525531704379E-2</v>
      </c>
      <c r="D12" s="3">
        <v>96793</v>
      </c>
      <c r="E12" s="7">
        <f>Estado[[#This Row],[2018]]/5513733</f>
        <v>1.7554894297565734E-2</v>
      </c>
      <c r="F12" s="3">
        <v>88121</v>
      </c>
      <c r="G12" s="7">
        <f>Estado[[#This Row],[2019]]/5095171</f>
        <v>1.7295003445419201E-2</v>
      </c>
      <c r="H12" s="3">
        <v>101727</v>
      </c>
      <c r="I12" s="7">
        <f>Estado[[#This Row],[2020]]/5783109</f>
        <v>1.7590365320798898E-2</v>
      </c>
      <c r="J12" s="3">
        <v>56085</v>
      </c>
      <c r="K12" s="7">
        <f>Estado[[#This Row],[2021]]/3389832</f>
        <v>1.6545067720170205E-2</v>
      </c>
    </row>
    <row r="13" spans="1:11" x14ac:dyDescent="0.25">
      <c r="A13" s="2" t="s">
        <v>58</v>
      </c>
      <c r="B13" s="3">
        <v>92299</v>
      </c>
      <c r="C13" s="7">
        <f>Estado[[#This Row],[2017]]/6731278</f>
        <v>1.3711957818411303E-2</v>
      </c>
      <c r="D13" s="3">
        <v>72393</v>
      </c>
      <c r="E13" s="7">
        <f>Estado[[#This Row],[2018]]/5513733</f>
        <v>1.3129580268032565E-2</v>
      </c>
      <c r="F13" s="3">
        <v>70393</v>
      </c>
      <c r="G13" s="7">
        <f>Estado[[#This Row],[2019]]/5095171</f>
        <v>1.3815630525452434E-2</v>
      </c>
      <c r="H13" s="3">
        <v>84548</v>
      </c>
      <c r="I13" s="7">
        <f>Estado[[#This Row],[2020]]/5783109</f>
        <v>1.4619817817717078E-2</v>
      </c>
      <c r="J13" s="3">
        <v>42490</v>
      </c>
      <c r="K13" s="7">
        <f>Estado[[#This Row],[2021]]/3389832</f>
        <v>1.2534544484800427E-2</v>
      </c>
    </row>
    <row r="14" spans="1:11" x14ac:dyDescent="0.25">
      <c r="A14" s="2" t="s">
        <v>59</v>
      </c>
      <c r="B14" s="3">
        <v>725688</v>
      </c>
      <c r="C14" s="7">
        <f>Estado[[#This Row],[2017]]/6731278</f>
        <v>0.10780835377769274</v>
      </c>
      <c r="D14" s="3">
        <v>583031</v>
      </c>
      <c r="E14" s="7">
        <f>Estado[[#This Row],[2018]]/5513733</f>
        <v>0.10574160917839148</v>
      </c>
      <c r="F14" s="3">
        <v>534625</v>
      </c>
      <c r="G14" s="7">
        <f>Estado[[#This Row],[2019]]/5095171</f>
        <v>0.10492778358174829</v>
      </c>
      <c r="H14" s="3">
        <v>577211</v>
      </c>
      <c r="I14" s="7">
        <f>Estado[[#This Row],[2020]]/5783109</f>
        <v>9.9809808184490381E-2</v>
      </c>
      <c r="J14" s="3">
        <v>327829</v>
      </c>
      <c r="K14" s="7">
        <f>Estado[[#This Row],[2021]]/3389832</f>
        <v>9.6709512447814519E-2</v>
      </c>
    </row>
    <row r="15" spans="1:11" x14ac:dyDescent="0.25">
      <c r="A15" s="2" t="s">
        <v>60</v>
      </c>
      <c r="B15" s="3">
        <v>354590</v>
      </c>
      <c r="C15" s="7">
        <f>Estado[[#This Row],[2017]]/6731278</f>
        <v>5.2677961005324694E-2</v>
      </c>
      <c r="D15" s="3">
        <v>281807</v>
      </c>
      <c r="E15" s="7">
        <f>Estado[[#This Row],[2018]]/5513733</f>
        <v>5.1110019291830053E-2</v>
      </c>
      <c r="F15" s="3">
        <v>279593</v>
      </c>
      <c r="G15" s="7">
        <f>Estado[[#This Row],[2019]]/5095171</f>
        <v>5.4874115118020574E-2</v>
      </c>
      <c r="H15" s="3">
        <v>330883</v>
      </c>
      <c r="I15" s="7">
        <f>Estado[[#This Row],[2020]]/5783109</f>
        <v>5.7215418211899516E-2</v>
      </c>
      <c r="J15" s="3">
        <v>185978</v>
      </c>
      <c r="K15" s="7">
        <f>Estado[[#This Row],[2021]]/3389832</f>
        <v>5.4863485860066223E-2</v>
      </c>
    </row>
    <row r="16" spans="1:11" x14ac:dyDescent="0.25">
      <c r="A16" s="2" t="s">
        <v>61</v>
      </c>
      <c r="B16" s="3">
        <v>189149</v>
      </c>
      <c r="C16" s="7">
        <f>Estado[[#This Row],[2017]]/6731278</f>
        <v>2.8100013103009563E-2</v>
      </c>
      <c r="D16" s="3">
        <v>151490</v>
      </c>
      <c r="E16" s="7">
        <f>Estado[[#This Row],[2018]]/5513733</f>
        <v>2.7475033702212277E-2</v>
      </c>
      <c r="F16" s="3">
        <v>147176</v>
      </c>
      <c r="G16" s="7">
        <f>Estado[[#This Row],[2019]]/5095171</f>
        <v>2.8885389715085127E-2</v>
      </c>
      <c r="H16" s="3">
        <v>164965</v>
      </c>
      <c r="I16" s="7">
        <f>Estado[[#This Row],[2020]]/5783109</f>
        <v>2.852531397903792E-2</v>
      </c>
      <c r="J16" s="3">
        <v>102002</v>
      </c>
      <c r="K16" s="7">
        <f>Estado[[#This Row],[2021]]/3389832</f>
        <v>3.0090576760146225E-2</v>
      </c>
    </row>
    <row r="17" spans="1:11" x14ac:dyDescent="0.25">
      <c r="A17" s="2" t="s">
        <v>62</v>
      </c>
      <c r="B17" s="3">
        <v>287837</v>
      </c>
      <c r="C17" s="7">
        <f>Estado[[#This Row],[2017]]/6731278</f>
        <v>4.2761122033587083E-2</v>
      </c>
      <c r="D17" s="3">
        <v>237343</v>
      </c>
      <c r="E17" s="7">
        <f>Estado[[#This Row],[2018]]/5513733</f>
        <v>4.3045791299651255E-2</v>
      </c>
      <c r="F17" s="3">
        <v>211306</v>
      </c>
      <c r="G17" s="7">
        <f>Estado[[#This Row],[2019]]/5095171</f>
        <v>4.1471817138227549E-2</v>
      </c>
      <c r="H17" s="3">
        <v>239635</v>
      </c>
      <c r="I17" s="7">
        <f>Estado[[#This Row],[2020]]/5783109</f>
        <v>4.1437054013680183E-2</v>
      </c>
      <c r="J17" s="3">
        <v>144282</v>
      </c>
      <c r="K17" s="7">
        <f>Estado[[#This Row],[2021]]/3389832</f>
        <v>4.2563171272204638E-2</v>
      </c>
    </row>
    <row r="18" spans="1:11" x14ac:dyDescent="0.25">
      <c r="A18" s="2" t="s">
        <v>63</v>
      </c>
      <c r="B18" s="3">
        <v>371621</v>
      </c>
      <c r="C18" s="7">
        <f>Estado[[#This Row],[2017]]/6731278</f>
        <v>5.5208089756506859E-2</v>
      </c>
      <c r="D18" s="3">
        <v>307318</v>
      </c>
      <c r="E18" s="7">
        <f>Estado[[#This Row],[2018]]/5513733</f>
        <v>5.5736830201970247E-2</v>
      </c>
      <c r="F18" s="3">
        <v>275317</v>
      </c>
      <c r="G18" s="7">
        <f>Estado[[#This Row],[2019]]/5095171</f>
        <v>5.4034889113633279E-2</v>
      </c>
      <c r="H18" s="3">
        <v>315569</v>
      </c>
      <c r="I18" s="7">
        <f>Estado[[#This Row],[2020]]/5783109</f>
        <v>5.4567361604285859E-2</v>
      </c>
      <c r="J18" s="3">
        <v>193616</v>
      </c>
      <c r="K18" s="7">
        <f>Estado[[#This Row],[2021]]/3389832</f>
        <v>5.7116694868654255E-2</v>
      </c>
    </row>
    <row r="19" spans="1:11" x14ac:dyDescent="0.25">
      <c r="A19" s="2" t="s">
        <v>64</v>
      </c>
      <c r="B19" s="3">
        <v>149153</v>
      </c>
      <c r="C19" s="7">
        <f>Estado[[#This Row],[2017]]/6731278</f>
        <v>2.2158199379077793E-2</v>
      </c>
      <c r="D19" s="3">
        <v>119377</v>
      </c>
      <c r="E19" s="7">
        <f>Estado[[#This Row],[2018]]/5513733</f>
        <v>2.1650848889491023E-2</v>
      </c>
      <c r="F19" s="3">
        <v>122312</v>
      </c>
      <c r="G19" s="7">
        <f>Estado[[#This Row],[2019]]/5095171</f>
        <v>2.4005474987983721E-2</v>
      </c>
      <c r="H19" s="3">
        <v>134678</v>
      </c>
      <c r="I19" s="7">
        <f>Estado[[#This Row],[2020]]/5783109</f>
        <v>2.3288165587057066E-2</v>
      </c>
      <c r="J19" s="3">
        <v>79969</v>
      </c>
      <c r="K19" s="7">
        <f>Estado[[#This Row],[2021]]/3389832</f>
        <v>2.3590844620028369E-2</v>
      </c>
    </row>
    <row r="20" spans="1:11" x14ac:dyDescent="0.25">
      <c r="A20" s="2" t="s">
        <v>65</v>
      </c>
      <c r="B20" s="3">
        <v>440844</v>
      </c>
      <c r="C20" s="7">
        <f>Estado[[#This Row],[2017]]/6731278</f>
        <v>6.5491872420066446E-2</v>
      </c>
      <c r="D20" s="3">
        <v>383247</v>
      </c>
      <c r="E20" s="7">
        <f>Estado[[#This Row],[2018]]/5513733</f>
        <v>6.9507718273626964E-2</v>
      </c>
      <c r="F20" s="3">
        <v>339716</v>
      </c>
      <c r="G20" s="7">
        <f>Estado[[#This Row],[2019]]/5095171</f>
        <v>6.6674111624516627E-2</v>
      </c>
      <c r="H20" s="3">
        <v>387480</v>
      </c>
      <c r="I20" s="7">
        <f>Estado[[#This Row],[2020]]/5783109</f>
        <v>6.7002022614479517E-2</v>
      </c>
      <c r="J20" s="3">
        <v>238347</v>
      </c>
      <c r="K20" s="7">
        <f>Estado[[#This Row],[2021]]/3389832</f>
        <v>7.0312334062573006E-2</v>
      </c>
    </row>
    <row r="21" spans="1:11" x14ac:dyDescent="0.25">
      <c r="A21" s="2" t="s">
        <v>66</v>
      </c>
      <c r="B21" s="3">
        <v>159484</v>
      </c>
      <c r="C21" s="7">
        <f>Estado[[#This Row],[2017]]/6731278</f>
        <v>2.3692974796167977E-2</v>
      </c>
      <c r="D21" s="3">
        <v>124045</v>
      </c>
      <c r="E21" s="7">
        <f>Estado[[#This Row],[2018]]/5513733</f>
        <v>2.2497462245632861E-2</v>
      </c>
      <c r="F21" s="3">
        <v>119319</v>
      </c>
      <c r="G21" s="7">
        <f>Estado[[#This Row],[2019]]/5095171</f>
        <v>2.3418056037765957E-2</v>
      </c>
      <c r="H21" s="3">
        <v>131225</v>
      </c>
      <c r="I21" s="7">
        <f>Estado[[#This Row],[2020]]/5783109</f>
        <v>2.2691081907672845E-2</v>
      </c>
      <c r="J21" s="3">
        <v>80820</v>
      </c>
      <c r="K21" s="7">
        <f>Estado[[#This Row],[2021]]/3389832</f>
        <v>2.3841889509568615E-2</v>
      </c>
    </row>
    <row r="22" spans="1:11" x14ac:dyDescent="0.25">
      <c r="A22" s="2" t="s">
        <v>67</v>
      </c>
      <c r="B22" s="3">
        <v>294591</v>
      </c>
      <c r="C22" s="7">
        <f>Estado[[#This Row],[2017]]/6731278</f>
        <v>4.3764497618431451E-2</v>
      </c>
      <c r="D22" s="3">
        <v>243304</v>
      </c>
      <c r="E22" s="7">
        <f>Estado[[#This Row],[2018]]/5513733</f>
        <v>4.4126910026292529E-2</v>
      </c>
      <c r="F22" s="3">
        <v>218469</v>
      </c>
      <c r="G22" s="7">
        <f>Estado[[#This Row],[2019]]/5095171</f>
        <v>4.2877658080562951E-2</v>
      </c>
      <c r="H22" s="3">
        <v>249130</v>
      </c>
      <c r="I22" s="7">
        <f>Estado[[#This Row],[2020]]/5783109</f>
        <v>4.3078904443959121E-2</v>
      </c>
      <c r="J22" s="3">
        <v>150484</v>
      </c>
      <c r="K22" s="7">
        <f>Estado[[#This Row],[2021]]/3389832</f>
        <v>4.4392760467185398E-2</v>
      </c>
    </row>
    <row r="23" spans="1:11" x14ac:dyDescent="0.25">
      <c r="A23" s="2" t="s">
        <v>68</v>
      </c>
      <c r="B23" s="3">
        <v>80152</v>
      </c>
      <c r="C23" s="7">
        <f>Estado[[#This Row],[2017]]/6731278</f>
        <v>1.1907397079722454E-2</v>
      </c>
      <c r="D23" s="3">
        <v>61934</v>
      </c>
      <c r="E23" s="7">
        <f>Estado[[#This Row],[2018]]/5513733</f>
        <v>1.1232680291192917E-2</v>
      </c>
      <c r="F23" s="3">
        <v>58639</v>
      </c>
      <c r="G23" s="7">
        <f>Estado[[#This Row],[2019]]/5095171</f>
        <v>1.1508740334720857E-2</v>
      </c>
      <c r="H23" s="3">
        <v>69594</v>
      </c>
      <c r="I23" s="7">
        <f>Estado[[#This Row],[2020]]/5783109</f>
        <v>1.2034011463384141E-2</v>
      </c>
      <c r="J23" s="3">
        <v>32801</v>
      </c>
      <c r="K23" s="7">
        <f>Estado[[#This Row],[2021]]/3389832</f>
        <v>9.676290742432073E-3</v>
      </c>
    </row>
    <row r="24" spans="1:11" x14ac:dyDescent="0.25">
      <c r="A24" s="2" t="s">
        <v>69</v>
      </c>
      <c r="B24" s="3">
        <v>20247</v>
      </c>
      <c r="C24" s="7">
        <f>Estado[[#This Row],[2017]]/6731278</f>
        <v>3.0078983515463187E-3</v>
      </c>
      <c r="D24" s="3">
        <v>14067</v>
      </c>
      <c r="E24" s="7">
        <f>Estado[[#This Row],[2018]]/5513733</f>
        <v>2.5512660841575025E-3</v>
      </c>
      <c r="F24" s="3">
        <v>12956</v>
      </c>
      <c r="G24" s="7">
        <f>Estado[[#This Row],[2019]]/5095171</f>
        <v>2.5427998392988185E-3</v>
      </c>
      <c r="H24" s="3">
        <v>16885</v>
      </c>
      <c r="I24" s="7">
        <f>Estado[[#This Row],[2020]]/5783109</f>
        <v>2.9197097962359001E-3</v>
      </c>
      <c r="J24" s="3">
        <v>8056</v>
      </c>
      <c r="K24" s="7">
        <f>Estado[[#This Row],[2021]]/3389832</f>
        <v>2.3765189543316599E-3</v>
      </c>
    </row>
    <row r="25" spans="1:11" x14ac:dyDescent="0.25">
      <c r="A25" s="2" t="s">
        <v>70</v>
      </c>
      <c r="B25" s="3">
        <v>128522</v>
      </c>
      <c r="C25" s="7">
        <f>Estado[[#This Row],[2017]]/6731278</f>
        <v>1.9093253911070081E-2</v>
      </c>
      <c r="D25" s="3">
        <v>125361</v>
      </c>
      <c r="E25" s="7">
        <f>Estado[[#This Row],[2018]]/5513733</f>
        <v>2.2736139018701123E-2</v>
      </c>
      <c r="F25" s="3">
        <v>110699</v>
      </c>
      <c r="G25" s="7">
        <f>Estado[[#This Row],[2019]]/5095171</f>
        <v>2.172625805885612E-2</v>
      </c>
      <c r="H25" s="3">
        <v>121153</v>
      </c>
      <c r="I25" s="7">
        <f>Estado[[#This Row],[2020]]/5783109</f>
        <v>2.0949458154774534E-2</v>
      </c>
      <c r="J25" s="3">
        <v>80765</v>
      </c>
      <c r="K25" s="7">
        <f>Estado[[#This Row],[2021]]/3389832</f>
        <v>2.3825664516707614E-2</v>
      </c>
    </row>
    <row r="26" spans="1:11" x14ac:dyDescent="0.25">
      <c r="A26" s="2" t="s">
        <v>71</v>
      </c>
      <c r="B26" s="3">
        <v>1136873</v>
      </c>
      <c r="C26" s="7">
        <f>Estado[[#This Row],[2017]]/6731278</f>
        <v>0.16889407925211231</v>
      </c>
      <c r="D26" s="3">
        <v>937348</v>
      </c>
      <c r="E26" s="7">
        <f>Estado[[#This Row],[2018]]/5513733</f>
        <v>0.17000242848175637</v>
      </c>
      <c r="F26" s="3">
        <v>815990</v>
      </c>
      <c r="G26" s="7">
        <f>Estado[[#This Row],[2019]]/5095171</f>
        <v>0.16014967898035218</v>
      </c>
      <c r="H26" s="3">
        <v>910492</v>
      </c>
      <c r="I26" s="7">
        <f>Estado[[#This Row],[2020]]/5783109</f>
        <v>0.15743988225018757</v>
      </c>
      <c r="J26" s="3">
        <v>509954</v>
      </c>
      <c r="K26" s="7">
        <f>Estado[[#This Row],[2021]]/3389832</f>
        <v>0.15043636380799993</v>
      </c>
    </row>
    <row r="27" spans="1:11" x14ac:dyDescent="0.25">
      <c r="A27" s="2" t="s">
        <v>72</v>
      </c>
      <c r="B27" s="3">
        <v>93285</v>
      </c>
      <c r="C27" s="7">
        <f>Estado[[#This Row],[2017]]/6731278</f>
        <v>1.3858438174741854E-2</v>
      </c>
      <c r="D27" s="3">
        <v>77049</v>
      </c>
      <c r="E27" s="7">
        <f>Estado[[#This Row],[2018]]/5513733</f>
        <v>1.3974017240225452E-2</v>
      </c>
      <c r="F27" s="3">
        <v>78488</v>
      </c>
      <c r="G27" s="7">
        <f>Estado[[#This Row],[2019]]/5095171</f>
        <v>1.5404389764347458E-2</v>
      </c>
      <c r="H27" s="3">
        <v>88205</v>
      </c>
      <c r="I27" s="7">
        <f>Estado[[#This Row],[2020]]/5783109</f>
        <v>1.525217664062704E-2</v>
      </c>
      <c r="J27" s="3">
        <v>53796</v>
      </c>
      <c r="K27" s="7">
        <f>Estado[[#This Row],[2021]]/3389832</f>
        <v>1.5869813017282273E-2</v>
      </c>
    </row>
    <row r="28" spans="1:11" x14ac:dyDescent="0.25">
      <c r="A28" s="2" t="s">
        <v>73</v>
      </c>
      <c r="B28" s="3">
        <v>67615</v>
      </c>
      <c r="C28" s="7">
        <f>Estado[[#This Row],[2017]]/6731278</f>
        <v>1.0044897863377504E-2</v>
      </c>
      <c r="D28" s="3">
        <v>54390</v>
      </c>
      <c r="E28" s="7">
        <f>Estado[[#This Row],[2018]]/5513733</f>
        <v>9.8644602486192209E-3</v>
      </c>
      <c r="F28" s="3">
        <v>46249</v>
      </c>
      <c r="G28" s="7">
        <f>Estado[[#This Row],[2019]]/5095171</f>
        <v>9.0770260703713374E-3</v>
      </c>
      <c r="H28" s="3">
        <v>59209</v>
      </c>
      <c r="I28" s="7">
        <f>Estado[[#This Row],[2020]]/5783109</f>
        <v>1.0238264573605651E-2</v>
      </c>
      <c r="J28" s="3">
        <v>30873</v>
      </c>
      <c r="K28" s="7">
        <f>Estado[[#This Row],[2021]]/3389832</f>
        <v>9.1075309926863628E-3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Ano 2017</vt:lpstr>
      <vt:lpstr>Total</vt:lpstr>
      <vt:lpstr>por Idade</vt:lpstr>
      <vt:lpstr>Sexo</vt:lpstr>
      <vt:lpstr>Raça</vt:lpstr>
      <vt:lpstr>Nacionalidade</vt:lpstr>
      <vt:lpstr>Tipo da Escola</vt:lpstr>
      <vt:lpstr>Tipo da Escola por Raça</vt:lpstr>
      <vt:lpstr>Estado</vt:lpstr>
      <vt:lpstr>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Nunes</dc:creator>
  <cp:lastModifiedBy>Jonas Nunes</cp:lastModifiedBy>
  <dcterms:created xsi:type="dcterms:W3CDTF">2023-02-17T14:11:27Z</dcterms:created>
  <dcterms:modified xsi:type="dcterms:W3CDTF">2023-02-18T20:08:28Z</dcterms:modified>
</cp:coreProperties>
</file>