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050"/>
  </bookViews>
  <sheets>
    <sheet name="RECEITA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<sst xmlns="http://schemas.openxmlformats.org/spreadsheetml/2006/main" count="994" uniqueCount="376">
  <si>
    <t>MENU PRINCIPAL</t>
  </si>
  <si>
    <t>MARÇO</t>
  </si>
  <si>
    <t>RECEBIMENTOS</t>
  </si>
  <si>
    <t>CASH BACK</t>
  </si>
  <si>
    <t>Nº</t>
  </si>
  <si>
    <t>VALOR</t>
  </si>
  <si>
    <t xml:space="preserve">ESCRITÓRIO </t>
  </si>
  <si>
    <t>SOMATÓRIA</t>
  </si>
  <si>
    <t>DATA PAGTO</t>
  </si>
  <si>
    <t>NUM.PAG.</t>
  </si>
  <si>
    <t>POSIÇÃO</t>
  </si>
  <si>
    <t>CLIENTE</t>
  </si>
  <si>
    <t>ÁREA JURÍDICA</t>
  </si>
  <si>
    <t xml:space="preserve">DESCRIÇÃO DOS SERVIÇOS </t>
  </si>
  <si>
    <t>VALOR CONTRATO</t>
  </si>
  <si>
    <t>PAGAMENTO</t>
  </si>
  <si>
    <t>VALOR RECEBIDO</t>
  </si>
  <si>
    <t>FORMA PAGTO</t>
  </si>
  <si>
    <t xml:space="preserve">CAPTAÇÃO  </t>
  </si>
  <si>
    <t>ATUAÇÃO TÉCNICA</t>
  </si>
  <si>
    <t>CONFERENCIA</t>
  </si>
  <si>
    <t>SALDO A RECEBER</t>
  </si>
  <si>
    <t>PARCELA</t>
  </si>
  <si>
    <t>CONTRATO</t>
  </si>
  <si>
    <t>OBSERVAÇÕES</t>
  </si>
  <si>
    <t>RECEBIDO</t>
  </si>
  <si>
    <t>SALVADOR RODRIGUES MIRANDA</t>
  </si>
  <si>
    <t>SUCESSÕES</t>
  </si>
  <si>
    <t>INVENTÁRIO C.C PARTILHA BENS</t>
  </si>
  <si>
    <t>20 X R$200,00</t>
  </si>
  <si>
    <t>J.S</t>
  </si>
  <si>
    <t>JÉTER</t>
  </si>
  <si>
    <t>PARCELAS 1/2/3 DE 20</t>
  </si>
  <si>
    <t>CONTRATO OUTUBRO 2024</t>
  </si>
  <si>
    <t>PAGOU PARCELAS JAN / FEV/ MARÇ 2025</t>
  </si>
  <si>
    <t>FÁBIO LEANDRO JERONIMO</t>
  </si>
  <si>
    <t>FAMÍLIA</t>
  </si>
  <si>
    <t xml:space="preserve"> DIV. C.C GUARDA C.C REG. VISITAS</t>
  </si>
  <si>
    <t>10 X R$300,00</t>
  </si>
  <si>
    <t>PIX JS PJ ITAÚ</t>
  </si>
  <si>
    <t>SIMONE</t>
  </si>
  <si>
    <t>PARCELA 10 DE 10</t>
  </si>
  <si>
    <t>CONTRATO JUNHO</t>
  </si>
  <si>
    <t>PAGAMENTO ENCERRADO</t>
  </si>
  <si>
    <t>GLORIA APARECIDA DA COSTA</t>
  </si>
  <si>
    <t>CRIMINAL</t>
  </si>
  <si>
    <t>EXEC. PENAL IGOR W.C. SANTOS</t>
  </si>
  <si>
    <t>10 X R$500,00</t>
  </si>
  <si>
    <t>PIX JS PJ</t>
  </si>
  <si>
    <t>ITABERABA</t>
  </si>
  <si>
    <t>PARC. 08 DE 10</t>
  </si>
  <si>
    <t>CONTRATO AGOSTO 2024</t>
  </si>
  <si>
    <t>PARC. ITABERABA 20% LIQ. ESCR. R$400,00</t>
  </si>
  <si>
    <t>CARLOS EDUARDO ROMUALDO DA SILVA</t>
  </si>
  <si>
    <t>REURB Q.D</t>
  </si>
  <si>
    <t xml:space="preserve"> CONSTITUIÇÃO ASSOCIAÇÃO QUEBRA DENTES</t>
  </si>
  <si>
    <t>15 X R$200,00</t>
  </si>
  <si>
    <t>BOLETO ITAU</t>
  </si>
  <si>
    <t>JS</t>
  </si>
  <si>
    <t>PARCELA 12 DE 15</t>
  </si>
  <si>
    <t>CONTRATO ABRIL 2024</t>
  </si>
  <si>
    <t>MOISÉS ROCHA DE OLIVEIRA + ANDIARA</t>
  </si>
  <si>
    <t>CÍVEL</t>
  </si>
  <si>
    <t>CONTESTAÇÃO / REINTEGRAÇÃO POSSE</t>
  </si>
  <si>
    <t>25 X R$200,00</t>
  </si>
  <si>
    <t>PARCELA 16 DE 25</t>
  </si>
  <si>
    <t>CONTRATO OUTUBRO 2023</t>
  </si>
  <si>
    <t>JETER</t>
  </si>
  <si>
    <t>NIVALDO DA SILVA JOQUIM</t>
  </si>
  <si>
    <t>13 X R$200,00</t>
  </si>
  <si>
    <t>CARTÃO DÉBITO</t>
  </si>
  <si>
    <t>PARCELA 04 DE 13</t>
  </si>
  <si>
    <t>CESSÃO DIREITOS CHÁCARA 16</t>
  </si>
  <si>
    <t>ASSUMIU PARCELAS OCIMAR</t>
  </si>
  <si>
    <t>CÉLIO APARECIDO PEDROSO</t>
  </si>
  <si>
    <t>IMOBILIÁRIO</t>
  </si>
  <si>
    <t>ADJUDICAÇÃO COMPULSÓRIA</t>
  </si>
  <si>
    <t>R$2.000,00+ 6 X R$500,00</t>
  </si>
  <si>
    <t>PARCELA 03 DE 06 R$500,00</t>
  </si>
  <si>
    <t>CONTRATO NOVEMBRO</t>
  </si>
  <si>
    <t>ATUAÇÃO JÉTER</t>
  </si>
  <si>
    <t>ALANA FANTINI SANTIAGO</t>
  </si>
  <si>
    <t>CUMPRIMENTO DE SENTENÇA ALIMENTOS</t>
  </si>
  <si>
    <t>PARCELAS 30% DO VALOR RECEBIDO</t>
  </si>
  <si>
    <t>PARCELA 07</t>
  </si>
  <si>
    <t>CONTRATO MAIO 2024</t>
  </si>
  <si>
    <t>ERICA VIEIRA GOMES</t>
  </si>
  <si>
    <t>OBRIGAÇÃO DE FAZER</t>
  </si>
  <si>
    <t>PARCELADO 10 X R$200,00</t>
  </si>
  <si>
    <t>PARCELA 04 DE 10</t>
  </si>
  <si>
    <t>CONTRATO DEZEMBRO 2024</t>
  </si>
  <si>
    <t>CRISTIANO</t>
  </si>
  <si>
    <t>RODRIGO LIRA DE SOUZA</t>
  </si>
  <si>
    <t>FAMILIA</t>
  </si>
  <si>
    <t>OFERTA DE ALIMENTOS /GUARDA /VISITAS</t>
  </si>
  <si>
    <t>14 X R$300,00</t>
  </si>
  <si>
    <t>PARCELA 11 DE 14</t>
  </si>
  <si>
    <t>CONTRATO MARÇO 2024</t>
  </si>
  <si>
    <t>PARCELA REF. JANEIRO 2025</t>
  </si>
  <si>
    <t>MANDADO SEGURANÇA / CDHU</t>
  </si>
  <si>
    <t>10 X R$200,00</t>
  </si>
  <si>
    <t>EDUARDO</t>
  </si>
  <si>
    <t>PARCELA 05 DE 10</t>
  </si>
  <si>
    <t>CONTRATO SETEMBRO 2024</t>
  </si>
  <si>
    <t>MARINA RODRIGUES FROES DA CUNHA</t>
  </si>
  <si>
    <t>QUEIXA CRIME</t>
  </si>
  <si>
    <t>ENTRADA R$305,00 + 18 X R$205,00</t>
  </si>
  <si>
    <t>PARC 11 DE 18 - RENEG.</t>
  </si>
  <si>
    <t>CONTRATO DEZEMBRO 2023</t>
  </si>
  <si>
    <t>RENEGOCIAÇÃO MARÇO 2024</t>
  </si>
  <si>
    <t>RODRIGO CARDOSO DE FARIA</t>
  </si>
  <si>
    <t>AÇÃO DANOS MAT. AC. DE TRÂNSITO</t>
  </si>
  <si>
    <t>PRO EXITO 30% (12 X R$150,00)</t>
  </si>
  <si>
    <t>PARCELA 04 DE 12</t>
  </si>
  <si>
    <t>PRÓ EXITO / ACORDO</t>
  </si>
  <si>
    <t>PAGTO ADELSON JOSE DA SILVA</t>
  </si>
  <si>
    <t>JANE CLEA DE SOUZA FORTUNATO</t>
  </si>
  <si>
    <t xml:space="preserve"> DIVÓRCIO C.C. GUARDA, VISITAS, ALIMENTOS</t>
  </si>
  <si>
    <t xml:space="preserve">PARCELA 03 DE 10 </t>
  </si>
  <si>
    <t>JAIR GUEDES DE SOUZA</t>
  </si>
  <si>
    <t>PREVIDENCIÁRIO</t>
  </si>
  <si>
    <t>RESTABELECIMENTO BENEFÍCIO</t>
  </si>
  <si>
    <t>PRÓ EXITO 30%</t>
  </si>
  <si>
    <t>PARCELA 2</t>
  </si>
  <si>
    <t>CONTRATO  JULHO 2024</t>
  </si>
  <si>
    <t>SALDO DE BENEFÍCIO</t>
  </si>
  <si>
    <t>VALOR BRUTO R$4.521,90</t>
  </si>
  <si>
    <t>CARLA SILVA DOS SANTOS ISMARSI</t>
  </si>
  <si>
    <t xml:space="preserve">BOLETO PJ </t>
  </si>
  <si>
    <t>PARCELA 10 DE 15</t>
  </si>
  <si>
    <t>PARCELA JANEIRO 2025</t>
  </si>
  <si>
    <t>FELIPE RENATO DA SILVA</t>
  </si>
  <si>
    <t>PARCELA DEZEMBRO 2024</t>
  </si>
  <si>
    <t>NEILA CAMINAGA DE SOUZA LAUREANO / LEANDRO LAUREANO</t>
  </si>
  <si>
    <t xml:space="preserve">AÇÃO PARA INTERNAÇÃO COMPULSÓRIA </t>
  </si>
  <si>
    <t>10 X R$423,60</t>
  </si>
  <si>
    <t>PARCELA 07 DE 10</t>
  </si>
  <si>
    <t>CONTRATO SET/24</t>
  </si>
  <si>
    <t>NIVALDO EUGÊNIO DE MELLO /IVONETE  DE MELLO</t>
  </si>
  <si>
    <t>PARCELA 17 DE 25</t>
  </si>
  <si>
    <t>CONTRATO JUNHO 2023</t>
  </si>
  <si>
    <t>PARCELA REF. DEZEMBRO 2024</t>
  </si>
  <si>
    <t>DARCI APARECIDO MANTOVANI</t>
  </si>
  <si>
    <t>PARCELA 19 DE 25</t>
  </si>
  <si>
    <t>CONTRATO JUNHO  2023</t>
  </si>
  <si>
    <t>SHEILA MASSARENTI DOS SANTOS</t>
  </si>
  <si>
    <t>ATUAÇÃO NA FASE DE TRANSAÇÃO PENAL (ANPP)</t>
  </si>
  <si>
    <t>ENTRADA R$450,00 + 1 R$700,00 + 4 X R$500,00</t>
  </si>
  <si>
    <t>PARCELA 3 R$500,00</t>
  </si>
  <si>
    <t>CONTRATO NOVEMBRO 2024</t>
  </si>
  <si>
    <t>EDILSON ALVES DA SILVA</t>
  </si>
  <si>
    <t>DEFESA CRIMINAL</t>
  </si>
  <si>
    <t>8 X R$600,00 + 1 X R$200,00</t>
  </si>
  <si>
    <t>PARC. 04 DE 08 R$600,00</t>
  </si>
  <si>
    <t>OCIMAR ANTONIO MAIA</t>
  </si>
  <si>
    <t>AÇÃO DE CONSIGNAÇÃO EM PAGAMENTO</t>
  </si>
  <si>
    <t>22 X R$100,00</t>
  </si>
  <si>
    <t>PARCELA 21 DE 25</t>
  </si>
  <si>
    <t>VIANEIDE DE SOUSA CINTRA DE CAMPOS</t>
  </si>
  <si>
    <t>20 X R$250,00</t>
  </si>
  <si>
    <t>PARCELA 15 DE 25</t>
  </si>
  <si>
    <t>CONTRATO SETEMBRO 2023</t>
  </si>
  <si>
    <t>JOSÉ AYRES E LUCIENE</t>
  </si>
  <si>
    <t>RICCI CONTABILIDADE LTDA</t>
  </si>
  <si>
    <t>EXECUÇÃO DE HONORÁRIOS ALTOTEC</t>
  </si>
  <si>
    <t>33 X R$360,00 + CORREÇÃO</t>
  </si>
  <si>
    <t xml:space="preserve">PARCELA 15 DE 33 </t>
  </si>
  <si>
    <t>ACORDO HOMOLOGADO (20%)</t>
  </si>
  <si>
    <t>VR. REC. R$1.886,00 LIQ. RICCI  R$1.508,00</t>
  </si>
  <si>
    <t>ELENIR MARTINS / ENZO RYAN DE JESUS</t>
  </si>
  <si>
    <t>EXEC. ALIMENTOS RITO 528 CPC</t>
  </si>
  <si>
    <t>PRÓ EXITO 30% - PARCELA ÚNICA</t>
  </si>
  <si>
    <t>DEPÓSITO JUDICIAL</t>
  </si>
  <si>
    <t>WANESSA RODRIGUES DE MELO</t>
  </si>
  <si>
    <t xml:space="preserve"> REC. DISS. UNIÃO ESTÁVEL C.C PARTILHA DE BENS</t>
  </si>
  <si>
    <t>12 X R$1000,00 + PRÓ EXITO 30%</t>
  </si>
  <si>
    <t>PARCELA ÚNICA</t>
  </si>
  <si>
    <t>VR. REC. R$2.577,13 VR. LIQ.CLTE R$1.804,00</t>
  </si>
  <si>
    <t>ADELMO PEREIRA DA SILVA</t>
  </si>
  <si>
    <t>IMPUG. EXEC. /DESB. SAL. POUP.</t>
  </si>
  <si>
    <t>PRÓ EXITO 20%</t>
  </si>
  <si>
    <t>PARCELA 02</t>
  </si>
  <si>
    <t>AG. LIB. SALDO BLOQ. OUTROS BANCOS</t>
  </si>
  <si>
    <t>VITOR LEANDRO DORIGHELLO CARARETO</t>
  </si>
  <si>
    <t>INV. PATERN + REVISIONAL DE GUARDA + QUEIXA CRIME</t>
  </si>
  <si>
    <t>08 X R$500,00 + 23 X R$750,00 + 02 X R$500,00</t>
  </si>
  <si>
    <t>PARC. 31 DE 33</t>
  </si>
  <si>
    <t>* ADC. 7 PARC. R$750,00 REF. QUEIX.CRIM.</t>
  </si>
  <si>
    <t>TRABALHISTA</t>
  </si>
  <si>
    <t>RECLAMAÇÃO TRABALHISTA D.A.E / S.B.O</t>
  </si>
  <si>
    <t>17 X R$250,00</t>
  </si>
  <si>
    <t>PARCELA 06 DE 17</t>
  </si>
  <si>
    <t>CONTRATO AGOSTO</t>
  </si>
  <si>
    <t>ANA CARINA CAMPIÃO</t>
  </si>
  <si>
    <t>DIVÓRCIO CONSENSUAL</t>
  </si>
  <si>
    <t>3 X R$500,00</t>
  </si>
  <si>
    <t>PARCELA 03 DE 03</t>
  </si>
  <si>
    <t>RESTANTE FOI PAGO PELO FABRÍCIO</t>
  </si>
  <si>
    <t>FABIANA CAMPAGNOLO / LEONARDO</t>
  </si>
  <si>
    <t>AÇÃO DE INVENTÁRIO/ADJUDICAÇÃO</t>
  </si>
  <si>
    <t>11 X R$300,00 + 2 X R$350,00</t>
  </si>
  <si>
    <t>PARCELA 06 DE 11 R$300,00</t>
  </si>
  <si>
    <t>LUIS FERNANDO SOARES DA SILVA</t>
  </si>
  <si>
    <t xml:space="preserve"> REST. BENEFÍCIO POR INCAPACIDADE TEMPORÁRIA</t>
  </si>
  <si>
    <t>PRÓ-EXITO 30%</t>
  </si>
  <si>
    <t>DINHEIRO</t>
  </si>
  <si>
    <t>ARISTIDES ALVES DA SILVA /SILVANA F. GIOVANNETTI</t>
  </si>
  <si>
    <t>AÇÃO REVISIONAL DE ALIMENTOS</t>
  </si>
  <si>
    <t>ENTRADA R$1.000,00 + 17 X R$500,00</t>
  </si>
  <si>
    <t>PARCELA 10 DE 17 R$500,00</t>
  </si>
  <si>
    <t>PARCELA NOVEMBRO</t>
  </si>
  <si>
    <t>JOÃO LUIZ NASCIMENTO SILVA DE SOUZA MENEZES</t>
  </si>
  <si>
    <t>CONTESTAÇÃO AÇÃO FAMÍLIA</t>
  </si>
  <si>
    <t xml:space="preserve"> 14 X R$300,00 </t>
  </si>
  <si>
    <t>PARCELA 05 DE 14</t>
  </si>
  <si>
    <t>ALZIRA DIAS VIEIRA</t>
  </si>
  <si>
    <t>AÇÃO DECLARATÓRIA NULIDADE EMPREST. CONSIG.</t>
  </si>
  <si>
    <t>ELOIZA</t>
  </si>
  <si>
    <t>CAPT. + ATUAÇÃO ELOIZA CARMONA</t>
  </si>
  <si>
    <t>VR BRUTO R$21.160,86 / VR. LIQ.R$12.336,76</t>
  </si>
  <si>
    <t>MAYK JOSÉ COSTA SOUZA</t>
  </si>
  <si>
    <t>AÇÃO DANOS MATERIAIS E MORAIS</t>
  </si>
  <si>
    <t>CAPT. + ATUAÇÃO JÉTER TOVANI</t>
  </si>
  <si>
    <t>VR BRUTO R$15.522,10 / VR. LIQ. R$9.800,00</t>
  </si>
  <si>
    <t>ZULMIRA DA SILVA</t>
  </si>
  <si>
    <t>DOAÇÃO EXTRAJUDICIAL DE IMÓVEL</t>
  </si>
  <si>
    <t>MARIA REGINA BORT CARDOSO DE FARIA</t>
  </si>
  <si>
    <t>AÇÃO JUDICIAL SOBREPARTILHA</t>
  </si>
  <si>
    <t>12 X R$500,00</t>
  </si>
  <si>
    <t>PARCELA 12 DE 12</t>
  </si>
  <si>
    <t>ANTONIO MENDES DE OLIVEIRA</t>
  </si>
  <si>
    <t xml:space="preserve"> RESTABELECIMENTO BENEFÍCIO </t>
  </si>
  <si>
    <t>PRÓ-EXITO 30% + 3 BENEFÍCIOS</t>
  </si>
  <si>
    <t xml:space="preserve">LANÇAMENTOS CONFERIDOS </t>
  </si>
  <si>
    <t>DESC. JÉTER</t>
  </si>
  <si>
    <t>PARCEIROS</t>
  </si>
  <si>
    <t>RESSARCIMENTO</t>
  </si>
  <si>
    <t>SALDO ANTERIOR</t>
  </si>
  <si>
    <t>REC. LIQUIDA</t>
  </si>
  <si>
    <t>TOT. REPASSADO</t>
  </si>
  <si>
    <t>RESSARC. CX JS ADV</t>
  </si>
  <si>
    <t>SALDO REMAN.</t>
  </si>
  <si>
    <t>SUBTOTAL 1</t>
  </si>
  <si>
    <t>S1</t>
  </si>
  <si>
    <t>CAPTAÇÕES EXTERNAS</t>
  </si>
  <si>
    <t>LORRAINE</t>
  </si>
  <si>
    <t>KAMILY</t>
  </si>
  <si>
    <t>ISABEL</t>
  </si>
  <si>
    <t>ALEXANDRE</t>
  </si>
  <si>
    <t>DANIELA</t>
  </si>
  <si>
    <t>CAPT. EXTERNA</t>
  </si>
  <si>
    <t>ATUAÇÃO TÉC. EXTERNA</t>
  </si>
  <si>
    <t>S2</t>
  </si>
  <si>
    <t>SUBTOTAL 2</t>
  </si>
  <si>
    <t>SUB TOT</t>
  </si>
  <si>
    <t>SUBTOTAL 3</t>
  </si>
  <si>
    <t>VALOR LIQUIDO RECEBIDO</t>
  </si>
  <si>
    <t>TOT</t>
  </si>
  <si>
    <t>VALOR BRUTO RECEBIDO</t>
  </si>
  <si>
    <t>PART.</t>
  </si>
  <si>
    <t>TOTAL GERAL</t>
  </si>
  <si>
    <t>CONFER</t>
  </si>
  <si>
    <t>META ANUAL</t>
  </si>
  <si>
    <t>META MENSAL</t>
  </si>
  <si>
    <t>RESULTADO</t>
  </si>
  <si>
    <t>AGUARDANDO</t>
  </si>
  <si>
    <t>CLIENTES MENSALISTAS - AGUARDANDO</t>
  </si>
  <si>
    <t>PARCELA 08 DE 15</t>
  </si>
  <si>
    <t>SÉRGIO OLIVEIRA SILVA</t>
  </si>
  <si>
    <t>DIV. C.C PART. BENS + ALIM. + DEF. EXEC. ALIM.</t>
  </si>
  <si>
    <t>3 X R$1.320,00 + 2 X R$1.412,00</t>
  </si>
  <si>
    <t>PARCELA 5 PARCIAL</t>
  </si>
  <si>
    <t>RESTA R$824,00</t>
  </si>
  <si>
    <t>ROSILENE SOARES DE CARVALHO</t>
  </si>
  <si>
    <t>TRIBUTÁRIO</t>
  </si>
  <si>
    <t>CONTESTAÇÃO EXECUÇÃO (ITCMD).</t>
  </si>
  <si>
    <t xml:space="preserve">4 X R$500,00 + PRÓ EXITO 30% </t>
  </si>
  <si>
    <t>ELOÍZA</t>
  </si>
  <si>
    <t>PARCELA 04 DE 04 R$500,00</t>
  </si>
  <si>
    <t>DOUGLAS CARVALHO / VALMIR</t>
  </si>
  <si>
    <t>PROPOSITURA DE QUEIXA CRIME</t>
  </si>
  <si>
    <t>ENTRADA R$1.500,00 + 6 X R$500,00</t>
  </si>
  <si>
    <t>PARCELA 01 DE 06 (R$500,00)</t>
  </si>
  <si>
    <t>CRISTIANE DE OLIVEIRA DE SOUZA</t>
  </si>
  <si>
    <t>ACOMPANHAMENTO EM AUDIENCIA</t>
  </si>
  <si>
    <t>BOLETO PJ ITAÚ</t>
  </si>
  <si>
    <t>ANDRÉ FILLIPE PEREIRA</t>
  </si>
  <si>
    <t>AÇÃO DE GUARDA C.C REGULAMENTAÇÃO DE VISITAS</t>
  </si>
  <si>
    <t xml:space="preserve"> 10 X R$500,00 </t>
  </si>
  <si>
    <t>PARCELA 02 DE 10</t>
  </si>
  <si>
    <t>ISMAEL APARECIDO DA SILVA</t>
  </si>
  <si>
    <t>MARIA ELENA DE FREITAS SILVA / ALICE</t>
  </si>
  <si>
    <t>AÇÃO DE ALIMENTOS; GUARDA-COMPARTILHADA E FIXAÇÃO DE VISITAS</t>
  </si>
  <si>
    <t>10 X R$400,00</t>
  </si>
  <si>
    <t>PARCELA 03 DE 10</t>
  </si>
  <si>
    <t>LÁZARO APARECIDO SABINO</t>
  </si>
  <si>
    <t>PARCELA 07 DE 15</t>
  </si>
  <si>
    <t>INICIO EM OUTUBRO</t>
  </si>
  <si>
    <t>ELCIONE INACIO DA SILVA</t>
  </si>
  <si>
    <t xml:space="preserve">BRUNO GOMES - MATHEUS VIRGILIO </t>
  </si>
  <si>
    <t>ACORDO DE ANPP</t>
  </si>
  <si>
    <t>PACELA 2 DE 12</t>
  </si>
  <si>
    <t>CONTRATO EM OUTUBRO</t>
  </si>
  <si>
    <t>PARCELA REF. NOVEMBRO 2024</t>
  </si>
  <si>
    <t>MARCOS VINÍCIUS PRADO DE CASTRO</t>
  </si>
  <si>
    <t>ENTRADA R$1000,00 + R$300,00 + R$924,00</t>
  </si>
  <si>
    <t>CONTRATO  JANEIRO 25</t>
  </si>
  <si>
    <t>CARLOS DOMINGOS DE FREITAS</t>
  </si>
  <si>
    <t>CONTESTAÇÃO ALIENAÇÃO FIDUCIÁRIA</t>
  </si>
  <si>
    <t>PARCELA 06 DE 10</t>
  </si>
  <si>
    <t xml:space="preserve"> DIV.CONS. C.C PARTILHA / GUARDA/ VISITAS</t>
  </si>
  <si>
    <t>5 X R$1.000,00</t>
  </si>
  <si>
    <t>PARCELA 02 DE 05</t>
  </si>
  <si>
    <t>EDIMILSON PEREIRA DE SOUZA</t>
  </si>
  <si>
    <t>BOLETO JS PJ</t>
  </si>
  <si>
    <t>PARCELA 09 DE 15</t>
  </si>
  <si>
    <t xml:space="preserve">PARCELA 13 DE 33 </t>
  </si>
  <si>
    <t>PAGTO ALTOTEC PARCELA SETEMBRO  2024</t>
  </si>
  <si>
    <t>HOSANA SALDANHA ANTUNES PEREIRA</t>
  </si>
  <si>
    <t xml:space="preserve">DEFESA CRIMINAL WILSON SALDANHA ANTUNES </t>
  </si>
  <si>
    <t>12 X R$353,00</t>
  </si>
  <si>
    <t>PARCELA 2 DE 12</t>
  </si>
  <si>
    <t>DAVID HENRIQUE CAMARGO</t>
  </si>
  <si>
    <t>DIVÓRCIO CONSENSUAL C.C PART. BENS /GUARDA / ALIMENTOS</t>
  </si>
  <si>
    <t>2 X R$1.000,00 + 5 X R$200,00 + R$1.5000,00</t>
  </si>
  <si>
    <t>PARCELA 01 /05 DE R$200,00</t>
  </si>
  <si>
    <t>PAGTO SHIRLEY MAGALY PEREIRA</t>
  </si>
  <si>
    <t>REF. PARCELA NOVEMBRO 2024</t>
  </si>
  <si>
    <t>REF. PARCELA DEZEMBRO 2024</t>
  </si>
  <si>
    <t>LUIS CARLOS COSTA</t>
  </si>
  <si>
    <t xml:space="preserve"> CONSTITUIÇÃO ASSOCIAÇÃO QUEBRA DESTES</t>
  </si>
  <si>
    <t>REF. PARCELA JANEIRO 2025</t>
  </si>
  <si>
    <t>LOURIVAL JOAQUIM DE OLIVEIRA</t>
  </si>
  <si>
    <t>PARCELA 11 DE 15</t>
  </si>
  <si>
    <t>AIRES MAGRI</t>
  </si>
  <si>
    <t>DEFESA RECLAMAÇÃO TRABALHISTA</t>
  </si>
  <si>
    <t>10 X R$776,00</t>
  </si>
  <si>
    <t>CONTRATO JUNHO 2024</t>
  </si>
  <si>
    <t>JOSÉ APARECIDO RODRIGUES</t>
  </si>
  <si>
    <t>JOAO BATISTA DA SILVA FIGUEREDO</t>
  </si>
  <si>
    <t xml:space="preserve">RECLAMAÇÃO TRABALHISTA </t>
  </si>
  <si>
    <t>6 X R$450,00</t>
  </si>
  <si>
    <t>TED PJ JS ITÁU</t>
  </si>
  <si>
    <t>PARCELA 01 DE 06</t>
  </si>
  <si>
    <t>PRÓ EXITO 30 %</t>
  </si>
  <si>
    <t>CAPTAÇÃO RAIMUNDO ITABERABA</t>
  </si>
  <si>
    <t>LIQUIDO ESCR. R$360,00</t>
  </si>
  <si>
    <t xml:space="preserve">ANA CLAUDIA MAZIA NUNES </t>
  </si>
  <si>
    <t>ACORDO RECLAMAÇÃO TRABALHISTA</t>
  </si>
  <si>
    <t>10 X R$240,00</t>
  </si>
  <si>
    <t>VALOR BRUTO RECEBIDO R$800,00</t>
  </si>
  <si>
    <t xml:space="preserve"> R$240,00 ESCRITÓRIO R$560,00 CLIENTE</t>
  </si>
  <si>
    <t>PARCELA 02 DE 06 (R$500,00)</t>
  </si>
  <si>
    <t>ASSESSORIA EMPRESARIAL</t>
  </si>
  <si>
    <t>12 X R$910,00</t>
  </si>
  <si>
    <t xml:space="preserve">PARCELA 05 DE 12 </t>
  </si>
  <si>
    <t>CONTRATO RENOVADO OUT. 24</t>
  </si>
  <si>
    <t>MÁRCIA APARECIDA SANTOS LORCA</t>
  </si>
  <si>
    <t>MICHELE GRACIANO MONTEIRO</t>
  </si>
  <si>
    <t xml:space="preserve">AÇÃO DE GUARDA UNIL. C.C. REG. VIS, C.C ALIMENTOS </t>
  </si>
  <si>
    <t>CONTRATO EM FEVEREIRO</t>
  </si>
  <si>
    <t>LEANDRO GOMES DA SILVA / ANA PAULA</t>
  </si>
  <si>
    <t>CUMPR. SENTENÇA / EXEC. ALIMENTOS</t>
  </si>
  <si>
    <t>W SITA LTDA</t>
  </si>
  <si>
    <t>12 x R$ 2.100</t>
  </si>
  <si>
    <t>PARCELA 01 DE 12</t>
  </si>
  <si>
    <t>RENOVAÇÃO CONTRATO ATÉ 12/2025</t>
  </si>
  <si>
    <t xml:space="preserve">PAGAMENTO CONFERIDO </t>
  </si>
  <si>
    <t>REPASSES</t>
  </si>
  <si>
    <t>1A. QUINZENA</t>
  </si>
  <si>
    <t>2ª QUINZENA</t>
  </si>
  <si>
    <t>RESÍDUOS</t>
  </si>
  <si>
    <t>ESCRITORIO / MANUTENÇÃO</t>
  </si>
  <si>
    <t>DANIELA / ATUAÇÃO TÉCNICA</t>
  </si>
  <si>
    <t>RAIMUNDO / CAPTAÇÃO EXTERNA</t>
  </si>
  <si>
    <t>R$120,00 JS /JÉTER/DANIELA / CASH BACK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</si>
</sst>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&quot;R$&quot;\ #,##0.00"/>
    <numFmt numFmtId="181" formatCode="&quot;R$&quot;\ #,##0.00;[Red]\-&quot;R$&quot;\ #,##0.00"/>
  </numFmts>
  <fonts count="39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0"/>
      <color theme="1"/>
      <name val="Calibri"/>
      <charset val="134"/>
    </font>
    <font>
      <sz val="11"/>
      <color rgb="FFFFFF00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u/>
      <sz val="10"/>
      <name val="Calibri"/>
      <charset val="134"/>
    </font>
    <font>
      <sz val="10"/>
      <color theme="0"/>
      <name val="Calibri"/>
      <charset val="134"/>
      <scheme val="minor"/>
    </font>
    <font>
      <b/>
      <sz val="10"/>
      <color theme="0"/>
      <name val="Calibri"/>
      <charset val="134"/>
    </font>
    <font>
      <sz val="10"/>
      <name val="Calibri"/>
      <charset val="134"/>
    </font>
    <font>
      <sz val="10"/>
      <color rgb="FFFFFF00"/>
      <name val="Calibri"/>
      <charset val="134"/>
    </font>
    <font>
      <sz val="10"/>
      <color rgb="FF000000"/>
      <name val="Calibri"/>
      <charset val="134"/>
    </font>
    <font>
      <sz val="10"/>
      <color theme="0"/>
      <name val="Calibri"/>
      <charset val="134"/>
    </font>
    <font>
      <sz val="10"/>
      <name val="Calibri"/>
      <charset val="134"/>
      <scheme val="minor"/>
    </font>
    <font>
      <sz val="10"/>
      <color rgb="FF000000"/>
      <name val="Calibri"/>
      <charset val="134"/>
      <scheme val="minor"/>
    </font>
    <font>
      <b/>
      <sz val="10"/>
      <name val="Calibri"/>
      <charset val="134"/>
    </font>
    <font>
      <b/>
      <sz val="10"/>
      <color theme="1"/>
      <name val="Calibri"/>
      <charset val="134"/>
    </font>
    <font>
      <b/>
      <sz val="10"/>
      <color rgb="FF000000"/>
      <name val="Calibri"/>
      <charset val="134"/>
    </font>
    <font>
      <b/>
      <sz val="11.5"/>
      <color theme="1"/>
      <name val="Arial"/>
      <charset val="134"/>
    </font>
    <font>
      <sz val="11"/>
      <color theme="0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12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89F99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87FB8D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822992645039"/>
        <bgColor rgb="FF00B050"/>
      </patternFill>
    </fill>
    <fill>
      <patternFill patternType="solid">
        <fgColor rgb="FFA9D08E"/>
        <bgColor indexed="64"/>
      </patternFill>
    </fill>
    <fill>
      <patternFill patternType="solid">
        <fgColor theme="1" tint="0.149845881527146"/>
        <bgColor rgb="FF3F3151"/>
      </patternFill>
    </fill>
    <fill>
      <patternFill patternType="solid">
        <fgColor theme="1" tint="0.149845881527146"/>
        <bgColor indexed="64"/>
      </patternFill>
    </fill>
    <fill>
      <patternFill patternType="solid">
        <fgColor rgb="FF7030A0"/>
        <bgColor rgb="FF7030A0"/>
      </patternFill>
    </fill>
    <fill>
      <patternFill patternType="solid">
        <fgColor theme="0"/>
        <bgColor rgb="FF7030A0"/>
      </patternFill>
    </fill>
    <fill>
      <patternFill patternType="solid">
        <fgColor rgb="FF00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C65911"/>
        <bgColor rgb="FF00FF99"/>
      </patternFill>
    </fill>
    <fill>
      <patternFill patternType="solid">
        <fgColor rgb="FFFFFF00"/>
        <bgColor rgb="FF00FF99"/>
      </patternFill>
    </fill>
    <fill>
      <patternFill patternType="solid">
        <fgColor rgb="FFFFFF00"/>
        <bgColor rgb="FFFFFF00"/>
      </patternFill>
    </fill>
    <fill>
      <patternFill patternType="solid">
        <fgColor theme="1"/>
        <bgColor rgb="FF00FF99"/>
      </patternFill>
    </fill>
    <fill>
      <patternFill patternType="solid">
        <fgColor rgb="FF002060"/>
        <bgColor indexed="64"/>
      </patternFill>
    </fill>
    <fill>
      <patternFill patternType="solid">
        <fgColor rgb="FF00FFCC"/>
        <bgColor rgb="FFFFFF00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BDD7EE"/>
        <bgColor rgb="FF00B050"/>
      </patternFill>
    </fill>
    <fill>
      <patternFill patternType="solid">
        <fgColor rgb="FF00B050"/>
        <bgColor rgb="FF00B050"/>
      </patternFill>
    </fill>
    <fill>
      <patternFill patternType="solid">
        <fgColor rgb="FF0070C0"/>
        <bgColor indexed="64"/>
      </patternFill>
    </fill>
    <fill>
      <patternFill patternType="solid">
        <fgColor rgb="FFFF99CC"/>
        <bgColor rgb="FF00B050"/>
      </patternFill>
    </fill>
    <fill>
      <patternFill patternType="solid">
        <fgColor rgb="FF00FFCC"/>
        <bgColor rgb="FF00B050"/>
      </patternFill>
    </fill>
    <fill>
      <patternFill patternType="solid">
        <fgColor theme="1"/>
        <bgColor rgb="FF00B050"/>
      </patternFill>
    </fill>
    <fill>
      <patternFill patternType="solid">
        <fgColor rgb="FFFF3399"/>
        <bgColor rgb="FFFFFF00"/>
      </patternFill>
    </fill>
    <fill>
      <patternFill patternType="solid">
        <fgColor rgb="FFFF3399"/>
        <bgColor indexed="64"/>
      </patternFill>
    </fill>
    <fill>
      <patternFill patternType="solid">
        <fgColor rgb="FF760000"/>
        <bgColor rgb="FF974806"/>
      </patternFill>
    </fill>
    <fill>
      <patternFill patternType="solid">
        <fgColor rgb="FF00B050"/>
        <bgColor rgb="FF974806"/>
      </patternFill>
    </fill>
    <fill>
      <patternFill patternType="solid">
        <fgColor rgb="FF800000"/>
        <bgColor indexed="64"/>
      </patternFill>
    </fill>
    <fill>
      <patternFill patternType="solid">
        <fgColor theme="8" tint="0.399822992645039"/>
        <bgColor rgb="FF009900"/>
      </patternFill>
    </fill>
    <fill>
      <patternFill patternType="solid">
        <fgColor rgb="FFC6E0B4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1454817346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800000"/>
        <bgColor rgb="FF974806"/>
      </patternFill>
    </fill>
    <fill>
      <patternFill patternType="solid">
        <fgColor theme="8" tint="0.399822992645039"/>
        <bgColor indexed="64"/>
      </patternFill>
    </fill>
    <fill>
      <patternFill patternType="solid">
        <fgColor rgb="FF9BC2E6"/>
        <bgColor rgb="FF009900"/>
      </patternFill>
    </fill>
    <fill>
      <patternFill patternType="solid">
        <fgColor theme="8" tint="0.399853511154515"/>
        <bgColor indexed="64"/>
      </patternFill>
    </fill>
    <fill>
      <patternFill patternType="solid">
        <fgColor theme="0"/>
        <bgColor rgb="FF974806"/>
      </patternFill>
    </fill>
    <fill>
      <patternFill patternType="solid">
        <fgColor theme="0"/>
        <bgColor rgb="FF009900"/>
      </patternFill>
    </fill>
    <fill>
      <patternFill patternType="solid">
        <fgColor rgb="FF760000"/>
        <bgColor indexed="64"/>
      </patternFill>
    </fill>
    <fill>
      <patternFill patternType="solid">
        <fgColor theme="8" tint="0.399853511154515"/>
        <bgColor rgb="FF009900"/>
      </patternFill>
    </fill>
    <fill>
      <patternFill patternType="solid">
        <fgColor rgb="FF9BC2E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A9D08E"/>
        <bgColor rgb="FF00B050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rgb="FF99FF66"/>
      </patternFill>
    </fill>
    <fill>
      <patternFill patternType="solid">
        <fgColor rgb="FF92D050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5" tint="-0.249977111117893"/>
        <bgColor rgb="FF7030A0"/>
      </patternFill>
    </fill>
    <fill>
      <patternFill patternType="solid">
        <fgColor rgb="FFCC0099"/>
        <bgColor rgb="FFE36C09"/>
      </patternFill>
    </fill>
    <fill>
      <patternFill patternType="solid">
        <fgColor rgb="FFFF0066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rgb="FF00B050"/>
      </patternFill>
    </fill>
    <fill>
      <patternFill patternType="solid">
        <fgColor theme="7" tint="0.399975585192419"/>
        <bgColor rgb="FF3F3151"/>
      </patternFill>
    </fill>
    <fill>
      <patternFill patternType="solid">
        <fgColor theme="7" tint="0.399975585192419"/>
        <bgColor rgb="FF7030A0"/>
      </patternFill>
    </fill>
    <fill>
      <patternFill patternType="solid">
        <fgColor theme="7" tint="0.399975585192419"/>
        <bgColor rgb="FF009900"/>
      </patternFill>
    </fill>
    <fill>
      <patternFill patternType="solid">
        <fgColor theme="8" tint="0.399884029663991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rgb="FF00FF9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/>
    <xf numFmtId="177" fontId="19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178" fontId="19" fillId="0" borderId="0" applyFont="0" applyFill="0" applyBorder="0" applyAlignment="0" applyProtection="0">
      <alignment vertical="center"/>
    </xf>
    <xf numFmtId="179" fontId="19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19" fillId="93" borderId="6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94" borderId="9" applyNumberFormat="0" applyAlignment="0" applyProtection="0">
      <alignment vertical="center"/>
    </xf>
    <xf numFmtId="0" fontId="29" fillId="95" borderId="10" applyNumberFormat="0" applyAlignment="0" applyProtection="0">
      <alignment vertical="center"/>
    </xf>
    <xf numFmtId="0" fontId="30" fillId="95" borderId="9" applyNumberFormat="0" applyAlignment="0" applyProtection="0">
      <alignment vertical="center"/>
    </xf>
    <xf numFmtId="0" fontId="31" fillId="96" borderId="11" applyNumberFormat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4" fillId="97" borderId="0" applyNumberFormat="0" applyBorder="0" applyAlignment="0" applyProtection="0">
      <alignment vertical="center"/>
    </xf>
    <xf numFmtId="0" fontId="35" fillId="98" borderId="0" applyNumberFormat="0" applyBorder="0" applyAlignment="0" applyProtection="0">
      <alignment vertical="center"/>
    </xf>
    <xf numFmtId="0" fontId="36" fillId="99" borderId="0" applyNumberFormat="0" applyBorder="0" applyAlignment="0" applyProtection="0">
      <alignment vertical="center"/>
    </xf>
    <xf numFmtId="0" fontId="37" fillId="100" borderId="0" applyNumberFormat="0" applyBorder="0" applyAlignment="0" applyProtection="0">
      <alignment vertical="center"/>
    </xf>
    <xf numFmtId="0" fontId="38" fillId="101" borderId="0" applyNumberFormat="0" applyBorder="0" applyAlignment="0" applyProtection="0">
      <alignment vertical="center"/>
    </xf>
    <xf numFmtId="0" fontId="38" fillId="102" borderId="0" applyNumberFormat="0" applyBorder="0" applyAlignment="0" applyProtection="0">
      <alignment vertical="center"/>
    </xf>
    <xf numFmtId="0" fontId="37" fillId="103" borderId="0" applyNumberFormat="0" applyBorder="0" applyAlignment="0" applyProtection="0">
      <alignment vertical="center"/>
    </xf>
    <xf numFmtId="0" fontId="37" fillId="104" borderId="0" applyNumberFormat="0" applyBorder="0" applyAlignment="0" applyProtection="0">
      <alignment vertical="center"/>
    </xf>
    <xf numFmtId="0" fontId="38" fillId="105" borderId="0" applyNumberFormat="0" applyBorder="0" applyAlignment="0" applyProtection="0">
      <alignment vertical="center"/>
    </xf>
    <xf numFmtId="0" fontId="38" fillId="106" borderId="0" applyNumberFormat="0" applyBorder="0" applyAlignment="0" applyProtection="0">
      <alignment vertical="center"/>
    </xf>
    <xf numFmtId="0" fontId="37" fillId="107" borderId="0" applyNumberFormat="0" applyBorder="0" applyAlignment="0" applyProtection="0">
      <alignment vertical="center"/>
    </xf>
    <xf numFmtId="0" fontId="37" fillId="108" borderId="0" applyNumberFormat="0" applyBorder="0" applyAlignment="0" applyProtection="0">
      <alignment vertical="center"/>
    </xf>
    <xf numFmtId="0" fontId="38" fillId="109" borderId="0" applyNumberFormat="0" applyBorder="0" applyAlignment="0" applyProtection="0">
      <alignment vertical="center"/>
    </xf>
    <xf numFmtId="0" fontId="38" fillId="110" borderId="0" applyNumberFormat="0" applyBorder="0" applyAlignment="0" applyProtection="0">
      <alignment vertical="center"/>
    </xf>
    <xf numFmtId="0" fontId="37" fillId="111" borderId="0" applyNumberFormat="0" applyBorder="0" applyAlignment="0" applyProtection="0">
      <alignment vertical="center"/>
    </xf>
    <xf numFmtId="0" fontId="37" fillId="112" borderId="0" applyNumberFormat="0" applyBorder="0" applyAlignment="0" applyProtection="0">
      <alignment vertical="center"/>
    </xf>
    <xf numFmtId="0" fontId="38" fillId="113" borderId="0" applyNumberFormat="0" applyBorder="0" applyAlignment="0" applyProtection="0">
      <alignment vertical="center"/>
    </xf>
    <xf numFmtId="0" fontId="38" fillId="114" borderId="0" applyNumberFormat="0" applyBorder="0" applyAlignment="0" applyProtection="0">
      <alignment vertical="center"/>
    </xf>
    <xf numFmtId="0" fontId="37" fillId="115" borderId="0" applyNumberFormat="0" applyBorder="0" applyAlignment="0" applyProtection="0">
      <alignment vertical="center"/>
    </xf>
    <xf numFmtId="0" fontId="37" fillId="116" borderId="0" applyNumberFormat="0" applyBorder="0" applyAlignment="0" applyProtection="0">
      <alignment vertical="center"/>
    </xf>
    <xf numFmtId="0" fontId="38" fillId="117" borderId="0" applyNumberFormat="0" applyBorder="0" applyAlignment="0" applyProtection="0">
      <alignment vertical="center"/>
    </xf>
    <xf numFmtId="0" fontId="38" fillId="118" borderId="0" applyNumberFormat="0" applyBorder="0" applyAlignment="0" applyProtection="0">
      <alignment vertical="center"/>
    </xf>
    <xf numFmtId="0" fontId="37" fillId="119" borderId="0" applyNumberFormat="0" applyBorder="0" applyAlignment="0" applyProtection="0">
      <alignment vertical="center"/>
    </xf>
    <xf numFmtId="0" fontId="37" fillId="120" borderId="0" applyNumberFormat="0" applyBorder="0" applyAlignment="0" applyProtection="0">
      <alignment vertical="center"/>
    </xf>
    <xf numFmtId="0" fontId="38" fillId="121" borderId="0" applyNumberFormat="0" applyBorder="0" applyAlignment="0" applyProtection="0">
      <alignment vertical="center"/>
    </xf>
    <xf numFmtId="0" fontId="38" fillId="122" borderId="0" applyNumberFormat="0" applyBorder="0" applyAlignment="0" applyProtection="0">
      <alignment vertical="center"/>
    </xf>
    <xf numFmtId="0" fontId="37" fillId="123" borderId="0" applyNumberFormat="0" applyBorder="0" applyAlignment="0" applyProtection="0">
      <alignment vertical="center"/>
    </xf>
  </cellStyleXfs>
  <cellXfs count="372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2" fillId="3" borderId="0" xfId="0" applyFont="1" applyFill="1"/>
    <xf numFmtId="0" fontId="4" fillId="0" borderId="0" xfId="0" applyFont="1"/>
    <xf numFmtId="0" fontId="2" fillId="4" borderId="0" xfId="0" applyFont="1" applyFill="1"/>
    <xf numFmtId="180" fontId="0" fillId="0" borderId="0" xfId="0" applyNumberFormat="1"/>
    <xf numFmtId="0" fontId="0" fillId="0" borderId="0" xfId="0" applyAlignment="1">
      <alignment horizontal="center"/>
    </xf>
    <xf numFmtId="58" fontId="5" fillId="5" borderId="1" xfId="6" applyNumberFormat="1" applyFont="1" applyFill="1" applyBorder="1"/>
    <xf numFmtId="180" fontId="6" fillId="6" borderId="2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180" fontId="7" fillId="0" borderId="1" xfId="0" applyNumberFormat="1" applyFont="1" applyBorder="1" applyAlignment="1">
      <alignment horizontal="center"/>
    </xf>
    <xf numFmtId="58" fontId="7" fillId="7" borderId="2" xfId="0" applyNumberFormat="1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 vertical="center"/>
    </xf>
    <xf numFmtId="180" fontId="7" fillId="7" borderId="2" xfId="0" applyNumberFormat="1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left" vertical="center"/>
    </xf>
    <xf numFmtId="58" fontId="2" fillId="7" borderId="2" xfId="0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6" fillId="8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left"/>
    </xf>
    <xf numFmtId="180" fontId="4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180" fontId="8" fillId="9" borderId="2" xfId="0" applyNumberFormat="1" applyFont="1" applyFill="1" applyBorder="1" applyAlignment="1">
      <alignment horizontal="center"/>
    </xf>
    <xf numFmtId="180" fontId="2" fillId="0" borderId="2" xfId="0" applyNumberFormat="1" applyFont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3" borderId="2" xfId="0" applyFont="1" applyFill="1" applyBorder="1"/>
    <xf numFmtId="0" fontId="2" fillId="11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left"/>
    </xf>
    <xf numFmtId="58" fontId="2" fillId="0" borderId="2" xfId="0" applyNumberFormat="1" applyFont="1" applyBorder="1"/>
    <xf numFmtId="180" fontId="2" fillId="0" borderId="2" xfId="0" applyNumberFormat="1" applyFont="1" applyBorder="1" applyAlignment="1">
      <alignment horizontal="left"/>
    </xf>
    <xf numFmtId="0" fontId="2" fillId="12" borderId="2" xfId="0" applyFont="1" applyFill="1" applyBorder="1" applyAlignment="1">
      <alignment horizontal="center"/>
    </xf>
    <xf numFmtId="58" fontId="2" fillId="0" borderId="2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13" borderId="2" xfId="0" applyFont="1" applyFill="1" applyBorder="1" applyAlignment="1">
      <alignment horizontal="center"/>
    </xf>
    <xf numFmtId="58" fontId="9" fillId="8" borderId="2" xfId="0" applyNumberFormat="1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8" borderId="2" xfId="0" applyFont="1" applyFill="1" applyBorder="1" applyAlignment="1">
      <alignment horizontal="center"/>
    </xf>
    <xf numFmtId="0" fontId="9" fillId="2" borderId="2" xfId="0" applyFont="1" applyFill="1" applyBorder="1"/>
    <xf numFmtId="180" fontId="9" fillId="8" borderId="2" xfId="0" applyNumberFormat="1" applyFont="1" applyFill="1" applyBorder="1" applyAlignment="1">
      <alignment horizontal="center"/>
    </xf>
    <xf numFmtId="180" fontId="9" fillId="2" borderId="2" xfId="0" applyNumberFormat="1" applyFont="1" applyFill="1" applyBorder="1" applyAlignment="1">
      <alignment horizontal="center"/>
    </xf>
    <xf numFmtId="0" fontId="2" fillId="14" borderId="2" xfId="0" applyFont="1" applyFill="1" applyBorder="1" applyAlignment="1">
      <alignment horizontal="center"/>
    </xf>
    <xf numFmtId="0" fontId="10" fillId="0" borderId="2" xfId="0" applyFont="1" applyBorder="1"/>
    <xf numFmtId="0" fontId="8" fillId="9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justify" vertical="center"/>
    </xf>
    <xf numFmtId="0" fontId="2" fillId="15" borderId="2" xfId="0" applyFont="1" applyFill="1" applyBorder="1" applyAlignment="1">
      <alignment horizontal="center"/>
    </xf>
    <xf numFmtId="0" fontId="8" fillId="0" borderId="2" xfId="0" applyFont="1" applyBorder="1" applyAlignment="1">
      <alignment horizontal="left" vertical="center"/>
    </xf>
    <xf numFmtId="180" fontId="8" fillId="0" borderId="2" xfId="0" applyNumberFormat="1" applyFont="1" applyBorder="1" applyAlignment="1">
      <alignment horizontal="center" vertical="center"/>
    </xf>
    <xf numFmtId="58" fontId="2" fillId="3" borderId="2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80" fontId="2" fillId="3" borderId="2" xfId="0" applyNumberFormat="1" applyFont="1" applyFill="1" applyBorder="1" applyAlignment="1">
      <alignment horizontal="center"/>
    </xf>
    <xf numFmtId="180" fontId="8" fillId="16" borderId="2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left"/>
    </xf>
    <xf numFmtId="180" fontId="8" fillId="0" borderId="2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1" fillId="17" borderId="2" xfId="0" applyFont="1" applyFill="1" applyBorder="1" applyAlignment="1">
      <alignment horizontal="center"/>
    </xf>
    <xf numFmtId="180" fontId="11" fillId="8" borderId="2" xfId="0" applyNumberFormat="1" applyFont="1" applyFill="1" applyBorder="1" applyAlignment="1">
      <alignment horizontal="center"/>
    </xf>
    <xf numFmtId="0" fontId="12" fillId="9" borderId="2" xfId="0" applyFont="1" applyFill="1" applyBorder="1" applyAlignment="1">
      <alignment horizontal="center"/>
    </xf>
    <xf numFmtId="180" fontId="13" fillId="0" borderId="2" xfId="0" applyNumberFormat="1" applyFont="1" applyBorder="1" applyAlignment="1">
      <alignment horizontal="center" vertical="center"/>
    </xf>
    <xf numFmtId="180" fontId="13" fillId="0" borderId="3" xfId="0" applyNumberFormat="1" applyFont="1" applyBorder="1" applyAlignment="1">
      <alignment horizontal="center" vertical="center"/>
    </xf>
    <xf numFmtId="0" fontId="2" fillId="0" borderId="0" xfId="0" applyFont="1" applyFill="1" applyBorder="1"/>
    <xf numFmtId="180" fontId="7" fillId="18" borderId="1" xfId="0" applyNumberFormat="1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180" fontId="7" fillId="7" borderId="2" xfId="1" applyNumberFormat="1" applyFont="1" applyFill="1" applyBorder="1" applyAlignment="1">
      <alignment horizontal="center" vertical="center"/>
    </xf>
    <xf numFmtId="180" fontId="7" fillId="19" borderId="2" xfId="0" applyNumberFormat="1" applyFont="1" applyFill="1" applyBorder="1" applyAlignment="1">
      <alignment horizontal="center" vertical="center"/>
    </xf>
    <xf numFmtId="10" fontId="7" fillId="20" borderId="2" xfId="3" applyNumberFormat="1" applyFont="1" applyFill="1" applyBorder="1" applyAlignment="1">
      <alignment horizontal="center" vertical="center"/>
    </xf>
    <xf numFmtId="180" fontId="7" fillId="21" borderId="2" xfId="0" applyNumberFormat="1" applyFont="1" applyFill="1" applyBorder="1" applyAlignment="1">
      <alignment horizontal="center" vertical="center"/>
    </xf>
    <xf numFmtId="10" fontId="7" fillId="22" borderId="2" xfId="3" applyNumberFormat="1" applyFont="1" applyFill="1" applyBorder="1" applyAlignment="1">
      <alignment horizontal="center" vertical="center"/>
    </xf>
    <xf numFmtId="10" fontId="7" fillId="23" borderId="2" xfId="3" applyNumberFormat="1" applyFont="1" applyFill="1" applyBorder="1" applyAlignment="1">
      <alignment horizontal="center" vertical="center"/>
    </xf>
    <xf numFmtId="0" fontId="7" fillId="24" borderId="2" xfId="3" applyNumberFormat="1" applyFont="1" applyFill="1" applyBorder="1" applyAlignment="1">
      <alignment horizontal="center" vertical="center"/>
    </xf>
    <xf numFmtId="180" fontId="6" fillId="8" borderId="2" xfId="0" applyNumberFormat="1" applyFont="1" applyFill="1" applyBorder="1" applyAlignment="1">
      <alignment horizontal="center"/>
    </xf>
    <xf numFmtId="180" fontId="4" fillId="7" borderId="2" xfId="0" applyNumberFormat="1" applyFont="1" applyFill="1" applyBorder="1" applyAlignment="1">
      <alignment horizontal="center"/>
    </xf>
    <xf numFmtId="180" fontId="4" fillId="25" borderId="2" xfId="0" applyNumberFormat="1" applyFont="1" applyFill="1" applyBorder="1" applyAlignment="1">
      <alignment horizontal="center"/>
    </xf>
    <xf numFmtId="180" fontId="4" fillId="26" borderId="2" xfId="0" applyNumberFormat="1" applyFont="1" applyFill="1" applyBorder="1" applyAlignment="1">
      <alignment horizontal="center"/>
    </xf>
    <xf numFmtId="180" fontId="12" fillId="26" borderId="2" xfId="0" applyNumberFormat="1" applyFont="1" applyFill="1" applyBorder="1" applyAlignment="1">
      <alignment horizontal="center"/>
    </xf>
    <xf numFmtId="180" fontId="6" fillId="18" borderId="2" xfId="0" applyNumberFormat="1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180" fontId="2" fillId="9" borderId="2" xfId="0" applyNumberFormat="1" applyFont="1" applyFill="1" applyBorder="1" applyAlignment="1">
      <alignment horizontal="center"/>
    </xf>
    <xf numFmtId="180" fontId="2" fillId="7" borderId="2" xfId="0" applyNumberFormat="1" applyFont="1" applyFill="1" applyBorder="1" applyAlignment="1">
      <alignment horizontal="center" vertical="center"/>
    </xf>
    <xf numFmtId="180" fontId="2" fillId="25" borderId="2" xfId="0" applyNumberFormat="1" applyFont="1" applyFill="1" applyBorder="1" applyAlignment="1">
      <alignment horizontal="center"/>
    </xf>
    <xf numFmtId="180" fontId="8" fillId="27" borderId="2" xfId="0" applyNumberFormat="1" applyFont="1" applyFill="1" applyBorder="1" applyAlignment="1">
      <alignment horizontal="center"/>
    </xf>
    <xf numFmtId="180" fontId="11" fillId="18" borderId="2" xfId="0" applyNumberFormat="1" applyFont="1" applyFill="1" applyBorder="1" applyAlignment="1">
      <alignment horizontal="center"/>
    </xf>
    <xf numFmtId="0" fontId="8" fillId="27" borderId="2" xfId="0" applyFont="1" applyFill="1" applyBorder="1" applyAlignment="1">
      <alignment horizontal="center"/>
    </xf>
    <xf numFmtId="180" fontId="2" fillId="10" borderId="2" xfId="0" applyNumberFormat="1" applyFont="1" applyFill="1" applyBorder="1" applyAlignment="1">
      <alignment horizontal="center"/>
    </xf>
    <xf numFmtId="180" fontId="11" fillId="17" borderId="2" xfId="0" applyNumberFormat="1" applyFont="1" applyFill="1" applyBorder="1" applyAlignment="1">
      <alignment horizontal="center"/>
    </xf>
    <xf numFmtId="180" fontId="11" fillId="28" borderId="2" xfId="0" applyNumberFormat="1" applyFont="1" applyFill="1" applyBorder="1" applyAlignment="1">
      <alignment horizontal="center"/>
    </xf>
    <xf numFmtId="180" fontId="8" fillId="29" borderId="2" xfId="0" applyNumberFormat="1" applyFont="1" applyFill="1" applyBorder="1" applyAlignment="1">
      <alignment horizontal="center"/>
    </xf>
    <xf numFmtId="180" fontId="8" fillId="30" borderId="2" xfId="0" applyNumberFormat="1" applyFont="1" applyFill="1" applyBorder="1" applyAlignment="1">
      <alignment horizontal="center"/>
    </xf>
    <xf numFmtId="180" fontId="2" fillId="11" borderId="2" xfId="0" applyNumberFormat="1" applyFont="1" applyFill="1" applyBorder="1" applyAlignment="1">
      <alignment horizontal="center"/>
    </xf>
    <xf numFmtId="180" fontId="2" fillId="7" borderId="2" xfId="0" applyNumberFormat="1" applyFont="1" applyFill="1" applyBorder="1" applyAlignment="1">
      <alignment horizontal="center"/>
    </xf>
    <xf numFmtId="180" fontId="8" fillId="25" borderId="2" xfId="0" applyNumberFormat="1" applyFont="1" applyFill="1" applyBorder="1" applyAlignment="1">
      <alignment horizontal="center"/>
    </xf>
    <xf numFmtId="0" fontId="15" fillId="0" borderId="2" xfId="0" applyFont="1" applyBorder="1" applyAlignment="1">
      <alignment horizontal="center"/>
    </xf>
    <xf numFmtId="180" fontId="8" fillId="26" borderId="2" xfId="0" applyNumberFormat="1" applyFont="1" applyFill="1" applyBorder="1" applyAlignment="1">
      <alignment horizontal="center"/>
    </xf>
    <xf numFmtId="180" fontId="2" fillId="12" borderId="2" xfId="0" applyNumberFormat="1" applyFont="1" applyFill="1" applyBorder="1" applyAlignment="1">
      <alignment horizontal="center"/>
    </xf>
    <xf numFmtId="180" fontId="2" fillId="26" borderId="2" xfId="0" applyNumberFormat="1" applyFont="1" applyFill="1" applyBorder="1" applyAlignment="1">
      <alignment horizontal="center"/>
    </xf>
    <xf numFmtId="180" fontId="2" fillId="13" borderId="2" xfId="0" applyNumberFormat="1" applyFont="1" applyFill="1" applyBorder="1" applyAlignment="1">
      <alignment horizontal="center"/>
    </xf>
    <xf numFmtId="180" fontId="9" fillId="8" borderId="2" xfId="1" applyNumberFormat="1" applyFont="1" applyFill="1" applyBorder="1" applyAlignment="1">
      <alignment horizontal="center"/>
    </xf>
    <xf numFmtId="180" fontId="9" fillId="31" borderId="2" xfId="0" applyNumberFormat="1" applyFont="1" applyFill="1" applyBorder="1" applyAlignment="1">
      <alignment horizontal="center"/>
    </xf>
    <xf numFmtId="180" fontId="2" fillId="14" borderId="2" xfId="0" applyNumberFormat="1" applyFont="1" applyFill="1" applyBorder="1" applyAlignment="1">
      <alignment horizontal="center"/>
    </xf>
    <xf numFmtId="0" fontId="11" fillId="32" borderId="2" xfId="0" applyFont="1" applyFill="1" applyBorder="1" applyAlignment="1">
      <alignment horizontal="center"/>
    </xf>
    <xf numFmtId="180" fontId="2" fillId="0" borderId="2" xfId="0" applyNumberFormat="1" applyFont="1" applyBorder="1"/>
    <xf numFmtId="180" fontId="11" fillId="32" borderId="2" xfId="0" applyNumberFormat="1" applyFont="1" applyFill="1" applyBorder="1" applyAlignment="1">
      <alignment horizontal="center"/>
    </xf>
    <xf numFmtId="180" fontId="8" fillId="33" borderId="2" xfId="0" applyNumberFormat="1" applyFont="1" applyFill="1" applyBorder="1" applyAlignment="1">
      <alignment horizontal="center" vertical="center"/>
    </xf>
    <xf numFmtId="0" fontId="6" fillId="34" borderId="2" xfId="0" applyFont="1" applyFill="1" applyBorder="1" applyAlignment="1">
      <alignment horizontal="center"/>
    </xf>
    <xf numFmtId="180" fontId="6" fillId="34" borderId="2" xfId="0" applyNumberFormat="1" applyFont="1" applyFill="1" applyBorder="1" applyAlignment="1">
      <alignment horizontal="center"/>
    </xf>
    <xf numFmtId="0" fontId="11" fillId="34" borderId="2" xfId="0" applyFont="1" applyFill="1" applyBorder="1" applyAlignment="1">
      <alignment horizontal="center" vertical="center"/>
    </xf>
    <xf numFmtId="180" fontId="2" fillId="27" borderId="2" xfId="0" applyNumberFormat="1" applyFont="1" applyFill="1" applyBorder="1" applyAlignment="1">
      <alignment horizontal="center"/>
    </xf>
    <xf numFmtId="180" fontId="8" fillId="35" borderId="2" xfId="0" applyNumberFormat="1" applyFont="1" applyFill="1" applyBorder="1" applyAlignment="1">
      <alignment horizontal="center" vertical="center"/>
    </xf>
    <xf numFmtId="180" fontId="8" fillId="36" borderId="2" xfId="0" applyNumberFormat="1" applyFont="1" applyFill="1" applyBorder="1" applyAlignment="1">
      <alignment horizontal="center" vertical="center" wrapText="1"/>
    </xf>
    <xf numFmtId="0" fontId="8" fillId="3" borderId="2" xfId="0" applyFont="1" applyFill="1" applyBorder="1"/>
    <xf numFmtId="0" fontId="11" fillId="37" borderId="2" xfId="0" applyFont="1" applyFill="1" applyBorder="1" applyAlignment="1">
      <alignment horizontal="center"/>
    </xf>
    <xf numFmtId="180" fontId="11" fillId="37" borderId="2" xfId="0" applyNumberFormat="1" applyFont="1" applyFill="1" applyBorder="1" applyAlignment="1">
      <alignment horizontal="center"/>
    </xf>
    <xf numFmtId="180" fontId="2" fillId="3" borderId="2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/>
    </xf>
    <xf numFmtId="180" fontId="11" fillId="3" borderId="2" xfId="0" applyNumberFormat="1" applyFont="1" applyFill="1" applyBorder="1" applyAlignment="1">
      <alignment horizontal="center"/>
    </xf>
    <xf numFmtId="180" fontId="8" fillId="38" borderId="2" xfId="1" applyNumberFormat="1" applyFont="1" applyFill="1" applyBorder="1" applyAlignment="1">
      <alignment horizontal="center" vertical="center"/>
    </xf>
    <xf numFmtId="180" fontId="8" fillId="36" borderId="2" xfId="0" applyNumberFormat="1" applyFont="1" applyFill="1" applyBorder="1" applyAlignment="1">
      <alignment horizontal="center" vertical="center"/>
    </xf>
    <xf numFmtId="180" fontId="8" fillId="33" borderId="2" xfId="0" applyNumberFormat="1" applyFont="1" applyFill="1" applyBorder="1" applyAlignment="1">
      <alignment horizontal="center" vertical="center" wrapText="1"/>
    </xf>
    <xf numFmtId="180" fontId="8" fillId="9" borderId="2" xfId="1" applyNumberFormat="1" applyFont="1" applyFill="1" applyBorder="1" applyAlignment="1">
      <alignment horizontal="center"/>
    </xf>
    <xf numFmtId="180" fontId="8" fillId="7" borderId="2" xfId="0" applyNumberFormat="1" applyFont="1" applyFill="1" applyBorder="1" applyAlignment="1">
      <alignment horizontal="center"/>
    </xf>
    <xf numFmtId="180" fontId="2" fillId="25" borderId="2" xfId="0" applyNumberFormat="1" applyFont="1" applyFill="1" applyBorder="1" applyAlignment="1">
      <alignment horizontal="center" vertical="center"/>
    </xf>
    <xf numFmtId="180" fontId="8" fillId="39" borderId="2" xfId="0" applyNumberFormat="1" applyFont="1" applyFill="1" applyBorder="1" applyAlignment="1">
      <alignment horizontal="center" vertical="center" wrapText="1"/>
    </xf>
    <xf numFmtId="180" fontId="8" fillId="25" borderId="2" xfId="0" applyNumberFormat="1" applyFont="1" applyFill="1" applyBorder="1" applyAlignment="1">
      <alignment horizontal="center" vertical="center" wrapText="1"/>
    </xf>
    <xf numFmtId="0" fontId="8" fillId="27" borderId="2" xfId="0" applyFont="1" applyFill="1" applyBorder="1" applyAlignment="1">
      <alignment horizontal="center" vertical="center"/>
    </xf>
    <xf numFmtId="180" fontId="11" fillId="40" borderId="2" xfId="0" applyNumberFormat="1" applyFont="1" applyFill="1" applyBorder="1" applyAlignment="1">
      <alignment horizontal="center" vertical="center"/>
    </xf>
    <xf numFmtId="180" fontId="2" fillId="15" borderId="2" xfId="0" applyNumberFormat="1" applyFont="1" applyFill="1" applyBorder="1" applyAlignment="1">
      <alignment horizontal="center"/>
    </xf>
    <xf numFmtId="180" fontId="12" fillId="9" borderId="2" xfId="0" applyNumberFormat="1" applyFont="1" applyFill="1" applyBorder="1" applyAlignment="1">
      <alignment horizontal="center"/>
    </xf>
    <xf numFmtId="180" fontId="12" fillId="29" borderId="4" xfId="0" applyNumberFormat="1" applyFont="1" applyFill="1" applyBorder="1" applyAlignment="1">
      <alignment horizontal="center"/>
    </xf>
    <xf numFmtId="180" fontId="12" fillId="29" borderId="2" xfId="0" applyNumberFormat="1" applyFont="1" applyFill="1" applyBorder="1" applyAlignment="1">
      <alignment horizontal="center"/>
    </xf>
    <xf numFmtId="180" fontId="8" fillId="41" borderId="2" xfId="0" applyNumberFormat="1" applyFont="1" applyFill="1" applyBorder="1" applyAlignment="1">
      <alignment horizontal="center" vertical="center" wrapText="1"/>
    </xf>
    <xf numFmtId="180" fontId="2" fillId="42" borderId="2" xfId="0" applyNumberFormat="1" applyFont="1" applyFill="1" applyBorder="1" applyAlignment="1">
      <alignment horizontal="center"/>
    </xf>
    <xf numFmtId="0" fontId="8" fillId="42" borderId="2" xfId="0" applyFont="1" applyFill="1" applyBorder="1" applyAlignment="1">
      <alignment horizontal="center"/>
    </xf>
    <xf numFmtId="180" fontId="0" fillId="4" borderId="0" xfId="0" applyNumberFormat="1" applyFill="1"/>
    <xf numFmtId="0" fontId="0" fillId="4" borderId="0" xfId="0" applyFill="1" applyAlignment="1">
      <alignment horizontal="center"/>
    </xf>
    <xf numFmtId="0" fontId="0" fillId="4" borderId="0" xfId="0" applyFill="1"/>
    <xf numFmtId="180" fontId="0" fillId="0" borderId="0" xfId="0" applyNumberFormat="1" applyAlignment="1">
      <alignment horizontal="center"/>
    </xf>
    <xf numFmtId="180" fontId="2" fillId="0" borderId="0" xfId="0" applyNumberFormat="1" applyFont="1"/>
    <xf numFmtId="0" fontId="2" fillId="0" borderId="0" xfId="0" applyFont="1" applyAlignment="1">
      <alignment horizontal="center"/>
    </xf>
    <xf numFmtId="180" fontId="14" fillId="19" borderId="2" xfId="0" applyNumberFormat="1" applyFont="1" applyFill="1" applyBorder="1" applyAlignment="1">
      <alignment horizontal="center" vertical="center"/>
    </xf>
    <xf numFmtId="10" fontId="14" fillId="20" borderId="2" xfId="3" applyNumberFormat="1" applyFont="1" applyFill="1" applyBorder="1" applyAlignment="1">
      <alignment horizontal="center" vertical="center"/>
    </xf>
    <xf numFmtId="180" fontId="7" fillId="18" borderId="2" xfId="0" applyNumberFormat="1" applyFont="1" applyFill="1" applyBorder="1" applyAlignment="1">
      <alignment horizontal="center"/>
    </xf>
    <xf numFmtId="0" fontId="8" fillId="26" borderId="2" xfId="0" applyFont="1" applyFill="1" applyBorder="1" applyAlignment="1">
      <alignment horizontal="center"/>
    </xf>
    <xf numFmtId="180" fontId="14" fillId="3" borderId="1" xfId="0" applyNumberFormat="1" applyFont="1" applyFill="1" applyBorder="1" applyAlignment="1">
      <alignment horizontal="center"/>
    </xf>
    <xf numFmtId="180" fontId="7" fillId="43" borderId="1" xfId="0" applyNumberFormat="1" applyFont="1" applyFill="1" applyBorder="1" applyAlignment="1">
      <alignment horizontal="center" vertical="center"/>
    </xf>
    <xf numFmtId="180" fontId="7" fillId="44" borderId="1" xfId="0" applyNumberFormat="1" applyFont="1" applyFill="1" applyBorder="1" applyAlignment="1">
      <alignment horizontal="center" vertical="center"/>
    </xf>
    <xf numFmtId="180" fontId="7" fillId="24" borderId="2" xfId="3" applyNumberFormat="1" applyFont="1" applyFill="1" applyBorder="1" applyAlignment="1">
      <alignment horizontal="center" vertical="center"/>
    </xf>
    <xf numFmtId="10" fontId="7" fillId="45" borderId="2" xfId="0" applyNumberFormat="1" applyFont="1" applyFill="1" applyBorder="1" applyAlignment="1">
      <alignment horizontal="center"/>
    </xf>
    <xf numFmtId="10" fontId="7" fillId="7" borderId="2" xfId="3" applyNumberFormat="1" applyFont="1" applyFill="1" applyBorder="1" applyAlignment="1">
      <alignment horizontal="center"/>
    </xf>
    <xf numFmtId="180" fontId="14" fillId="46" borderId="2" xfId="0" applyNumberFormat="1" applyFont="1" applyFill="1" applyBorder="1" applyAlignment="1">
      <alignment horizontal="center" vertical="center"/>
    </xf>
    <xf numFmtId="180" fontId="14" fillId="47" borderId="2" xfId="0" applyNumberFormat="1" applyFont="1" applyFill="1" applyBorder="1" applyAlignment="1">
      <alignment horizontal="center" vertical="center"/>
    </xf>
    <xf numFmtId="180" fontId="14" fillId="48" borderId="2" xfId="0" applyNumberFormat="1" applyFont="1" applyFill="1" applyBorder="1" applyAlignment="1">
      <alignment horizontal="center" vertical="center"/>
    </xf>
    <xf numFmtId="180" fontId="8" fillId="3" borderId="2" xfId="0" applyNumberFormat="1" applyFont="1" applyFill="1" applyBorder="1" applyAlignment="1">
      <alignment horizontal="center"/>
    </xf>
    <xf numFmtId="180" fontId="6" fillId="45" borderId="2" xfId="0" applyNumberFormat="1" applyFont="1" applyFill="1" applyBorder="1" applyAlignment="1">
      <alignment horizontal="center"/>
    </xf>
    <xf numFmtId="180" fontId="12" fillId="7" borderId="2" xfId="0" applyNumberFormat="1" applyFont="1" applyFill="1" applyBorder="1" applyAlignment="1">
      <alignment horizontal="center"/>
    </xf>
    <xf numFmtId="180" fontId="4" fillId="49" borderId="2" xfId="0" applyNumberFormat="1" applyFont="1" applyFill="1" applyBorder="1" applyAlignment="1">
      <alignment horizontal="center"/>
    </xf>
    <xf numFmtId="180" fontId="4" fillId="50" borderId="2" xfId="0" applyNumberFormat="1" applyFont="1" applyFill="1" applyBorder="1" applyAlignment="1">
      <alignment horizontal="center"/>
    </xf>
    <xf numFmtId="180" fontId="11" fillId="51" borderId="2" xfId="0" applyNumberFormat="1" applyFont="1" applyFill="1" applyBorder="1" applyAlignment="1">
      <alignment horizontal="center" vertical="center"/>
    </xf>
    <xf numFmtId="180" fontId="8" fillId="46" borderId="2" xfId="0" applyNumberFormat="1" applyFont="1" applyFill="1" applyBorder="1" applyAlignment="1">
      <alignment horizontal="center" vertical="center"/>
    </xf>
    <xf numFmtId="180" fontId="8" fillId="47" borderId="2" xfId="0" applyNumberFormat="1" applyFont="1" applyFill="1" applyBorder="1" applyAlignment="1">
      <alignment horizontal="center" vertical="center"/>
    </xf>
    <xf numFmtId="180" fontId="11" fillId="45" borderId="2" xfId="0" applyNumberFormat="1" applyFont="1" applyFill="1" applyBorder="1" applyAlignment="1">
      <alignment horizontal="center"/>
    </xf>
    <xf numFmtId="180" fontId="2" fillId="52" borderId="2" xfId="0" applyNumberFormat="1" applyFont="1" applyFill="1" applyBorder="1" applyAlignment="1">
      <alignment horizontal="center"/>
    </xf>
    <xf numFmtId="180" fontId="2" fillId="50" borderId="2" xfId="0" applyNumberFormat="1" applyFont="1" applyFill="1" applyBorder="1" applyAlignment="1">
      <alignment horizontal="center"/>
    </xf>
    <xf numFmtId="180" fontId="2" fillId="47" borderId="2" xfId="0" applyNumberFormat="1" applyFont="1" applyFill="1" applyBorder="1" applyAlignment="1">
      <alignment horizontal="center"/>
    </xf>
    <xf numFmtId="180" fontId="11" fillId="34" borderId="2" xfId="0" applyNumberFormat="1" applyFont="1" applyFill="1" applyBorder="1" applyAlignment="1">
      <alignment horizontal="center"/>
    </xf>
    <xf numFmtId="180" fontId="11" fillId="43" borderId="2" xfId="0" applyNumberFormat="1" applyFont="1" applyFill="1" applyBorder="1" applyAlignment="1">
      <alignment horizontal="center"/>
    </xf>
    <xf numFmtId="180" fontId="10" fillId="53" borderId="2" xfId="0" applyNumberFormat="1" applyFont="1" applyFill="1" applyBorder="1" applyAlignment="1">
      <alignment horizontal="center"/>
    </xf>
    <xf numFmtId="180" fontId="10" fillId="47" borderId="2" xfId="0" applyNumberFormat="1" applyFont="1" applyFill="1" applyBorder="1" applyAlignment="1">
      <alignment horizontal="center" vertical="center"/>
    </xf>
    <xf numFmtId="180" fontId="10" fillId="3" borderId="2" xfId="0" applyNumberFormat="1" applyFont="1" applyFill="1" applyBorder="1" applyAlignment="1">
      <alignment horizontal="center"/>
    </xf>
    <xf numFmtId="180" fontId="8" fillId="53" borderId="2" xfId="0" applyNumberFormat="1" applyFont="1" applyFill="1" applyBorder="1" applyAlignment="1">
      <alignment horizontal="center"/>
    </xf>
    <xf numFmtId="180" fontId="2" fillId="54" borderId="2" xfId="0" applyNumberFormat="1" applyFont="1" applyFill="1" applyBorder="1" applyAlignment="1">
      <alignment horizontal="center"/>
    </xf>
    <xf numFmtId="180" fontId="11" fillId="55" borderId="2" xfId="0" applyNumberFormat="1" applyFont="1" applyFill="1" applyBorder="1" applyAlignment="1">
      <alignment horizontal="center" vertical="center"/>
    </xf>
    <xf numFmtId="180" fontId="8" fillId="56" borderId="2" xfId="0" applyNumberFormat="1" applyFont="1" applyFill="1" applyBorder="1" applyAlignment="1">
      <alignment horizontal="center" vertical="center"/>
    </xf>
    <xf numFmtId="180" fontId="8" fillId="3" borderId="2" xfId="0" applyNumberFormat="1" applyFont="1" applyFill="1" applyBorder="1" applyAlignment="1">
      <alignment horizontal="center" vertical="center"/>
    </xf>
    <xf numFmtId="180" fontId="11" fillId="57" borderId="2" xfId="0" applyNumberFormat="1" applyFont="1" applyFill="1" applyBorder="1" applyAlignment="1">
      <alignment horizontal="center"/>
    </xf>
    <xf numFmtId="180" fontId="2" fillId="49" borderId="2" xfId="0" applyNumberFormat="1" applyFont="1" applyFill="1" applyBorder="1" applyAlignment="1">
      <alignment horizontal="center"/>
    </xf>
    <xf numFmtId="180" fontId="11" fillId="51" borderId="2" xfId="0" applyNumberFormat="1" applyFont="1" applyFill="1" applyBorder="1" applyAlignment="1">
      <alignment horizontal="center" vertical="center" wrapText="1"/>
    </xf>
    <xf numFmtId="180" fontId="8" fillId="58" borderId="2" xfId="0" applyNumberFormat="1" applyFont="1" applyFill="1" applyBorder="1" applyAlignment="1">
      <alignment horizontal="center" vertical="center" wrapText="1"/>
    </xf>
    <xf numFmtId="180" fontId="8" fillId="47" borderId="2" xfId="0" applyNumberFormat="1" applyFont="1" applyFill="1" applyBorder="1" applyAlignment="1">
      <alignment horizontal="center" vertical="center" wrapText="1"/>
    </xf>
    <xf numFmtId="180" fontId="8" fillId="0" borderId="2" xfId="0" applyNumberFormat="1" applyFont="1" applyBorder="1" applyAlignment="1">
      <alignment horizontal="center" vertical="center" wrapText="1"/>
    </xf>
    <xf numFmtId="180" fontId="8" fillId="59" borderId="2" xfId="0" applyNumberFormat="1" applyFont="1" applyFill="1" applyBorder="1" applyAlignment="1">
      <alignment horizontal="center"/>
    </xf>
    <xf numFmtId="180" fontId="8" fillId="47" borderId="2" xfId="0" applyNumberFormat="1" applyFont="1" applyFill="1" applyBorder="1" applyAlignment="1">
      <alignment horizontal="center"/>
    </xf>
    <xf numFmtId="180" fontId="6" fillId="57" borderId="2" xfId="0" applyNumberFormat="1" applyFont="1" applyFill="1" applyBorder="1" applyAlignment="1">
      <alignment horizontal="center"/>
    </xf>
    <xf numFmtId="180" fontId="12" fillId="60" borderId="2" xfId="0" applyNumberFormat="1" applyFont="1" applyFill="1" applyBorder="1" applyAlignment="1">
      <alignment horizontal="center"/>
    </xf>
    <xf numFmtId="180" fontId="12" fillId="47" borderId="2" xfId="0" applyNumberFormat="1" applyFont="1" applyFill="1" applyBorder="1" applyAlignment="1">
      <alignment horizontal="center"/>
    </xf>
    <xf numFmtId="0" fontId="12" fillId="0" borderId="2" xfId="0" applyFont="1" applyBorder="1" applyAlignment="1">
      <alignment horizontal="center"/>
    </xf>
    <xf numFmtId="180" fontId="2" fillId="0" borderId="5" xfId="0" applyNumberFormat="1" applyFont="1" applyBorder="1" applyAlignment="1">
      <alignment horizontal="center"/>
    </xf>
    <xf numFmtId="180" fontId="12" fillId="0" borderId="2" xfId="0" applyNumberFormat="1" applyFont="1" applyBorder="1" applyAlignment="1">
      <alignment horizontal="center"/>
    </xf>
    <xf numFmtId="180" fontId="8" fillId="42" borderId="2" xfId="0" applyNumberFormat="1" applyFont="1" applyFill="1" applyBorder="1" applyAlignment="1">
      <alignment horizontal="center"/>
    </xf>
    <xf numFmtId="180" fontId="2" fillId="0" borderId="0" xfId="0" applyNumberFormat="1" applyFont="1" applyAlignment="1">
      <alignment horizontal="center"/>
    </xf>
    <xf numFmtId="180" fontId="7" fillId="43" borderId="2" xfId="0" applyNumberFormat="1" applyFont="1" applyFill="1" applyBorder="1" applyAlignment="1">
      <alignment horizontal="center" vertical="center"/>
    </xf>
    <xf numFmtId="0" fontId="2" fillId="61" borderId="2" xfId="0" applyFont="1" applyFill="1" applyBorder="1" applyAlignment="1">
      <alignment horizontal="center"/>
    </xf>
    <xf numFmtId="10" fontId="8" fillId="62" borderId="2" xfId="3" applyNumberFormat="1" applyFont="1" applyFill="1" applyBorder="1" applyAlignment="1">
      <alignment horizontal="center" vertical="center"/>
    </xf>
    <xf numFmtId="10" fontId="11" fillId="8" borderId="2" xfId="0" applyNumberFormat="1" applyFont="1" applyFill="1" applyBorder="1" applyAlignment="1">
      <alignment horizontal="center"/>
    </xf>
    <xf numFmtId="180" fontId="2" fillId="63" borderId="2" xfId="0" applyNumberFormat="1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2" xfId="0" applyFont="1" applyBorder="1"/>
    <xf numFmtId="180" fontId="0" fillId="0" borderId="2" xfId="0" applyNumberFormat="1" applyBorder="1" applyAlignment="1">
      <alignment horizontal="center"/>
    </xf>
    <xf numFmtId="180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0" fontId="11" fillId="18" borderId="2" xfId="3" applyNumberFormat="1" applyFont="1" applyFill="1" applyBorder="1" applyAlignment="1">
      <alignment horizontal="center"/>
    </xf>
    <xf numFmtId="180" fontId="8" fillId="64" borderId="2" xfId="0" applyNumberFormat="1" applyFont="1" applyFill="1" applyBorder="1" applyAlignment="1">
      <alignment horizontal="center"/>
    </xf>
    <xf numFmtId="180" fontId="15" fillId="65" borderId="2" xfId="0" applyNumberFormat="1" applyFont="1" applyFill="1" applyBorder="1" applyAlignment="1">
      <alignment horizontal="center"/>
    </xf>
    <xf numFmtId="180" fontId="14" fillId="9" borderId="2" xfId="0" applyNumberFormat="1" applyFont="1" applyFill="1" applyBorder="1" applyAlignment="1">
      <alignment horizontal="center"/>
    </xf>
    <xf numFmtId="180" fontId="14" fillId="66" borderId="2" xfId="0" applyNumberFormat="1" applyFont="1" applyFill="1" applyBorder="1" applyAlignment="1">
      <alignment horizontal="center"/>
    </xf>
    <xf numFmtId="180" fontId="2" fillId="67" borderId="2" xfId="0" applyNumberFormat="1" applyFont="1" applyFill="1" applyBorder="1" applyAlignment="1">
      <alignment horizontal="center"/>
    </xf>
    <xf numFmtId="180" fontId="8" fillId="68" borderId="2" xfId="0" applyNumberFormat="1" applyFont="1" applyFill="1" applyBorder="1" applyAlignment="1">
      <alignment horizontal="center"/>
    </xf>
    <xf numFmtId="180" fontId="8" fillId="4" borderId="2" xfId="0" applyNumberFormat="1" applyFont="1" applyFill="1" applyBorder="1" applyAlignment="1">
      <alignment horizontal="center"/>
    </xf>
    <xf numFmtId="0" fontId="9" fillId="2" borderId="0" xfId="0" applyFont="1" applyFill="1"/>
    <xf numFmtId="180" fontId="15" fillId="69" borderId="2" xfId="0" applyNumberFormat="1" applyFont="1" applyFill="1" applyBorder="1" applyAlignment="1">
      <alignment horizontal="center"/>
    </xf>
    <xf numFmtId="180" fontId="16" fillId="20" borderId="2" xfId="0" applyNumberFormat="1" applyFont="1" applyFill="1" applyBorder="1" applyAlignment="1">
      <alignment horizontal="center"/>
    </xf>
    <xf numFmtId="180" fontId="2" fillId="69" borderId="2" xfId="0" applyNumberFormat="1" applyFont="1" applyFill="1" applyBorder="1" applyAlignment="1">
      <alignment horizontal="center"/>
    </xf>
    <xf numFmtId="0" fontId="17" fillId="0" borderId="0" xfId="0" applyFont="1"/>
    <xf numFmtId="0" fontId="7" fillId="0" borderId="2" xfId="0" applyFont="1" applyBorder="1" applyAlignment="1">
      <alignment horizontal="center"/>
    </xf>
    <xf numFmtId="0" fontId="14" fillId="68" borderId="2" xfId="0" applyFont="1" applyFill="1" applyBorder="1" applyAlignment="1">
      <alignment horizontal="center"/>
    </xf>
    <xf numFmtId="0" fontId="7" fillId="0" borderId="2" xfId="0" applyFont="1" applyBorder="1" applyAlignment="1">
      <alignment horizontal="left"/>
    </xf>
    <xf numFmtId="180" fontId="7" fillId="0" borderId="2" xfId="0" applyNumberFormat="1" applyFont="1" applyBorder="1" applyAlignment="1">
      <alignment horizontal="center"/>
    </xf>
    <xf numFmtId="58" fontId="14" fillId="68" borderId="2" xfId="0" applyNumberFormat="1" applyFont="1" applyFill="1" applyBorder="1" applyAlignment="1">
      <alignment horizontal="center" vertical="center"/>
    </xf>
    <xf numFmtId="0" fontId="14" fillId="68" borderId="2" xfId="0" applyFont="1" applyFill="1" applyBorder="1" applyAlignment="1">
      <alignment horizontal="center" vertical="center"/>
    </xf>
    <xf numFmtId="180" fontId="14" fillId="68" borderId="2" xfId="0" applyNumberFormat="1" applyFont="1" applyFill="1" applyBorder="1" applyAlignment="1">
      <alignment horizontal="center" vertical="center"/>
    </xf>
    <xf numFmtId="0" fontId="14" fillId="68" borderId="2" xfId="0" applyFont="1" applyFill="1" applyBorder="1" applyAlignment="1">
      <alignment horizontal="left" vertical="center"/>
    </xf>
    <xf numFmtId="58" fontId="2" fillId="68" borderId="2" xfId="0" applyNumberFormat="1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70" borderId="2" xfId="0" applyFont="1" applyFill="1" applyBorder="1" applyAlignment="1">
      <alignment horizontal="center"/>
    </xf>
    <xf numFmtId="0" fontId="10" fillId="0" borderId="0" xfId="0" applyFont="1" applyAlignment="1">
      <alignment horizontal="justify" vertical="center"/>
    </xf>
    <xf numFmtId="0" fontId="2" fillId="0" borderId="1" xfId="0" applyFont="1" applyBorder="1"/>
    <xf numFmtId="0" fontId="0" fillId="0" borderId="0" xfId="0" applyAlignment="1">
      <alignment horizontal="left"/>
    </xf>
    <xf numFmtId="180" fontId="2" fillId="0" borderId="1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8" fillId="0" borderId="2" xfId="0" applyFont="1" applyBorder="1"/>
    <xf numFmtId="0" fontId="8" fillId="25" borderId="2" xfId="0" applyFont="1" applyFill="1" applyBorder="1" applyAlignment="1">
      <alignment horizontal="center"/>
    </xf>
    <xf numFmtId="180" fontId="15" fillId="0" borderId="2" xfId="0" applyNumberFormat="1" applyFont="1" applyBorder="1" applyAlignment="1">
      <alignment horizontal="center"/>
    </xf>
    <xf numFmtId="0" fontId="14" fillId="24" borderId="2" xfId="3" applyNumberFormat="1" applyFont="1" applyFill="1" applyBorder="1" applyAlignment="1">
      <alignment horizontal="center" vertical="center"/>
    </xf>
    <xf numFmtId="180" fontId="15" fillId="71" borderId="2" xfId="0" applyNumberFormat="1" applyFont="1" applyFill="1" applyBorder="1" applyAlignment="1">
      <alignment horizontal="center"/>
    </xf>
    <xf numFmtId="180" fontId="7" fillId="37" borderId="2" xfId="0" applyNumberFormat="1" applyFont="1" applyFill="1" applyBorder="1" applyAlignment="1">
      <alignment horizontal="center"/>
    </xf>
    <xf numFmtId="180" fontId="11" fillId="32" borderId="2" xfId="1" applyNumberFormat="1" applyFont="1" applyFill="1" applyBorder="1" applyAlignment="1">
      <alignment horizontal="center" vertical="center"/>
    </xf>
    <xf numFmtId="180" fontId="7" fillId="32" borderId="2" xfId="0" applyNumberFormat="1" applyFont="1" applyFill="1" applyBorder="1" applyAlignment="1">
      <alignment horizontal="center"/>
    </xf>
    <xf numFmtId="180" fontId="8" fillId="17" borderId="2" xfId="0" applyNumberFormat="1" applyFont="1" applyFill="1" applyBorder="1" applyAlignment="1">
      <alignment horizontal="center"/>
    </xf>
    <xf numFmtId="180" fontId="2" fillId="17" borderId="2" xfId="0" applyNumberFormat="1" applyFont="1" applyFill="1" applyBorder="1" applyAlignment="1">
      <alignment horizontal="center"/>
    </xf>
    <xf numFmtId="180" fontId="7" fillId="23" borderId="2" xfId="3" applyNumberFormat="1" applyFont="1" applyFill="1" applyBorder="1" applyAlignment="1">
      <alignment horizontal="center" vertical="center"/>
    </xf>
    <xf numFmtId="0" fontId="8" fillId="72" borderId="2" xfId="3" applyNumberFormat="1" applyFont="1" applyFill="1" applyBorder="1" applyAlignment="1">
      <alignment horizontal="center" vertical="center"/>
    </xf>
    <xf numFmtId="180" fontId="11" fillId="73" borderId="2" xfId="0" applyNumberFormat="1" applyFont="1" applyFill="1" applyBorder="1" applyAlignment="1">
      <alignment horizontal="center"/>
    </xf>
    <xf numFmtId="0" fontId="8" fillId="74" borderId="2" xfId="0" applyFont="1" applyFill="1" applyBorder="1" applyAlignment="1">
      <alignment horizontal="center"/>
    </xf>
    <xf numFmtId="0" fontId="2" fillId="75" borderId="2" xfId="0" applyFont="1" applyFill="1" applyBorder="1" applyAlignment="1">
      <alignment horizontal="center"/>
    </xf>
    <xf numFmtId="180" fontId="2" fillId="75" borderId="2" xfId="0" applyNumberFormat="1" applyFont="1" applyFill="1" applyBorder="1" applyAlignment="1">
      <alignment horizontal="center"/>
    </xf>
    <xf numFmtId="0" fontId="2" fillId="76" borderId="2" xfId="0" applyFont="1" applyFill="1" applyBorder="1" applyAlignment="1">
      <alignment horizontal="center"/>
    </xf>
    <xf numFmtId="180" fontId="2" fillId="76" borderId="2" xfId="0" applyNumberFormat="1" applyFont="1" applyFill="1" applyBorder="1" applyAlignment="1">
      <alignment horizontal="center"/>
    </xf>
    <xf numFmtId="180" fontId="2" fillId="76" borderId="0" xfId="0" applyNumberFormat="1" applyFont="1" applyFill="1" applyAlignment="1">
      <alignment horizontal="center"/>
    </xf>
    <xf numFmtId="180" fontId="7" fillId="18" borderId="0" xfId="0" applyNumberFormat="1" applyFont="1" applyFill="1" applyAlignment="1">
      <alignment horizontal="center"/>
    </xf>
    <xf numFmtId="180" fontId="2" fillId="77" borderId="2" xfId="0" applyNumberFormat="1" applyFont="1" applyFill="1" applyBorder="1" applyAlignment="1">
      <alignment horizontal="center"/>
    </xf>
    <xf numFmtId="180" fontId="8" fillId="50" borderId="2" xfId="0" applyNumberFormat="1" applyFont="1" applyFill="1" applyBorder="1" applyAlignment="1">
      <alignment horizontal="center"/>
    </xf>
    <xf numFmtId="180" fontId="7" fillId="8" borderId="0" xfId="0" applyNumberFormat="1" applyFont="1" applyFill="1" applyAlignment="1">
      <alignment horizontal="center"/>
    </xf>
    <xf numFmtId="0" fontId="14" fillId="3" borderId="2" xfId="0" applyFont="1" applyFill="1" applyBorder="1" applyAlignment="1">
      <alignment horizontal="center"/>
    </xf>
    <xf numFmtId="0" fontId="7" fillId="18" borderId="2" xfId="0" applyFont="1" applyFill="1" applyBorder="1" applyAlignment="1">
      <alignment horizontal="center"/>
    </xf>
    <xf numFmtId="180" fontId="15" fillId="7" borderId="2" xfId="0" applyNumberFormat="1" applyFont="1" applyFill="1" applyBorder="1" applyAlignment="1">
      <alignment horizontal="center"/>
    </xf>
    <xf numFmtId="0" fontId="15" fillId="7" borderId="2" xfId="0" applyFont="1" applyFill="1" applyBorder="1" applyAlignment="1">
      <alignment horizontal="center"/>
    </xf>
    <xf numFmtId="180" fontId="14" fillId="62" borderId="2" xfId="0" applyNumberFormat="1" applyFont="1" applyFill="1" applyBorder="1" applyAlignment="1">
      <alignment horizontal="center" vertical="center"/>
    </xf>
    <xf numFmtId="180" fontId="15" fillId="20" borderId="2" xfId="0" applyNumberFormat="1" applyFont="1" applyFill="1" applyBorder="1" applyAlignment="1">
      <alignment horizontal="center"/>
    </xf>
    <xf numFmtId="0" fontId="7" fillId="18" borderId="2" xfId="3" applyNumberFormat="1" applyFont="1" applyFill="1" applyBorder="1" applyAlignment="1">
      <alignment horizontal="center"/>
    </xf>
    <xf numFmtId="180" fontId="15" fillId="78" borderId="2" xfId="0" applyNumberFormat="1" applyFont="1" applyFill="1" applyBorder="1" applyAlignment="1">
      <alignment horizontal="center"/>
    </xf>
    <xf numFmtId="180" fontId="14" fillId="79" borderId="2" xfId="1" applyNumberFormat="1" applyFont="1" applyFill="1" applyBorder="1" applyAlignment="1">
      <alignment horizontal="center" vertical="center"/>
    </xf>
    <xf numFmtId="180" fontId="7" fillId="8" borderId="2" xfId="0" applyNumberFormat="1" applyFont="1" applyFill="1" applyBorder="1" applyAlignment="1">
      <alignment horizontal="center"/>
    </xf>
    <xf numFmtId="180" fontId="8" fillId="46" borderId="3" xfId="0" applyNumberFormat="1" applyFont="1" applyFill="1" applyBorder="1" applyAlignment="1">
      <alignment horizontal="center" vertical="center"/>
    </xf>
    <xf numFmtId="0" fontId="7" fillId="18" borderId="0" xfId="0" applyFont="1" applyFill="1" applyAlignment="1">
      <alignment horizontal="center"/>
    </xf>
    <xf numFmtId="180" fontId="15" fillId="52" borderId="2" xfId="0" applyNumberFormat="1" applyFont="1" applyFill="1" applyBorder="1" applyAlignment="1">
      <alignment horizontal="center"/>
    </xf>
    <xf numFmtId="180" fontId="2" fillId="11" borderId="2" xfId="0" applyNumberFormat="1" applyFont="1" applyFill="1" applyBorder="1"/>
    <xf numFmtId="10" fontId="2" fillId="11" borderId="2" xfId="3" applyNumberFormat="1" applyFont="1" applyFill="1" applyBorder="1" applyAlignment="1">
      <alignment horizontal="center"/>
    </xf>
    <xf numFmtId="180" fontId="14" fillId="26" borderId="2" xfId="0" applyNumberFormat="1" applyFont="1" applyFill="1" applyBorder="1" applyAlignment="1">
      <alignment horizontal="center"/>
    </xf>
    <xf numFmtId="0" fontId="14" fillId="26" borderId="2" xfId="0" applyFont="1" applyFill="1" applyBorder="1" applyAlignment="1">
      <alignment horizontal="center"/>
    </xf>
    <xf numFmtId="180" fontId="2" fillId="80" borderId="2" xfId="0" applyNumberFormat="1" applyFont="1" applyFill="1" applyBorder="1" applyAlignment="1">
      <alignment horizontal="center"/>
    </xf>
    <xf numFmtId="0" fontId="2" fillId="80" borderId="2" xfId="0" applyFont="1" applyFill="1" applyBorder="1" applyAlignment="1">
      <alignment horizontal="center"/>
    </xf>
    <xf numFmtId="10" fontId="2" fillId="80" borderId="2" xfId="3" applyNumberFormat="1" applyFont="1" applyFill="1" applyBorder="1" applyAlignment="1">
      <alignment horizontal="center"/>
    </xf>
    <xf numFmtId="180" fontId="14" fillId="25" borderId="2" xfId="0" applyNumberFormat="1" applyFont="1" applyFill="1" applyBorder="1" applyAlignment="1">
      <alignment horizontal="center"/>
    </xf>
    <xf numFmtId="0" fontId="14" fillId="25" borderId="2" xfId="0" applyFont="1" applyFill="1" applyBorder="1" applyAlignment="1">
      <alignment horizontal="center"/>
    </xf>
    <xf numFmtId="180" fontId="2" fillId="78" borderId="2" xfId="0" applyNumberFormat="1" applyFont="1" applyFill="1" applyBorder="1" applyAlignment="1">
      <alignment horizontal="center"/>
    </xf>
    <xf numFmtId="10" fontId="2" fillId="78" borderId="2" xfId="3" applyNumberFormat="1" applyFont="1" applyFill="1" applyBorder="1" applyAlignment="1">
      <alignment horizontal="center"/>
    </xf>
    <xf numFmtId="180" fontId="14" fillId="42" borderId="2" xfId="0" applyNumberFormat="1" applyFont="1" applyFill="1" applyBorder="1" applyAlignment="1">
      <alignment horizontal="center"/>
    </xf>
    <xf numFmtId="180" fontId="14" fillId="41" borderId="2" xfId="0" applyNumberFormat="1" applyFont="1" applyFill="1" applyBorder="1" applyAlignment="1">
      <alignment horizontal="center" vertical="center" wrapText="1"/>
    </xf>
    <xf numFmtId="0" fontId="14" fillId="42" borderId="2" xfId="0" applyFont="1" applyFill="1" applyBorder="1" applyAlignment="1">
      <alignment horizontal="center"/>
    </xf>
    <xf numFmtId="180" fontId="2" fillId="81" borderId="2" xfId="0" applyNumberFormat="1" applyFont="1" applyFill="1" applyBorder="1" applyAlignment="1">
      <alignment horizontal="center"/>
    </xf>
    <xf numFmtId="0" fontId="2" fillId="81" borderId="2" xfId="0" applyFont="1" applyFill="1" applyBorder="1" applyAlignment="1">
      <alignment horizontal="center"/>
    </xf>
    <xf numFmtId="180" fontId="15" fillId="27" borderId="2" xfId="0" applyNumberFormat="1" applyFont="1" applyFill="1" applyBorder="1" applyAlignment="1">
      <alignment horizontal="center"/>
    </xf>
    <xf numFmtId="180" fontId="14" fillId="27" borderId="2" xfId="0" applyNumberFormat="1" applyFont="1" applyFill="1" applyBorder="1" applyAlignment="1">
      <alignment horizontal="center"/>
    </xf>
    <xf numFmtId="0" fontId="14" fillId="27" borderId="2" xfId="3" applyNumberFormat="1" applyFont="1" applyFill="1" applyBorder="1" applyAlignment="1">
      <alignment horizontal="center"/>
    </xf>
    <xf numFmtId="0" fontId="7" fillId="37" borderId="2" xfId="3" applyNumberFormat="1" applyFont="1" applyFill="1" applyBorder="1" applyAlignment="1">
      <alignment horizontal="center"/>
    </xf>
    <xf numFmtId="0" fontId="7" fillId="32" borderId="2" xfId="3" applyNumberFormat="1" applyFont="1" applyFill="1" applyBorder="1" applyAlignment="1">
      <alignment horizontal="center"/>
    </xf>
    <xf numFmtId="180" fontId="14" fillId="63" borderId="2" xfId="0" applyNumberFormat="1" applyFont="1" applyFill="1" applyBorder="1" applyAlignment="1">
      <alignment horizontal="center"/>
    </xf>
    <xf numFmtId="0" fontId="14" fillId="63" borderId="2" xfId="3" applyNumberFormat="1" applyFont="1" applyFill="1" applyBorder="1" applyAlignment="1">
      <alignment horizontal="center"/>
    </xf>
    <xf numFmtId="180" fontId="14" fillId="68" borderId="2" xfId="1" applyNumberFormat="1" applyFont="1" applyFill="1" applyBorder="1" applyAlignment="1">
      <alignment horizontal="center" vertical="center"/>
    </xf>
    <xf numFmtId="180" fontId="14" fillId="82" borderId="2" xfId="0" applyNumberFormat="1" applyFont="1" applyFill="1" applyBorder="1" applyAlignment="1">
      <alignment horizontal="center" vertical="center"/>
    </xf>
    <xf numFmtId="10" fontId="14" fillId="68" borderId="2" xfId="3" applyNumberFormat="1" applyFont="1" applyFill="1" applyBorder="1" applyAlignment="1">
      <alignment horizontal="center" vertical="center"/>
    </xf>
    <xf numFmtId="180" fontId="14" fillId="83" borderId="2" xfId="0" applyNumberFormat="1" applyFont="1" applyFill="1" applyBorder="1" applyAlignment="1">
      <alignment horizontal="center" vertical="center"/>
    </xf>
    <xf numFmtId="10" fontId="14" fillId="84" borderId="2" xfId="3" applyNumberFormat="1" applyFont="1" applyFill="1" applyBorder="1" applyAlignment="1">
      <alignment horizontal="center" vertical="center"/>
    </xf>
    <xf numFmtId="0" fontId="14" fillId="84" borderId="2" xfId="3" applyNumberFormat="1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25" borderId="2" xfId="0" applyFont="1" applyFill="1" applyBorder="1" applyAlignment="1">
      <alignment horizontal="center"/>
    </xf>
    <xf numFmtId="180" fontId="15" fillId="70" borderId="2" xfId="0" applyNumberFormat="1" applyFont="1" applyFill="1" applyBorder="1" applyAlignment="1">
      <alignment horizontal="center"/>
    </xf>
    <xf numFmtId="180" fontId="8" fillId="10" borderId="1" xfId="0" applyNumberFormat="1" applyFont="1" applyFill="1" applyBorder="1" applyAlignment="1">
      <alignment horizontal="center"/>
    </xf>
    <xf numFmtId="180" fontId="2" fillId="7" borderId="1" xfId="0" applyNumberFormat="1" applyFont="1" applyFill="1" applyBorder="1" applyAlignment="1">
      <alignment horizontal="center" vertical="center"/>
    </xf>
    <xf numFmtId="180" fontId="11" fillId="18" borderId="1" xfId="0" applyNumberFormat="1" applyFont="1" applyFill="1" applyBorder="1" applyAlignment="1">
      <alignment horizontal="center"/>
    </xf>
    <xf numFmtId="0" fontId="2" fillId="26" borderId="2" xfId="0" applyFont="1" applyFill="1" applyBorder="1" applyAlignment="1">
      <alignment horizontal="center"/>
    </xf>
    <xf numFmtId="180" fontId="14" fillId="24" borderId="2" xfId="3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/>
    </xf>
    <xf numFmtId="180" fontId="14" fillId="72" borderId="2" xfId="3" applyNumberFormat="1" applyFont="1" applyFill="1" applyBorder="1" applyAlignment="1">
      <alignment horizontal="center" vertical="center"/>
    </xf>
    <xf numFmtId="180" fontId="11" fillId="0" borderId="2" xfId="0" applyNumberFormat="1" applyFont="1" applyBorder="1" applyAlignment="1">
      <alignment horizontal="center"/>
    </xf>
    <xf numFmtId="180" fontId="14" fillId="74" borderId="2" xfId="0" applyNumberFormat="1" applyFont="1" applyFill="1" applyBorder="1" applyAlignment="1">
      <alignment horizontal="center"/>
    </xf>
    <xf numFmtId="180" fontId="14" fillId="3" borderId="2" xfId="0" applyNumberFormat="1" applyFont="1" applyFill="1" applyBorder="1" applyAlignment="1">
      <alignment horizontal="center"/>
    </xf>
    <xf numFmtId="180" fontId="7" fillId="18" borderId="2" xfId="3" applyNumberFormat="1" applyFont="1" applyFill="1" applyBorder="1" applyAlignment="1">
      <alignment horizontal="center"/>
    </xf>
    <xf numFmtId="180" fontId="7" fillId="57" borderId="2" xfId="0" applyNumberFormat="1" applyFont="1" applyFill="1" applyBorder="1" applyAlignment="1">
      <alignment horizontal="center"/>
    </xf>
    <xf numFmtId="180" fontId="7" fillId="44" borderId="2" xfId="0" applyNumberFormat="1" applyFont="1" applyFill="1" applyBorder="1" applyAlignment="1">
      <alignment horizontal="center" vertical="center"/>
    </xf>
    <xf numFmtId="180" fontId="2" fillId="60" borderId="2" xfId="0" applyNumberFormat="1" applyFont="1" applyFill="1" applyBorder="1" applyAlignment="1">
      <alignment horizontal="center"/>
    </xf>
    <xf numFmtId="180" fontId="2" fillId="59" borderId="2" xfId="0" applyNumberFormat="1" applyFont="1" applyFill="1" applyBorder="1" applyAlignment="1">
      <alignment horizontal="center"/>
    </xf>
    <xf numFmtId="180" fontId="7" fillId="37" borderId="2" xfId="3" applyNumberFormat="1" applyFont="1" applyFill="1" applyBorder="1" applyAlignment="1">
      <alignment horizontal="center"/>
    </xf>
    <xf numFmtId="180" fontId="7" fillId="32" borderId="2" xfId="3" applyNumberFormat="1" applyFont="1" applyFill="1" applyBorder="1" applyAlignment="1">
      <alignment horizontal="center"/>
    </xf>
    <xf numFmtId="180" fontId="14" fillId="63" borderId="2" xfId="3" applyNumberFormat="1" applyFont="1" applyFill="1" applyBorder="1" applyAlignment="1">
      <alignment horizontal="center"/>
    </xf>
    <xf numFmtId="180" fontId="8" fillId="63" borderId="2" xfId="0" applyNumberFormat="1" applyFont="1" applyFill="1" applyBorder="1" applyAlignment="1">
      <alignment horizontal="center"/>
    </xf>
    <xf numFmtId="180" fontId="14" fillId="84" borderId="2" xfId="3" applyNumberFormat="1" applyFont="1" applyFill="1" applyBorder="1" applyAlignment="1">
      <alignment horizontal="center" vertical="center"/>
    </xf>
    <xf numFmtId="10" fontId="14" fillId="68" borderId="2" xfId="0" applyNumberFormat="1" applyFont="1" applyFill="1" applyBorder="1" applyAlignment="1">
      <alignment horizontal="center"/>
    </xf>
    <xf numFmtId="10" fontId="14" fillId="68" borderId="2" xfId="3" applyNumberFormat="1" applyFont="1" applyFill="1" applyBorder="1" applyAlignment="1">
      <alignment horizontal="center"/>
    </xf>
    <xf numFmtId="180" fontId="14" fillId="85" borderId="2" xfId="0" applyNumberFormat="1" applyFont="1" applyFill="1" applyBorder="1" applyAlignment="1">
      <alignment horizontal="center" vertical="center"/>
    </xf>
    <xf numFmtId="180" fontId="11" fillId="51" borderId="1" xfId="0" applyNumberFormat="1" applyFont="1" applyFill="1" applyBorder="1" applyAlignment="1">
      <alignment horizontal="center" vertical="center"/>
    </xf>
    <xf numFmtId="180" fontId="8" fillId="7" borderId="1" xfId="0" applyNumberFormat="1" applyFont="1" applyFill="1" applyBorder="1" applyAlignment="1">
      <alignment horizontal="center"/>
    </xf>
    <xf numFmtId="180" fontId="8" fillId="46" borderId="1" xfId="0" applyNumberFormat="1" applyFont="1" applyFill="1" applyBorder="1" applyAlignment="1">
      <alignment horizontal="center" vertical="center"/>
    </xf>
    <xf numFmtId="180" fontId="8" fillId="47" borderId="1" xfId="0" applyNumberFormat="1" applyFont="1" applyFill="1" applyBorder="1" applyAlignment="1">
      <alignment horizontal="center" vertical="center"/>
    </xf>
    <xf numFmtId="180" fontId="8" fillId="54" borderId="2" xfId="0" applyNumberFormat="1" applyFont="1" applyFill="1" applyBorder="1" applyAlignment="1">
      <alignment horizontal="center"/>
    </xf>
    <xf numFmtId="180" fontId="2" fillId="86" borderId="2" xfId="0" applyNumberFormat="1" applyFont="1" applyFill="1" applyBorder="1" applyAlignment="1">
      <alignment horizontal="center"/>
    </xf>
    <xf numFmtId="180" fontId="2" fillId="65" borderId="2" xfId="0" applyNumberFormat="1" applyFont="1" applyFill="1" applyBorder="1" applyAlignment="1">
      <alignment horizontal="center"/>
    </xf>
    <xf numFmtId="180" fontId="2" fillId="68" borderId="2" xfId="0" applyNumberFormat="1" applyFont="1" applyFill="1" applyBorder="1" applyAlignment="1">
      <alignment horizontal="center"/>
    </xf>
    <xf numFmtId="180" fontId="2" fillId="4" borderId="2" xfId="0" applyNumberFormat="1" applyFont="1" applyFill="1" applyBorder="1" applyAlignment="1">
      <alignment horizontal="center"/>
    </xf>
    <xf numFmtId="180" fontId="11" fillId="0" borderId="0" xfId="0" applyNumberFormat="1" applyFont="1"/>
    <xf numFmtId="18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80" fontId="2" fillId="77" borderId="0" xfId="0" applyNumberFormat="1" applyFont="1" applyFill="1" applyAlignment="1">
      <alignment horizontal="center"/>
    </xf>
    <xf numFmtId="180" fontId="2" fillId="87" borderId="2" xfId="0" applyNumberFormat="1" applyFont="1" applyFill="1" applyBorder="1" applyAlignment="1">
      <alignment horizontal="center"/>
    </xf>
    <xf numFmtId="180" fontId="2" fillId="88" borderId="2" xfId="0" applyNumberFormat="1" applyFont="1" applyFill="1" applyBorder="1" applyAlignment="1">
      <alignment horizontal="center"/>
    </xf>
    <xf numFmtId="180" fontId="2" fillId="89" borderId="2" xfId="0" applyNumberFormat="1" applyFont="1" applyFill="1" applyBorder="1" applyAlignment="1">
      <alignment horizontal="center"/>
    </xf>
    <xf numFmtId="180" fontId="2" fillId="90" borderId="2" xfId="0" applyNumberFormat="1" applyFont="1" applyFill="1" applyBorder="1" applyAlignment="1">
      <alignment horizontal="center"/>
    </xf>
    <xf numFmtId="181" fontId="2" fillId="0" borderId="2" xfId="0" applyNumberFormat="1" applyFont="1" applyBorder="1" applyAlignment="1">
      <alignment horizontal="center"/>
    </xf>
    <xf numFmtId="180" fontId="10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58" fontId="2" fillId="68" borderId="0" xfId="0" applyNumberFormat="1" applyFont="1" applyFill="1" applyAlignment="1">
      <alignment horizontal="center"/>
    </xf>
    <xf numFmtId="0" fontId="8" fillId="0" borderId="2" xfId="0" applyFont="1" applyBorder="1" applyAlignment="1">
      <alignment horizontal="left" vertical="center" wrapText="1"/>
    </xf>
    <xf numFmtId="58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left"/>
    </xf>
    <xf numFmtId="180" fontId="2" fillId="4" borderId="0" xfId="0" applyNumberFormat="1" applyFont="1" applyFill="1" applyAlignment="1">
      <alignment horizontal="center"/>
    </xf>
    <xf numFmtId="180" fontId="11" fillId="18" borderId="2" xfId="0" applyNumberFormat="1" applyFont="1" applyFill="1" applyBorder="1" applyAlignment="1">
      <alignment horizontal="center" vertical="center"/>
    </xf>
    <xf numFmtId="0" fontId="8" fillId="50" borderId="2" xfId="0" applyFont="1" applyFill="1" applyBorder="1" applyAlignment="1">
      <alignment horizontal="center"/>
    </xf>
    <xf numFmtId="180" fontId="11" fillId="91" borderId="2" xfId="0" applyNumberFormat="1" applyFont="1" applyFill="1" applyBorder="1" applyAlignment="1">
      <alignment horizontal="center"/>
    </xf>
    <xf numFmtId="180" fontId="8" fillId="38" borderId="2" xfId="1" applyNumberFormat="1" applyFont="1" applyFill="1" applyBorder="1" applyAlignment="1">
      <alignment horizontal="center" vertical="center" wrapText="1"/>
    </xf>
    <xf numFmtId="180" fontId="8" fillId="92" borderId="0" xfId="0" applyNumberFormat="1" applyFont="1" applyFill="1" applyAlignment="1">
      <alignment horizontal="center"/>
    </xf>
    <xf numFmtId="180" fontId="11" fillId="4" borderId="0" xfId="0" applyNumberFormat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180" fontId="11" fillId="45" borderId="2" xfId="0" applyNumberFormat="1" applyFont="1" applyFill="1" applyBorder="1" applyAlignment="1">
      <alignment horizontal="center" vertical="center"/>
    </xf>
    <xf numFmtId="180" fontId="2" fillId="59" borderId="2" xfId="0" applyNumberFormat="1" applyFont="1" applyFill="1" applyBorder="1" applyAlignment="1">
      <alignment horizontal="center" vertical="center"/>
    </xf>
    <xf numFmtId="180" fontId="2" fillId="47" borderId="2" xfId="0" applyNumberFormat="1" applyFont="1" applyFill="1" applyBorder="1" applyAlignment="1">
      <alignment horizontal="center" vertical="center"/>
    </xf>
    <xf numFmtId="180" fontId="2" fillId="0" borderId="2" xfId="0" applyNumberFormat="1" applyFont="1" applyBorder="1" applyAlignment="1">
      <alignment horizontal="center" vertical="center"/>
    </xf>
    <xf numFmtId="180" fontId="8" fillId="58" borderId="2" xfId="0" applyNumberFormat="1" applyFont="1" applyFill="1" applyBorder="1" applyAlignment="1">
      <alignment horizontal="center" vertical="center"/>
    </xf>
    <xf numFmtId="180" fontId="8" fillId="4" borderId="0" xfId="0" applyNumberFormat="1" applyFont="1" applyFill="1" applyAlignment="1">
      <alignment horizontal="center"/>
    </xf>
    <xf numFmtId="0" fontId="15" fillId="61" borderId="2" xfId="0" applyFont="1" applyFill="1" applyBorder="1" applyAlignment="1">
      <alignment horizontal="center"/>
    </xf>
    <xf numFmtId="180" fontId="16" fillId="7" borderId="2" xfId="0" applyNumberFormat="1" applyFont="1" applyFill="1" applyBorder="1" applyAlignment="1">
      <alignment horizontal="center"/>
    </xf>
    <xf numFmtId="180" fontId="18" fillId="0" borderId="0" xfId="0" applyNumberFormat="1" applyFont="1"/>
    <xf numFmtId="180" fontId="2" fillId="0" borderId="0" xfId="0" applyNumberFormat="1" applyFont="1" applyAlignment="1">
      <alignment horizontal="left"/>
    </xf>
    <xf numFmtId="180" fontId="1" fillId="0" borderId="0" xfId="0" applyNumberFormat="1" applyFont="1"/>
    <xf numFmtId="0" fontId="1" fillId="0" borderId="0" xfId="0" applyFont="1" applyAlignment="1">
      <alignment horizontal="center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tableStyles count="0" defaultTableStyle="TableStyleMedium2" defaultPivotStyle="PivotStyleLight16"/>
  <colors>
    <mruColors>
      <color rgb="00FFCCFF"/>
      <color rgb="0000B050"/>
      <color rgb="0070AD47"/>
      <color rgb="00FFCC99"/>
      <color rgb="00FF6600"/>
      <color rgb="00FF7C80"/>
      <color rgb="0087FB8D"/>
      <color rgb="00002060"/>
      <color rgb="000070C0"/>
      <color rgb="00BDD7E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6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2400300</xdr:colOff>
      <xdr:row>0</xdr:row>
      <xdr:rowOff>171450</xdr:rowOff>
    </xdr:from>
    <xdr:to>
      <xdr:col>2</xdr:col>
      <xdr:colOff>2657475</xdr:colOff>
      <xdr:row>0</xdr:row>
      <xdr:rowOff>180975</xdr:rowOff>
    </xdr:to>
    <xdr:sp>
      <xdr:nvSpPr>
        <xdr:cNvPr id="2" name="Estrela: 5 Pontas 1"/>
        <xdr:cNvSpPr/>
      </xdr:nvSpPr>
      <xdr:spPr>
        <a:xfrm>
          <a:off x="2428875" y="171450"/>
          <a:ext cx="0" cy="952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3057218</xdr:colOff>
      <xdr:row>97</xdr:row>
      <xdr:rowOff>1</xdr:rowOff>
    </xdr:from>
    <xdr:to>
      <xdr:col>7</xdr:col>
      <xdr:colOff>3194802</xdr:colOff>
      <xdr:row>99</xdr:row>
      <xdr:rowOff>7682</xdr:rowOff>
    </xdr:to>
    <xdr:sp>
      <xdr:nvSpPr>
        <xdr:cNvPr id="4" name="Estrela: 5 Pontas 3"/>
        <xdr:cNvSpPr/>
      </xdr:nvSpPr>
      <xdr:spPr>
        <a:xfrm>
          <a:off x="13296900" y="18078450"/>
          <a:ext cx="0" cy="38862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3072581</xdr:colOff>
      <xdr:row>97</xdr:row>
      <xdr:rowOff>153630</xdr:rowOff>
    </xdr:from>
    <xdr:to>
      <xdr:col>8</xdr:col>
      <xdr:colOff>7000</xdr:colOff>
      <xdr:row>99</xdr:row>
      <xdr:rowOff>183843</xdr:rowOff>
    </xdr:to>
    <xdr:sp>
      <xdr:nvSpPr>
        <xdr:cNvPr id="5" name="Estrela: 5 Pontas 4"/>
        <xdr:cNvSpPr/>
      </xdr:nvSpPr>
      <xdr:spPr>
        <a:xfrm>
          <a:off x="13296900" y="18231485"/>
          <a:ext cx="6985" cy="41148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3057218</xdr:colOff>
      <xdr:row>3</xdr:row>
      <xdr:rowOff>1</xdr:rowOff>
    </xdr:from>
    <xdr:to>
      <xdr:col>7</xdr:col>
      <xdr:colOff>3194802</xdr:colOff>
      <xdr:row>4</xdr:row>
      <xdr:rowOff>0</xdr:rowOff>
    </xdr:to>
    <xdr:sp>
      <xdr:nvSpPr>
        <xdr:cNvPr id="11" name="Estrela: 5 Pontas 10"/>
        <xdr:cNvSpPr/>
      </xdr:nvSpPr>
      <xdr:spPr>
        <a:xfrm>
          <a:off x="13296900" y="571500"/>
          <a:ext cx="0" cy="19050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3072581</xdr:colOff>
      <xdr:row>3</xdr:row>
      <xdr:rowOff>153630</xdr:rowOff>
    </xdr:from>
    <xdr:to>
      <xdr:col>8</xdr:col>
      <xdr:colOff>7000</xdr:colOff>
      <xdr:row>4</xdr:row>
      <xdr:rowOff>0</xdr:rowOff>
    </xdr:to>
    <xdr:sp>
      <xdr:nvSpPr>
        <xdr:cNvPr id="12" name="Estrela: 5 Pontas 11"/>
        <xdr:cNvSpPr/>
      </xdr:nvSpPr>
      <xdr:spPr>
        <a:xfrm>
          <a:off x="13296900" y="724535"/>
          <a:ext cx="6985" cy="3746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2976562</xdr:colOff>
      <xdr:row>3</xdr:row>
      <xdr:rowOff>142875</xdr:rowOff>
    </xdr:from>
    <xdr:to>
      <xdr:col>7</xdr:col>
      <xdr:colOff>3106465</xdr:colOff>
      <xdr:row>4</xdr:row>
      <xdr:rowOff>0</xdr:rowOff>
    </xdr:to>
    <xdr:sp>
      <xdr:nvSpPr>
        <xdr:cNvPr id="13" name="Estrela: 5 Pontas 12"/>
        <xdr:cNvSpPr/>
      </xdr:nvSpPr>
      <xdr:spPr>
        <a:xfrm>
          <a:off x="13296900" y="714375"/>
          <a:ext cx="0" cy="4762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3057218</xdr:colOff>
      <xdr:row>4</xdr:row>
      <xdr:rowOff>1</xdr:rowOff>
    </xdr:from>
    <xdr:to>
      <xdr:col>7</xdr:col>
      <xdr:colOff>3194802</xdr:colOff>
      <xdr:row>5</xdr:row>
      <xdr:rowOff>0</xdr:rowOff>
    </xdr:to>
    <xdr:sp>
      <xdr:nvSpPr>
        <xdr:cNvPr id="18" name="Estrela: 5 Pontas 17"/>
        <xdr:cNvSpPr/>
      </xdr:nvSpPr>
      <xdr:spPr>
        <a:xfrm>
          <a:off x="13296900" y="762000"/>
          <a:ext cx="0" cy="19050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3072581</xdr:colOff>
      <xdr:row>4</xdr:row>
      <xdr:rowOff>153630</xdr:rowOff>
    </xdr:from>
    <xdr:to>
      <xdr:col>8</xdr:col>
      <xdr:colOff>7000</xdr:colOff>
      <xdr:row>5</xdr:row>
      <xdr:rowOff>0</xdr:rowOff>
    </xdr:to>
    <xdr:sp>
      <xdr:nvSpPr>
        <xdr:cNvPr id="19" name="Estrela: 5 Pontas 18"/>
        <xdr:cNvSpPr/>
      </xdr:nvSpPr>
      <xdr:spPr>
        <a:xfrm>
          <a:off x="13296900" y="915035"/>
          <a:ext cx="6985" cy="3746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3057218</xdr:colOff>
      <xdr:row>4</xdr:row>
      <xdr:rowOff>1</xdr:rowOff>
    </xdr:from>
    <xdr:to>
      <xdr:col>7</xdr:col>
      <xdr:colOff>3194802</xdr:colOff>
      <xdr:row>5</xdr:row>
      <xdr:rowOff>0</xdr:rowOff>
    </xdr:to>
    <xdr:sp>
      <xdr:nvSpPr>
        <xdr:cNvPr id="20" name="Estrela: 5 Pontas 19"/>
        <xdr:cNvSpPr/>
      </xdr:nvSpPr>
      <xdr:spPr>
        <a:xfrm>
          <a:off x="13296900" y="762000"/>
          <a:ext cx="0" cy="19050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3072581</xdr:colOff>
      <xdr:row>4</xdr:row>
      <xdr:rowOff>153630</xdr:rowOff>
    </xdr:from>
    <xdr:to>
      <xdr:col>8</xdr:col>
      <xdr:colOff>7000</xdr:colOff>
      <xdr:row>5</xdr:row>
      <xdr:rowOff>0</xdr:rowOff>
    </xdr:to>
    <xdr:sp>
      <xdr:nvSpPr>
        <xdr:cNvPr id="21" name="Estrela: 5 Pontas 20"/>
        <xdr:cNvSpPr/>
      </xdr:nvSpPr>
      <xdr:spPr>
        <a:xfrm>
          <a:off x="13296900" y="915035"/>
          <a:ext cx="6985" cy="3746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3071813</xdr:colOff>
      <xdr:row>7</xdr:row>
      <xdr:rowOff>0</xdr:rowOff>
    </xdr:from>
    <xdr:to>
      <xdr:col>8</xdr:col>
      <xdr:colOff>10841</xdr:colOff>
      <xdr:row>7</xdr:row>
      <xdr:rowOff>57485</xdr:rowOff>
    </xdr:to>
    <xdr:sp>
      <xdr:nvSpPr>
        <xdr:cNvPr id="22" name="Estrela: 5 Pontas 21"/>
        <xdr:cNvSpPr/>
      </xdr:nvSpPr>
      <xdr:spPr>
        <a:xfrm>
          <a:off x="13296900" y="1333500"/>
          <a:ext cx="10795" cy="5715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3017044</xdr:colOff>
      <xdr:row>4</xdr:row>
      <xdr:rowOff>166687</xdr:rowOff>
    </xdr:from>
    <xdr:to>
      <xdr:col>7</xdr:col>
      <xdr:colOff>3146947</xdr:colOff>
      <xdr:row>5</xdr:row>
      <xdr:rowOff>0</xdr:rowOff>
    </xdr:to>
    <xdr:sp>
      <xdr:nvSpPr>
        <xdr:cNvPr id="24" name="Estrela: 5 Pontas 23"/>
        <xdr:cNvSpPr/>
      </xdr:nvSpPr>
      <xdr:spPr>
        <a:xfrm>
          <a:off x="13296900" y="928370"/>
          <a:ext cx="0" cy="2413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2917031</xdr:colOff>
      <xdr:row>7</xdr:row>
      <xdr:rowOff>0</xdr:rowOff>
    </xdr:from>
    <xdr:to>
      <xdr:col>7</xdr:col>
      <xdr:colOff>3164681</xdr:colOff>
      <xdr:row>7</xdr:row>
      <xdr:rowOff>140493</xdr:rowOff>
    </xdr:to>
    <xdr:sp>
      <xdr:nvSpPr>
        <xdr:cNvPr id="25" name="Estrela: 5 Pontas 24"/>
        <xdr:cNvSpPr/>
      </xdr:nvSpPr>
      <xdr:spPr>
        <a:xfrm>
          <a:off x="13296900" y="1333500"/>
          <a:ext cx="0" cy="14033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2976562</xdr:colOff>
      <xdr:row>12</xdr:row>
      <xdr:rowOff>0</xdr:rowOff>
    </xdr:from>
    <xdr:to>
      <xdr:col>7</xdr:col>
      <xdr:colOff>3106465</xdr:colOff>
      <xdr:row>13</xdr:row>
      <xdr:rowOff>21766</xdr:rowOff>
    </xdr:to>
    <xdr:sp>
      <xdr:nvSpPr>
        <xdr:cNvPr id="26" name="Estrela: 5 Pontas 25"/>
        <xdr:cNvSpPr/>
      </xdr:nvSpPr>
      <xdr:spPr>
        <a:xfrm>
          <a:off x="13296900" y="2257425"/>
          <a:ext cx="0" cy="21209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3067050</xdr:colOff>
      <xdr:row>12</xdr:row>
      <xdr:rowOff>161925</xdr:rowOff>
    </xdr:from>
    <xdr:to>
      <xdr:col>3</xdr:col>
      <xdr:colOff>3196953</xdr:colOff>
      <xdr:row>13</xdr:row>
      <xdr:rowOff>161925</xdr:rowOff>
    </xdr:to>
    <xdr:sp>
      <xdr:nvSpPr>
        <xdr:cNvPr id="37" name="Estrela: 5 Pontas 36"/>
        <xdr:cNvSpPr/>
      </xdr:nvSpPr>
      <xdr:spPr>
        <a:xfrm>
          <a:off x="5495925" y="2419350"/>
          <a:ext cx="129540" cy="19050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3017044</xdr:colOff>
      <xdr:row>33</xdr:row>
      <xdr:rowOff>166687</xdr:rowOff>
    </xdr:from>
    <xdr:to>
      <xdr:col>7</xdr:col>
      <xdr:colOff>3146947</xdr:colOff>
      <xdr:row>34</xdr:row>
      <xdr:rowOff>0</xdr:rowOff>
    </xdr:to>
    <xdr:sp>
      <xdr:nvSpPr>
        <xdr:cNvPr id="65" name="Estrela: 5 Pontas 64"/>
        <xdr:cNvSpPr/>
      </xdr:nvSpPr>
      <xdr:spPr>
        <a:xfrm>
          <a:off x="13296900" y="6334125"/>
          <a:ext cx="0" cy="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3057218</xdr:colOff>
      <xdr:row>105</xdr:row>
      <xdr:rowOff>1</xdr:rowOff>
    </xdr:from>
    <xdr:to>
      <xdr:col>5</xdr:col>
      <xdr:colOff>3194802</xdr:colOff>
      <xdr:row>106</xdr:row>
      <xdr:rowOff>0</xdr:rowOff>
    </xdr:to>
    <xdr:sp>
      <xdr:nvSpPr>
        <xdr:cNvPr id="102" name="Estrela: 5 Pontas 101"/>
        <xdr:cNvSpPr/>
      </xdr:nvSpPr>
      <xdr:spPr>
        <a:xfrm>
          <a:off x="9629775" y="19602450"/>
          <a:ext cx="0" cy="19050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3072581</xdr:colOff>
      <xdr:row>105</xdr:row>
      <xdr:rowOff>153630</xdr:rowOff>
    </xdr:from>
    <xdr:to>
      <xdr:col>6</xdr:col>
      <xdr:colOff>7000</xdr:colOff>
      <xdr:row>106</xdr:row>
      <xdr:rowOff>0</xdr:rowOff>
    </xdr:to>
    <xdr:sp>
      <xdr:nvSpPr>
        <xdr:cNvPr id="107" name="Estrela: 5 Pontas 106"/>
        <xdr:cNvSpPr/>
      </xdr:nvSpPr>
      <xdr:spPr>
        <a:xfrm>
          <a:off x="9629775" y="19755485"/>
          <a:ext cx="6985" cy="3746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3057218</xdr:colOff>
      <xdr:row>110</xdr:row>
      <xdr:rowOff>1</xdr:rowOff>
    </xdr:from>
    <xdr:to>
      <xdr:col>7</xdr:col>
      <xdr:colOff>3194802</xdr:colOff>
      <xdr:row>111</xdr:row>
      <xdr:rowOff>0</xdr:rowOff>
    </xdr:to>
    <xdr:sp>
      <xdr:nvSpPr>
        <xdr:cNvPr id="132" name="Estrela: 5 Pontas 131"/>
        <xdr:cNvSpPr/>
      </xdr:nvSpPr>
      <xdr:spPr>
        <a:xfrm>
          <a:off x="13296900" y="20554950"/>
          <a:ext cx="0" cy="19050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3072581</xdr:colOff>
      <xdr:row>110</xdr:row>
      <xdr:rowOff>153630</xdr:rowOff>
    </xdr:from>
    <xdr:to>
      <xdr:col>8</xdr:col>
      <xdr:colOff>7000</xdr:colOff>
      <xdr:row>111</xdr:row>
      <xdr:rowOff>0</xdr:rowOff>
    </xdr:to>
    <xdr:sp>
      <xdr:nvSpPr>
        <xdr:cNvPr id="133" name="Estrela: 5 Pontas 132"/>
        <xdr:cNvSpPr/>
      </xdr:nvSpPr>
      <xdr:spPr>
        <a:xfrm>
          <a:off x="13296900" y="20707985"/>
          <a:ext cx="6985" cy="3746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3038475</xdr:colOff>
      <xdr:row>4</xdr:row>
      <xdr:rowOff>28575</xdr:rowOff>
    </xdr:from>
    <xdr:to>
      <xdr:col>3</xdr:col>
      <xdr:colOff>3159918</xdr:colOff>
      <xdr:row>5</xdr:row>
      <xdr:rowOff>0</xdr:rowOff>
    </xdr:to>
    <xdr:sp>
      <xdr:nvSpPr>
        <xdr:cNvPr id="165" name="Estrela: 5 Pontas 164"/>
        <xdr:cNvSpPr/>
      </xdr:nvSpPr>
      <xdr:spPr>
        <a:xfrm>
          <a:off x="5467350" y="790575"/>
          <a:ext cx="121285" cy="16192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3067050</xdr:colOff>
      <xdr:row>7</xdr:row>
      <xdr:rowOff>0</xdr:rowOff>
    </xdr:from>
    <xdr:to>
      <xdr:col>3</xdr:col>
      <xdr:colOff>3188493</xdr:colOff>
      <xdr:row>8</xdr:row>
      <xdr:rowOff>0</xdr:rowOff>
    </xdr:to>
    <xdr:sp>
      <xdr:nvSpPr>
        <xdr:cNvPr id="170" name="Estrela: 5 Pontas 169"/>
        <xdr:cNvSpPr/>
      </xdr:nvSpPr>
      <xdr:spPr>
        <a:xfrm>
          <a:off x="5495925" y="1333500"/>
          <a:ext cx="121285" cy="19050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3057218</xdr:colOff>
      <xdr:row>119</xdr:row>
      <xdr:rowOff>1</xdr:rowOff>
    </xdr:from>
    <xdr:to>
      <xdr:col>7</xdr:col>
      <xdr:colOff>3194802</xdr:colOff>
      <xdr:row>120</xdr:row>
      <xdr:rowOff>0</xdr:rowOff>
    </xdr:to>
    <xdr:sp>
      <xdr:nvSpPr>
        <xdr:cNvPr id="173" name="Estrela: 5 Pontas 172"/>
        <xdr:cNvSpPr/>
      </xdr:nvSpPr>
      <xdr:spPr>
        <a:xfrm>
          <a:off x="13296900" y="22269450"/>
          <a:ext cx="0" cy="19050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3072581</xdr:colOff>
      <xdr:row>119</xdr:row>
      <xdr:rowOff>153630</xdr:rowOff>
    </xdr:from>
    <xdr:to>
      <xdr:col>8</xdr:col>
      <xdr:colOff>7000</xdr:colOff>
      <xdr:row>120</xdr:row>
      <xdr:rowOff>0</xdr:rowOff>
    </xdr:to>
    <xdr:sp>
      <xdr:nvSpPr>
        <xdr:cNvPr id="176" name="Estrela: 5 Pontas 175"/>
        <xdr:cNvSpPr/>
      </xdr:nvSpPr>
      <xdr:spPr>
        <a:xfrm>
          <a:off x="13296900" y="22422485"/>
          <a:ext cx="6985" cy="3746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3057218</xdr:colOff>
      <xdr:row>119</xdr:row>
      <xdr:rowOff>1</xdr:rowOff>
    </xdr:from>
    <xdr:to>
      <xdr:col>7</xdr:col>
      <xdr:colOff>3194802</xdr:colOff>
      <xdr:row>120</xdr:row>
      <xdr:rowOff>0</xdr:rowOff>
    </xdr:to>
    <xdr:sp>
      <xdr:nvSpPr>
        <xdr:cNvPr id="177" name="Estrela: 5 Pontas 176"/>
        <xdr:cNvSpPr/>
      </xdr:nvSpPr>
      <xdr:spPr>
        <a:xfrm>
          <a:off x="13296900" y="22269450"/>
          <a:ext cx="0" cy="19050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3072581</xdr:colOff>
      <xdr:row>119</xdr:row>
      <xdr:rowOff>153630</xdr:rowOff>
    </xdr:from>
    <xdr:to>
      <xdr:col>8</xdr:col>
      <xdr:colOff>7000</xdr:colOff>
      <xdr:row>120</xdr:row>
      <xdr:rowOff>0</xdr:rowOff>
    </xdr:to>
    <xdr:sp>
      <xdr:nvSpPr>
        <xdr:cNvPr id="180" name="Estrela: 5 Pontas 179"/>
        <xdr:cNvSpPr/>
      </xdr:nvSpPr>
      <xdr:spPr>
        <a:xfrm>
          <a:off x="13296900" y="22422485"/>
          <a:ext cx="6985" cy="3746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3071813</xdr:colOff>
      <xdr:row>119</xdr:row>
      <xdr:rowOff>0</xdr:rowOff>
    </xdr:from>
    <xdr:to>
      <xdr:col>8</xdr:col>
      <xdr:colOff>10841</xdr:colOff>
      <xdr:row>119</xdr:row>
      <xdr:rowOff>57485</xdr:rowOff>
    </xdr:to>
    <xdr:sp>
      <xdr:nvSpPr>
        <xdr:cNvPr id="184" name="Estrela: 5 Pontas 183"/>
        <xdr:cNvSpPr/>
      </xdr:nvSpPr>
      <xdr:spPr>
        <a:xfrm>
          <a:off x="13296900" y="22269450"/>
          <a:ext cx="10795" cy="5715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3017044</xdr:colOff>
      <xdr:row>119</xdr:row>
      <xdr:rowOff>166687</xdr:rowOff>
    </xdr:from>
    <xdr:to>
      <xdr:col>7</xdr:col>
      <xdr:colOff>3146947</xdr:colOff>
      <xdr:row>120</xdr:row>
      <xdr:rowOff>0</xdr:rowOff>
    </xdr:to>
    <xdr:sp>
      <xdr:nvSpPr>
        <xdr:cNvPr id="185" name="Estrela: 5 Pontas 184"/>
        <xdr:cNvSpPr/>
      </xdr:nvSpPr>
      <xdr:spPr>
        <a:xfrm>
          <a:off x="13296900" y="22435820"/>
          <a:ext cx="0" cy="2413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2917031</xdr:colOff>
      <xdr:row>119</xdr:row>
      <xdr:rowOff>0</xdr:rowOff>
    </xdr:from>
    <xdr:to>
      <xdr:col>7</xdr:col>
      <xdr:colOff>3164681</xdr:colOff>
      <xdr:row>119</xdr:row>
      <xdr:rowOff>140493</xdr:rowOff>
    </xdr:to>
    <xdr:sp>
      <xdr:nvSpPr>
        <xdr:cNvPr id="186" name="Estrela: 5 Pontas 185"/>
        <xdr:cNvSpPr/>
      </xdr:nvSpPr>
      <xdr:spPr>
        <a:xfrm>
          <a:off x="13296900" y="22269450"/>
          <a:ext cx="0" cy="14033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3057218</xdr:colOff>
      <xdr:row>123</xdr:row>
      <xdr:rowOff>1</xdr:rowOff>
    </xdr:from>
    <xdr:to>
      <xdr:col>7</xdr:col>
      <xdr:colOff>3194802</xdr:colOff>
      <xdr:row>124</xdr:row>
      <xdr:rowOff>0</xdr:rowOff>
    </xdr:to>
    <xdr:sp>
      <xdr:nvSpPr>
        <xdr:cNvPr id="203" name="Estrela: 5 Pontas 202"/>
        <xdr:cNvSpPr/>
      </xdr:nvSpPr>
      <xdr:spPr>
        <a:xfrm>
          <a:off x="13296900" y="23031450"/>
          <a:ext cx="0" cy="19050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3072581</xdr:colOff>
      <xdr:row>123</xdr:row>
      <xdr:rowOff>153630</xdr:rowOff>
    </xdr:from>
    <xdr:to>
      <xdr:col>8</xdr:col>
      <xdr:colOff>7000</xdr:colOff>
      <xdr:row>124</xdr:row>
      <xdr:rowOff>0</xdr:rowOff>
    </xdr:to>
    <xdr:sp>
      <xdr:nvSpPr>
        <xdr:cNvPr id="204" name="Estrela: 5 Pontas 203"/>
        <xdr:cNvSpPr/>
      </xdr:nvSpPr>
      <xdr:spPr>
        <a:xfrm>
          <a:off x="13296900" y="23184485"/>
          <a:ext cx="6985" cy="3746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3057218</xdr:colOff>
      <xdr:row>123</xdr:row>
      <xdr:rowOff>1</xdr:rowOff>
    </xdr:from>
    <xdr:to>
      <xdr:col>7</xdr:col>
      <xdr:colOff>3194802</xdr:colOff>
      <xdr:row>124</xdr:row>
      <xdr:rowOff>0</xdr:rowOff>
    </xdr:to>
    <xdr:sp>
      <xdr:nvSpPr>
        <xdr:cNvPr id="205" name="Estrela: 5 Pontas 204"/>
        <xdr:cNvSpPr/>
      </xdr:nvSpPr>
      <xdr:spPr>
        <a:xfrm>
          <a:off x="13296900" y="23031450"/>
          <a:ext cx="0" cy="19050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3072581</xdr:colOff>
      <xdr:row>123</xdr:row>
      <xdr:rowOff>153630</xdr:rowOff>
    </xdr:from>
    <xdr:to>
      <xdr:col>8</xdr:col>
      <xdr:colOff>7000</xdr:colOff>
      <xdr:row>124</xdr:row>
      <xdr:rowOff>0</xdr:rowOff>
    </xdr:to>
    <xdr:sp>
      <xdr:nvSpPr>
        <xdr:cNvPr id="206" name="Estrela: 5 Pontas 205"/>
        <xdr:cNvSpPr/>
      </xdr:nvSpPr>
      <xdr:spPr>
        <a:xfrm>
          <a:off x="13296900" y="23184485"/>
          <a:ext cx="6985" cy="3746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3057525</xdr:colOff>
      <xdr:row>46</xdr:row>
      <xdr:rowOff>19050</xdr:rowOff>
    </xdr:from>
    <xdr:to>
      <xdr:col>3</xdr:col>
      <xdr:colOff>3181350</xdr:colOff>
      <xdr:row>46</xdr:row>
      <xdr:rowOff>171449</xdr:rowOff>
    </xdr:to>
    <xdr:sp>
      <xdr:nvSpPr>
        <xdr:cNvPr id="223" name="Estrela: 5 Pontas 222"/>
        <xdr:cNvSpPr/>
      </xdr:nvSpPr>
      <xdr:spPr>
        <a:xfrm>
          <a:off x="5486400" y="8524875"/>
          <a:ext cx="123825" cy="15176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3057218</xdr:colOff>
      <xdr:row>107</xdr:row>
      <xdr:rowOff>1</xdr:rowOff>
    </xdr:from>
    <xdr:to>
      <xdr:col>7</xdr:col>
      <xdr:colOff>3194802</xdr:colOff>
      <xdr:row>108</xdr:row>
      <xdr:rowOff>0</xdr:rowOff>
    </xdr:to>
    <xdr:sp>
      <xdr:nvSpPr>
        <xdr:cNvPr id="249" name="Estrela: 5 Pontas 248"/>
        <xdr:cNvSpPr/>
      </xdr:nvSpPr>
      <xdr:spPr>
        <a:xfrm>
          <a:off x="13296900" y="19983450"/>
          <a:ext cx="0" cy="19050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3072581</xdr:colOff>
      <xdr:row>107</xdr:row>
      <xdr:rowOff>153630</xdr:rowOff>
    </xdr:from>
    <xdr:to>
      <xdr:col>8</xdr:col>
      <xdr:colOff>7000</xdr:colOff>
      <xdr:row>108</xdr:row>
      <xdr:rowOff>0</xdr:rowOff>
    </xdr:to>
    <xdr:sp>
      <xdr:nvSpPr>
        <xdr:cNvPr id="250" name="Estrela: 5 Pontas 249"/>
        <xdr:cNvSpPr/>
      </xdr:nvSpPr>
      <xdr:spPr>
        <a:xfrm>
          <a:off x="13296900" y="20136485"/>
          <a:ext cx="6985" cy="3746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2524125</xdr:colOff>
      <xdr:row>1</xdr:row>
      <xdr:rowOff>171450</xdr:rowOff>
    </xdr:from>
    <xdr:to>
      <xdr:col>3</xdr:col>
      <xdr:colOff>2654028</xdr:colOff>
      <xdr:row>2</xdr:row>
      <xdr:rowOff>0</xdr:rowOff>
    </xdr:to>
    <xdr:sp>
      <xdr:nvSpPr>
        <xdr:cNvPr id="17" name="Estrela: 5 Pontas 16"/>
        <xdr:cNvSpPr/>
      </xdr:nvSpPr>
      <xdr:spPr>
        <a:xfrm>
          <a:off x="4953000" y="361950"/>
          <a:ext cx="129540" cy="1905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3114675</xdr:colOff>
      <xdr:row>17</xdr:row>
      <xdr:rowOff>28575</xdr:rowOff>
    </xdr:from>
    <xdr:to>
      <xdr:col>3</xdr:col>
      <xdr:colOff>3238500</xdr:colOff>
      <xdr:row>17</xdr:row>
      <xdr:rowOff>180974</xdr:rowOff>
    </xdr:to>
    <xdr:sp>
      <xdr:nvSpPr>
        <xdr:cNvPr id="183" name="Estrela: 5 Pontas 182"/>
        <xdr:cNvSpPr/>
      </xdr:nvSpPr>
      <xdr:spPr>
        <a:xfrm>
          <a:off x="5543550" y="3238500"/>
          <a:ext cx="123825" cy="15176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3057218</xdr:colOff>
      <xdr:row>19</xdr:row>
      <xdr:rowOff>1</xdr:rowOff>
    </xdr:from>
    <xdr:to>
      <xdr:col>7</xdr:col>
      <xdr:colOff>3194802</xdr:colOff>
      <xdr:row>20</xdr:row>
      <xdr:rowOff>0</xdr:rowOff>
    </xdr:to>
    <xdr:sp>
      <xdr:nvSpPr>
        <xdr:cNvPr id="240" name="Estrela: 5 Pontas 239"/>
        <xdr:cNvSpPr/>
      </xdr:nvSpPr>
      <xdr:spPr>
        <a:xfrm>
          <a:off x="13296900" y="3590925"/>
          <a:ext cx="0" cy="19050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3072581</xdr:colOff>
      <xdr:row>19</xdr:row>
      <xdr:rowOff>153630</xdr:rowOff>
    </xdr:from>
    <xdr:to>
      <xdr:col>8</xdr:col>
      <xdr:colOff>7000</xdr:colOff>
      <xdr:row>20</xdr:row>
      <xdr:rowOff>0</xdr:rowOff>
    </xdr:to>
    <xdr:sp>
      <xdr:nvSpPr>
        <xdr:cNvPr id="242" name="Estrela: 5 Pontas 241"/>
        <xdr:cNvSpPr/>
      </xdr:nvSpPr>
      <xdr:spPr>
        <a:xfrm>
          <a:off x="13296900" y="3743960"/>
          <a:ext cx="6985" cy="3746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3067050</xdr:colOff>
      <xdr:row>3</xdr:row>
      <xdr:rowOff>0</xdr:rowOff>
    </xdr:from>
    <xdr:to>
      <xdr:col>3</xdr:col>
      <xdr:colOff>3196953</xdr:colOff>
      <xdr:row>3</xdr:row>
      <xdr:rowOff>188454</xdr:rowOff>
    </xdr:to>
    <xdr:sp>
      <xdr:nvSpPr>
        <xdr:cNvPr id="246" name="Estrela: 5 Pontas 245"/>
        <xdr:cNvSpPr/>
      </xdr:nvSpPr>
      <xdr:spPr>
        <a:xfrm>
          <a:off x="5495925" y="571500"/>
          <a:ext cx="129540" cy="18796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3067050</xdr:colOff>
      <xdr:row>11</xdr:row>
      <xdr:rowOff>9525</xdr:rowOff>
    </xdr:from>
    <xdr:to>
      <xdr:col>3</xdr:col>
      <xdr:colOff>3196953</xdr:colOff>
      <xdr:row>12</xdr:row>
      <xdr:rowOff>28575</xdr:rowOff>
    </xdr:to>
    <xdr:sp>
      <xdr:nvSpPr>
        <xdr:cNvPr id="257" name="Estrela: 5 Pontas 256"/>
        <xdr:cNvSpPr/>
      </xdr:nvSpPr>
      <xdr:spPr>
        <a:xfrm>
          <a:off x="5495925" y="2076450"/>
          <a:ext cx="129540" cy="20955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2400300</xdr:colOff>
      <xdr:row>213</xdr:row>
      <xdr:rowOff>171450</xdr:rowOff>
    </xdr:from>
    <xdr:to>
      <xdr:col>2</xdr:col>
      <xdr:colOff>2657475</xdr:colOff>
      <xdr:row>213</xdr:row>
      <xdr:rowOff>180975</xdr:rowOff>
    </xdr:to>
    <xdr:sp>
      <xdr:nvSpPr>
        <xdr:cNvPr id="262" name="Estrela: 5 Pontas 261"/>
        <xdr:cNvSpPr/>
      </xdr:nvSpPr>
      <xdr:spPr>
        <a:xfrm>
          <a:off x="2428875" y="40233600"/>
          <a:ext cx="0" cy="952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3012281</xdr:colOff>
      <xdr:row>9</xdr:row>
      <xdr:rowOff>0</xdr:rowOff>
    </xdr:from>
    <xdr:to>
      <xdr:col>3</xdr:col>
      <xdr:colOff>3142184</xdr:colOff>
      <xdr:row>9</xdr:row>
      <xdr:rowOff>188454</xdr:rowOff>
    </xdr:to>
    <xdr:sp>
      <xdr:nvSpPr>
        <xdr:cNvPr id="201" name="Estrela: 5 Pontas 200"/>
        <xdr:cNvSpPr/>
      </xdr:nvSpPr>
      <xdr:spPr>
        <a:xfrm>
          <a:off x="5440680" y="1714500"/>
          <a:ext cx="130175" cy="18796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3057218</xdr:colOff>
      <xdr:row>9</xdr:row>
      <xdr:rowOff>1</xdr:rowOff>
    </xdr:from>
    <xdr:to>
      <xdr:col>7</xdr:col>
      <xdr:colOff>3194802</xdr:colOff>
      <xdr:row>10</xdr:row>
      <xdr:rowOff>7682</xdr:rowOff>
    </xdr:to>
    <xdr:sp>
      <xdr:nvSpPr>
        <xdr:cNvPr id="202" name="Estrela: 5 Pontas 201"/>
        <xdr:cNvSpPr/>
      </xdr:nvSpPr>
      <xdr:spPr>
        <a:xfrm>
          <a:off x="13296900" y="1714500"/>
          <a:ext cx="0" cy="19812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3072581</xdr:colOff>
      <xdr:row>9</xdr:row>
      <xdr:rowOff>153630</xdr:rowOff>
    </xdr:from>
    <xdr:to>
      <xdr:col>8</xdr:col>
      <xdr:colOff>7000</xdr:colOff>
      <xdr:row>10</xdr:row>
      <xdr:rowOff>183843</xdr:rowOff>
    </xdr:to>
    <xdr:sp>
      <xdr:nvSpPr>
        <xdr:cNvPr id="211" name="Estrela: 5 Pontas 210"/>
        <xdr:cNvSpPr/>
      </xdr:nvSpPr>
      <xdr:spPr>
        <a:xfrm>
          <a:off x="13296900" y="1867535"/>
          <a:ext cx="6985" cy="19939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3072581</xdr:colOff>
      <xdr:row>130</xdr:row>
      <xdr:rowOff>153630</xdr:rowOff>
    </xdr:from>
    <xdr:to>
      <xdr:col>8</xdr:col>
      <xdr:colOff>7000</xdr:colOff>
      <xdr:row>131</xdr:row>
      <xdr:rowOff>0</xdr:rowOff>
    </xdr:to>
    <xdr:sp>
      <xdr:nvSpPr>
        <xdr:cNvPr id="269" name="Estrela: 5 Pontas 268"/>
        <xdr:cNvSpPr/>
      </xdr:nvSpPr>
      <xdr:spPr>
        <a:xfrm>
          <a:off x="13296900" y="24489410"/>
          <a:ext cx="6985" cy="889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3072581</xdr:colOff>
      <xdr:row>130</xdr:row>
      <xdr:rowOff>153630</xdr:rowOff>
    </xdr:from>
    <xdr:to>
      <xdr:col>8</xdr:col>
      <xdr:colOff>7000</xdr:colOff>
      <xdr:row>131</xdr:row>
      <xdr:rowOff>0</xdr:rowOff>
    </xdr:to>
    <xdr:sp>
      <xdr:nvSpPr>
        <xdr:cNvPr id="271" name="Estrela: 5 Pontas 270"/>
        <xdr:cNvSpPr/>
      </xdr:nvSpPr>
      <xdr:spPr>
        <a:xfrm>
          <a:off x="13296900" y="24489410"/>
          <a:ext cx="6985" cy="889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3105638</xdr:colOff>
      <xdr:row>52</xdr:row>
      <xdr:rowOff>162753</xdr:rowOff>
    </xdr:from>
    <xdr:to>
      <xdr:col>3</xdr:col>
      <xdr:colOff>3235541</xdr:colOff>
      <xdr:row>54</xdr:row>
      <xdr:rowOff>0</xdr:rowOff>
    </xdr:to>
    <xdr:sp>
      <xdr:nvSpPr>
        <xdr:cNvPr id="277" name="Estrela: 5 Pontas 276"/>
        <xdr:cNvSpPr/>
      </xdr:nvSpPr>
      <xdr:spPr>
        <a:xfrm>
          <a:off x="5534025" y="9697085"/>
          <a:ext cx="130175" cy="21844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2400300</xdr:colOff>
      <xdr:row>99</xdr:row>
      <xdr:rowOff>171450</xdr:rowOff>
    </xdr:from>
    <xdr:to>
      <xdr:col>2</xdr:col>
      <xdr:colOff>2657475</xdr:colOff>
      <xdr:row>99</xdr:row>
      <xdr:rowOff>180975</xdr:rowOff>
    </xdr:to>
    <xdr:sp>
      <xdr:nvSpPr>
        <xdr:cNvPr id="281" name="Estrela: 5 Pontas 280"/>
        <xdr:cNvSpPr/>
      </xdr:nvSpPr>
      <xdr:spPr>
        <a:xfrm>
          <a:off x="2428875" y="18630900"/>
          <a:ext cx="0" cy="952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3114675</xdr:colOff>
      <xdr:row>20</xdr:row>
      <xdr:rowOff>171450</xdr:rowOff>
    </xdr:from>
    <xdr:to>
      <xdr:col>3</xdr:col>
      <xdr:colOff>3244578</xdr:colOff>
      <xdr:row>21</xdr:row>
      <xdr:rowOff>169404</xdr:rowOff>
    </xdr:to>
    <xdr:sp>
      <xdr:nvSpPr>
        <xdr:cNvPr id="153" name="Estrela: 5 Pontas 152"/>
        <xdr:cNvSpPr/>
      </xdr:nvSpPr>
      <xdr:spPr>
        <a:xfrm>
          <a:off x="5543550" y="3952875"/>
          <a:ext cx="129540" cy="18796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3143250</xdr:colOff>
      <xdr:row>22</xdr:row>
      <xdr:rowOff>180975</xdr:rowOff>
    </xdr:from>
    <xdr:to>
      <xdr:col>3</xdr:col>
      <xdr:colOff>3273153</xdr:colOff>
      <xdr:row>23</xdr:row>
      <xdr:rowOff>178929</xdr:rowOff>
    </xdr:to>
    <xdr:sp>
      <xdr:nvSpPr>
        <xdr:cNvPr id="154" name="Estrela: 5 Pontas 153"/>
        <xdr:cNvSpPr/>
      </xdr:nvSpPr>
      <xdr:spPr>
        <a:xfrm>
          <a:off x="5572125" y="4343400"/>
          <a:ext cx="129540" cy="18796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3067050</xdr:colOff>
      <xdr:row>115</xdr:row>
      <xdr:rowOff>19050</xdr:rowOff>
    </xdr:from>
    <xdr:to>
      <xdr:col>3</xdr:col>
      <xdr:colOff>3196953</xdr:colOff>
      <xdr:row>116</xdr:row>
      <xdr:rowOff>36054</xdr:rowOff>
    </xdr:to>
    <xdr:sp>
      <xdr:nvSpPr>
        <xdr:cNvPr id="155" name="Estrela: 5 Pontas 154"/>
        <xdr:cNvSpPr/>
      </xdr:nvSpPr>
      <xdr:spPr>
        <a:xfrm>
          <a:off x="5495925" y="21526500"/>
          <a:ext cx="129540" cy="20701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3114675</xdr:colOff>
      <xdr:row>17</xdr:row>
      <xdr:rowOff>171450</xdr:rowOff>
    </xdr:from>
    <xdr:to>
      <xdr:col>3</xdr:col>
      <xdr:colOff>3244578</xdr:colOff>
      <xdr:row>19</xdr:row>
      <xdr:rowOff>0</xdr:rowOff>
    </xdr:to>
    <xdr:sp>
      <xdr:nvSpPr>
        <xdr:cNvPr id="3" name="Estrela: 5 Pontas 2"/>
        <xdr:cNvSpPr/>
      </xdr:nvSpPr>
      <xdr:spPr>
        <a:xfrm>
          <a:off x="5543550" y="3381375"/>
          <a:ext cx="129540" cy="20955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2990850</xdr:colOff>
      <xdr:row>158</xdr:row>
      <xdr:rowOff>142875</xdr:rowOff>
    </xdr:from>
    <xdr:to>
      <xdr:col>3</xdr:col>
      <xdr:colOff>3120753</xdr:colOff>
      <xdr:row>159</xdr:row>
      <xdr:rowOff>142875</xdr:rowOff>
    </xdr:to>
    <xdr:sp>
      <xdr:nvSpPr>
        <xdr:cNvPr id="146" name="Estrela: 5 Pontas 145"/>
        <xdr:cNvSpPr/>
      </xdr:nvSpPr>
      <xdr:spPr>
        <a:xfrm>
          <a:off x="5419725" y="29727525"/>
          <a:ext cx="129540" cy="19050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3094383</xdr:colOff>
      <xdr:row>116</xdr:row>
      <xdr:rowOff>145360</xdr:rowOff>
    </xdr:from>
    <xdr:to>
      <xdr:col>3</xdr:col>
      <xdr:colOff>3224286</xdr:colOff>
      <xdr:row>118</xdr:row>
      <xdr:rowOff>439</xdr:rowOff>
    </xdr:to>
    <xdr:sp>
      <xdr:nvSpPr>
        <xdr:cNvPr id="147" name="Estrela: 5 Pontas 146"/>
        <xdr:cNvSpPr/>
      </xdr:nvSpPr>
      <xdr:spPr>
        <a:xfrm>
          <a:off x="5523230" y="21842730"/>
          <a:ext cx="129540" cy="23622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3057218</xdr:colOff>
      <xdr:row>45</xdr:row>
      <xdr:rowOff>1</xdr:rowOff>
    </xdr:from>
    <xdr:to>
      <xdr:col>7</xdr:col>
      <xdr:colOff>3194802</xdr:colOff>
      <xdr:row>46</xdr:row>
      <xdr:rowOff>0</xdr:rowOff>
    </xdr:to>
    <xdr:sp>
      <xdr:nvSpPr>
        <xdr:cNvPr id="160" name="Estrela: 5 Pontas 159"/>
        <xdr:cNvSpPr/>
      </xdr:nvSpPr>
      <xdr:spPr>
        <a:xfrm>
          <a:off x="13296900" y="8315325"/>
          <a:ext cx="0" cy="19050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3072581</xdr:colOff>
      <xdr:row>45</xdr:row>
      <xdr:rowOff>153630</xdr:rowOff>
    </xdr:from>
    <xdr:to>
      <xdr:col>8</xdr:col>
      <xdr:colOff>7000</xdr:colOff>
      <xdr:row>46</xdr:row>
      <xdr:rowOff>0</xdr:rowOff>
    </xdr:to>
    <xdr:sp>
      <xdr:nvSpPr>
        <xdr:cNvPr id="161" name="Estrela: 5 Pontas 160"/>
        <xdr:cNvSpPr/>
      </xdr:nvSpPr>
      <xdr:spPr>
        <a:xfrm>
          <a:off x="13296900" y="8468360"/>
          <a:ext cx="6985" cy="3746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3095625</xdr:colOff>
      <xdr:row>25</xdr:row>
      <xdr:rowOff>133350</xdr:rowOff>
    </xdr:from>
    <xdr:to>
      <xdr:col>3</xdr:col>
      <xdr:colOff>3225528</xdr:colOff>
      <xdr:row>26</xdr:row>
      <xdr:rowOff>161925</xdr:rowOff>
    </xdr:to>
    <xdr:sp>
      <xdr:nvSpPr>
        <xdr:cNvPr id="162" name="Estrela: 5 Pontas 161"/>
        <xdr:cNvSpPr/>
      </xdr:nvSpPr>
      <xdr:spPr>
        <a:xfrm>
          <a:off x="5524500" y="4867275"/>
          <a:ext cx="129540" cy="21907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3057218</xdr:colOff>
      <xdr:row>124</xdr:row>
      <xdr:rowOff>1</xdr:rowOff>
    </xdr:from>
    <xdr:to>
      <xdr:col>7</xdr:col>
      <xdr:colOff>3194802</xdr:colOff>
      <xdr:row>125</xdr:row>
      <xdr:rowOff>0</xdr:rowOff>
    </xdr:to>
    <xdr:sp>
      <xdr:nvSpPr>
        <xdr:cNvPr id="164" name="Estrela: 5 Pontas 163"/>
        <xdr:cNvSpPr/>
      </xdr:nvSpPr>
      <xdr:spPr>
        <a:xfrm>
          <a:off x="13296900" y="23221950"/>
          <a:ext cx="0" cy="19050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3072581</xdr:colOff>
      <xdr:row>124</xdr:row>
      <xdr:rowOff>153630</xdr:rowOff>
    </xdr:from>
    <xdr:to>
      <xdr:col>8</xdr:col>
      <xdr:colOff>7000</xdr:colOff>
      <xdr:row>125</xdr:row>
      <xdr:rowOff>0</xdr:rowOff>
    </xdr:to>
    <xdr:sp>
      <xdr:nvSpPr>
        <xdr:cNvPr id="166" name="Estrela: 5 Pontas 165"/>
        <xdr:cNvSpPr/>
      </xdr:nvSpPr>
      <xdr:spPr>
        <a:xfrm>
          <a:off x="13296900" y="23374985"/>
          <a:ext cx="6985" cy="3746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2976562</xdr:colOff>
      <xdr:row>124</xdr:row>
      <xdr:rowOff>142875</xdr:rowOff>
    </xdr:from>
    <xdr:to>
      <xdr:col>7</xdr:col>
      <xdr:colOff>3106465</xdr:colOff>
      <xdr:row>125</xdr:row>
      <xdr:rowOff>0</xdr:rowOff>
    </xdr:to>
    <xdr:sp>
      <xdr:nvSpPr>
        <xdr:cNvPr id="167" name="Estrela: 5 Pontas 166"/>
        <xdr:cNvSpPr/>
      </xdr:nvSpPr>
      <xdr:spPr>
        <a:xfrm>
          <a:off x="13296900" y="23364825"/>
          <a:ext cx="0" cy="4762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3063737</xdr:colOff>
      <xdr:row>124</xdr:row>
      <xdr:rowOff>0</xdr:rowOff>
    </xdr:from>
    <xdr:to>
      <xdr:col>3</xdr:col>
      <xdr:colOff>3193640</xdr:colOff>
      <xdr:row>125</xdr:row>
      <xdr:rowOff>21974</xdr:rowOff>
    </xdr:to>
    <xdr:sp>
      <xdr:nvSpPr>
        <xdr:cNvPr id="168" name="Estrela: 5 Pontas 167"/>
        <xdr:cNvSpPr/>
      </xdr:nvSpPr>
      <xdr:spPr>
        <a:xfrm>
          <a:off x="5492115" y="23221950"/>
          <a:ext cx="130175" cy="21209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3080303</xdr:colOff>
      <xdr:row>122</xdr:row>
      <xdr:rowOff>150330</xdr:rowOff>
    </xdr:from>
    <xdr:to>
      <xdr:col>3</xdr:col>
      <xdr:colOff>3210206</xdr:colOff>
      <xdr:row>123</xdr:row>
      <xdr:rowOff>178905</xdr:rowOff>
    </xdr:to>
    <xdr:sp>
      <xdr:nvSpPr>
        <xdr:cNvPr id="169" name="Estrela: 5 Pontas 168"/>
        <xdr:cNvSpPr/>
      </xdr:nvSpPr>
      <xdr:spPr>
        <a:xfrm>
          <a:off x="5508625" y="22990810"/>
          <a:ext cx="130175" cy="21907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3057218</xdr:colOff>
      <xdr:row>30</xdr:row>
      <xdr:rowOff>1</xdr:rowOff>
    </xdr:from>
    <xdr:to>
      <xdr:col>7</xdr:col>
      <xdr:colOff>3194802</xdr:colOff>
      <xdr:row>31</xdr:row>
      <xdr:rowOff>0</xdr:rowOff>
    </xdr:to>
    <xdr:sp>
      <xdr:nvSpPr>
        <xdr:cNvPr id="174" name="Estrela: 5 Pontas 173"/>
        <xdr:cNvSpPr/>
      </xdr:nvSpPr>
      <xdr:spPr>
        <a:xfrm>
          <a:off x="13296900" y="5686425"/>
          <a:ext cx="0" cy="16192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3072581</xdr:colOff>
      <xdr:row>30</xdr:row>
      <xdr:rowOff>153630</xdr:rowOff>
    </xdr:from>
    <xdr:to>
      <xdr:col>8</xdr:col>
      <xdr:colOff>7000</xdr:colOff>
      <xdr:row>31</xdr:row>
      <xdr:rowOff>0</xdr:rowOff>
    </xdr:to>
    <xdr:sp>
      <xdr:nvSpPr>
        <xdr:cNvPr id="175" name="Estrela: 5 Pontas 174"/>
        <xdr:cNvSpPr/>
      </xdr:nvSpPr>
      <xdr:spPr>
        <a:xfrm>
          <a:off x="13296900" y="5839460"/>
          <a:ext cx="6985" cy="889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3057218</xdr:colOff>
      <xdr:row>30</xdr:row>
      <xdr:rowOff>1</xdr:rowOff>
    </xdr:from>
    <xdr:to>
      <xdr:col>7</xdr:col>
      <xdr:colOff>3194802</xdr:colOff>
      <xdr:row>31</xdr:row>
      <xdr:rowOff>0</xdr:rowOff>
    </xdr:to>
    <xdr:sp>
      <xdr:nvSpPr>
        <xdr:cNvPr id="178" name="Estrela: 5 Pontas 177"/>
        <xdr:cNvSpPr/>
      </xdr:nvSpPr>
      <xdr:spPr>
        <a:xfrm>
          <a:off x="13296900" y="5686425"/>
          <a:ext cx="0" cy="16192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3072581</xdr:colOff>
      <xdr:row>30</xdr:row>
      <xdr:rowOff>153630</xdr:rowOff>
    </xdr:from>
    <xdr:to>
      <xdr:col>8</xdr:col>
      <xdr:colOff>7000</xdr:colOff>
      <xdr:row>31</xdr:row>
      <xdr:rowOff>0</xdr:rowOff>
    </xdr:to>
    <xdr:sp>
      <xdr:nvSpPr>
        <xdr:cNvPr id="182" name="Estrela: 5 Pontas 181"/>
        <xdr:cNvSpPr/>
      </xdr:nvSpPr>
      <xdr:spPr>
        <a:xfrm>
          <a:off x="13296900" y="5839460"/>
          <a:ext cx="6985" cy="889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3082581</xdr:colOff>
      <xdr:row>42</xdr:row>
      <xdr:rowOff>0</xdr:rowOff>
    </xdr:from>
    <xdr:to>
      <xdr:col>3</xdr:col>
      <xdr:colOff>3212484</xdr:colOff>
      <xdr:row>43</xdr:row>
      <xdr:rowOff>12346</xdr:rowOff>
    </xdr:to>
    <xdr:sp>
      <xdr:nvSpPr>
        <xdr:cNvPr id="197" name="Estrela: 5 Pontas 196"/>
        <xdr:cNvSpPr/>
      </xdr:nvSpPr>
      <xdr:spPr>
        <a:xfrm>
          <a:off x="5511165" y="7743825"/>
          <a:ext cx="130175" cy="20256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3057218</xdr:colOff>
      <xdr:row>42</xdr:row>
      <xdr:rowOff>0</xdr:rowOff>
    </xdr:from>
    <xdr:to>
      <xdr:col>7</xdr:col>
      <xdr:colOff>3194802</xdr:colOff>
      <xdr:row>42</xdr:row>
      <xdr:rowOff>7682</xdr:rowOff>
    </xdr:to>
    <xdr:sp>
      <xdr:nvSpPr>
        <xdr:cNvPr id="198" name="Estrela: 5 Pontas 197"/>
        <xdr:cNvSpPr/>
      </xdr:nvSpPr>
      <xdr:spPr>
        <a:xfrm>
          <a:off x="13296900" y="7743825"/>
          <a:ext cx="0" cy="762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3072581</xdr:colOff>
      <xdr:row>42</xdr:row>
      <xdr:rowOff>0</xdr:rowOff>
    </xdr:from>
    <xdr:to>
      <xdr:col>8</xdr:col>
      <xdr:colOff>7000</xdr:colOff>
      <xdr:row>42</xdr:row>
      <xdr:rowOff>183843</xdr:rowOff>
    </xdr:to>
    <xdr:sp>
      <xdr:nvSpPr>
        <xdr:cNvPr id="199" name="Estrela: 5 Pontas 198"/>
        <xdr:cNvSpPr/>
      </xdr:nvSpPr>
      <xdr:spPr>
        <a:xfrm>
          <a:off x="13296900" y="7743825"/>
          <a:ext cx="6985" cy="18351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3057218</xdr:colOff>
      <xdr:row>44</xdr:row>
      <xdr:rowOff>0</xdr:rowOff>
    </xdr:from>
    <xdr:to>
      <xdr:col>7</xdr:col>
      <xdr:colOff>3194802</xdr:colOff>
      <xdr:row>44</xdr:row>
      <xdr:rowOff>7682</xdr:rowOff>
    </xdr:to>
    <xdr:sp>
      <xdr:nvSpPr>
        <xdr:cNvPr id="200" name="Estrela: 5 Pontas 199"/>
        <xdr:cNvSpPr/>
      </xdr:nvSpPr>
      <xdr:spPr>
        <a:xfrm>
          <a:off x="13296900" y="8124825"/>
          <a:ext cx="0" cy="762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3072581</xdr:colOff>
      <xdr:row>44</xdr:row>
      <xdr:rowOff>0</xdr:rowOff>
    </xdr:from>
    <xdr:to>
      <xdr:col>8</xdr:col>
      <xdr:colOff>7000</xdr:colOff>
      <xdr:row>44</xdr:row>
      <xdr:rowOff>183843</xdr:rowOff>
    </xdr:to>
    <xdr:sp>
      <xdr:nvSpPr>
        <xdr:cNvPr id="208" name="Estrela: 5 Pontas 207"/>
        <xdr:cNvSpPr/>
      </xdr:nvSpPr>
      <xdr:spPr>
        <a:xfrm>
          <a:off x="13296900" y="8124825"/>
          <a:ext cx="6985" cy="18351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3076575</xdr:colOff>
      <xdr:row>44</xdr:row>
      <xdr:rowOff>23813</xdr:rowOff>
    </xdr:from>
    <xdr:to>
      <xdr:col>8</xdr:col>
      <xdr:colOff>15603</xdr:colOff>
      <xdr:row>45</xdr:row>
      <xdr:rowOff>0</xdr:rowOff>
    </xdr:to>
    <xdr:sp>
      <xdr:nvSpPr>
        <xdr:cNvPr id="209" name="Estrela: 5 Pontas 208"/>
        <xdr:cNvSpPr/>
      </xdr:nvSpPr>
      <xdr:spPr>
        <a:xfrm>
          <a:off x="13296900" y="8148320"/>
          <a:ext cx="15240" cy="16700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3093554</xdr:colOff>
      <xdr:row>44</xdr:row>
      <xdr:rowOff>161925</xdr:rowOff>
    </xdr:from>
    <xdr:to>
      <xdr:col>3</xdr:col>
      <xdr:colOff>3223457</xdr:colOff>
      <xdr:row>45</xdr:row>
      <xdr:rowOff>161925</xdr:rowOff>
    </xdr:to>
    <xdr:sp>
      <xdr:nvSpPr>
        <xdr:cNvPr id="210" name="Estrela: 5 Pontas 209"/>
        <xdr:cNvSpPr/>
      </xdr:nvSpPr>
      <xdr:spPr>
        <a:xfrm>
          <a:off x="5521960" y="8286750"/>
          <a:ext cx="130175" cy="19050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3099352</xdr:colOff>
      <xdr:row>27</xdr:row>
      <xdr:rowOff>173935</xdr:rowOff>
    </xdr:from>
    <xdr:to>
      <xdr:col>3</xdr:col>
      <xdr:colOff>3229255</xdr:colOff>
      <xdr:row>28</xdr:row>
      <xdr:rowOff>171889</xdr:rowOff>
    </xdr:to>
    <xdr:sp>
      <xdr:nvSpPr>
        <xdr:cNvPr id="213" name="Estrela: 5 Pontas 212"/>
        <xdr:cNvSpPr/>
      </xdr:nvSpPr>
      <xdr:spPr>
        <a:xfrm>
          <a:off x="5527675" y="5288280"/>
          <a:ext cx="130175" cy="18859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3071813</xdr:colOff>
      <xdr:row>30</xdr:row>
      <xdr:rowOff>11906</xdr:rowOff>
    </xdr:from>
    <xdr:to>
      <xdr:col>8</xdr:col>
      <xdr:colOff>10841</xdr:colOff>
      <xdr:row>31</xdr:row>
      <xdr:rowOff>57485</xdr:rowOff>
    </xdr:to>
    <xdr:sp>
      <xdr:nvSpPr>
        <xdr:cNvPr id="214" name="Estrela: 5 Pontas 213"/>
        <xdr:cNvSpPr/>
      </xdr:nvSpPr>
      <xdr:spPr>
        <a:xfrm>
          <a:off x="13296900" y="5697855"/>
          <a:ext cx="10795" cy="20764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3057218</xdr:colOff>
      <xdr:row>31</xdr:row>
      <xdr:rowOff>1</xdr:rowOff>
    </xdr:from>
    <xdr:to>
      <xdr:col>7</xdr:col>
      <xdr:colOff>3194802</xdr:colOff>
      <xdr:row>32</xdr:row>
      <xdr:rowOff>0</xdr:rowOff>
    </xdr:to>
    <xdr:sp>
      <xdr:nvSpPr>
        <xdr:cNvPr id="217" name="Estrela: 5 Pontas 216"/>
        <xdr:cNvSpPr/>
      </xdr:nvSpPr>
      <xdr:spPr>
        <a:xfrm>
          <a:off x="13296900" y="5848350"/>
          <a:ext cx="0" cy="16192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3072581</xdr:colOff>
      <xdr:row>31</xdr:row>
      <xdr:rowOff>153630</xdr:rowOff>
    </xdr:from>
    <xdr:to>
      <xdr:col>8</xdr:col>
      <xdr:colOff>7000</xdr:colOff>
      <xdr:row>32</xdr:row>
      <xdr:rowOff>0</xdr:rowOff>
    </xdr:to>
    <xdr:sp>
      <xdr:nvSpPr>
        <xdr:cNvPr id="218" name="Estrela: 5 Pontas 217"/>
        <xdr:cNvSpPr/>
      </xdr:nvSpPr>
      <xdr:spPr>
        <a:xfrm>
          <a:off x="13296900" y="6001385"/>
          <a:ext cx="6985" cy="889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3057218</xdr:colOff>
      <xdr:row>31</xdr:row>
      <xdr:rowOff>1</xdr:rowOff>
    </xdr:from>
    <xdr:to>
      <xdr:col>7</xdr:col>
      <xdr:colOff>3194802</xdr:colOff>
      <xdr:row>32</xdr:row>
      <xdr:rowOff>0</xdr:rowOff>
    </xdr:to>
    <xdr:sp>
      <xdr:nvSpPr>
        <xdr:cNvPr id="220" name="Estrela: 5 Pontas 219"/>
        <xdr:cNvSpPr/>
      </xdr:nvSpPr>
      <xdr:spPr>
        <a:xfrm>
          <a:off x="13296900" y="5848350"/>
          <a:ext cx="0" cy="16192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3072581</xdr:colOff>
      <xdr:row>31</xdr:row>
      <xdr:rowOff>153630</xdr:rowOff>
    </xdr:from>
    <xdr:to>
      <xdr:col>8</xdr:col>
      <xdr:colOff>7000</xdr:colOff>
      <xdr:row>32</xdr:row>
      <xdr:rowOff>0</xdr:rowOff>
    </xdr:to>
    <xdr:sp>
      <xdr:nvSpPr>
        <xdr:cNvPr id="222" name="Estrela: 5 Pontas 221"/>
        <xdr:cNvSpPr/>
      </xdr:nvSpPr>
      <xdr:spPr>
        <a:xfrm>
          <a:off x="13296900" y="6001385"/>
          <a:ext cx="6985" cy="889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3089413</xdr:colOff>
      <xdr:row>43</xdr:row>
      <xdr:rowOff>182218</xdr:rowOff>
    </xdr:from>
    <xdr:to>
      <xdr:col>3</xdr:col>
      <xdr:colOff>3219316</xdr:colOff>
      <xdr:row>44</xdr:row>
      <xdr:rowOff>182218</xdr:rowOff>
    </xdr:to>
    <xdr:sp>
      <xdr:nvSpPr>
        <xdr:cNvPr id="225" name="Estrela: 5 Pontas 224"/>
        <xdr:cNvSpPr/>
      </xdr:nvSpPr>
      <xdr:spPr>
        <a:xfrm>
          <a:off x="5518150" y="8115935"/>
          <a:ext cx="129540" cy="19050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3114261</xdr:colOff>
      <xdr:row>38</xdr:row>
      <xdr:rowOff>165652</xdr:rowOff>
    </xdr:from>
    <xdr:to>
      <xdr:col>3</xdr:col>
      <xdr:colOff>3244164</xdr:colOff>
      <xdr:row>41</xdr:row>
      <xdr:rowOff>17004</xdr:rowOff>
    </xdr:to>
    <xdr:sp>
      <xdr:nvSpPr>
        <xdr:cNvPr id="189" name="Estrela: 5 Pontas 188"/>
        <xdr:cNvSpPr/>
      </xdr:nvSpPr>
      <xdr:spPr>
        <a:xfrm>
          <a:off x="5542915" y="7258050"/>
          <a:ext cx="129540" cy="34036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3114260</xdr:colOff>
      <xdr:row>39</xdr:row>
      <xdr:rowOff>149087</xdr:rowOff>
    </xdr:from>
    <xdr:to>
      <xdr:col>3</xdr:col>
      <xdr:colOff>3244163</xdr:colOff>
      <xdr:row>41</xdr:row>
      <xdr:rowOff>173935</xdr:rowOff>
    </xdr:to>
    <xdr:sp>
      <xdr:nvSpPr>
        <xdr:cNvPr id="190" name="Estrela: 5 Pontas 189"/>
        <xdr:cNvSpPr/>
      </xdr:nvSpPr>
      <xdr:spPr>
        <a:xfrm>
          <a:off x="5542915" y="7406640"/>
          <a:ext cx="129540" cy="33718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3057218</xdr:colOff>
      <xdr:row>130</xdr:row>
      <xdr:rowOff>1</xdr:rowOff>
    </xdr:from>
    <xdr:to>
      <xdr:col>7</xdr:col>
      <xdr:colOff>3194802</xdr:colOff>
      <xdr:row>131</xdr:row>
      <xdr:rowOff>0</xdr:rowOff>
    </xdr:to>
    <xdr:sp>
      <xdr:nvSpPr>
        <xdr:cNvPr id="159" name="Estrela: 5 Pontas 158"/>
        <xdr:cNvSpPr/>
      </xdr:nvSpPr>
      <xdr:spPr>
        <a:xfrm>
          <a:off x="13296900" y="24336375"/>
          <a:ext cx="0" cy="16192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3072581</xdr:colOff>
      <xdr:row>130</xdr:row>
      <xdr:rowOff>153630</xdr:rowOff>
    </xdr:from>
    <xdr:to>
      <xdr:col>8</xdr:col>
      <xdr:colOff>7000</xdr:colOff>
      <xdr:row>131</xdr:row>
      <xdr:rowOff>0</xdr:rowOff>
    </xdr:to>
    <xdr:sp>
      <xdr:nvSpPr>
        <xdr:cNvPr id="163" name="Estrela: 5 Pontas 162"/>
        <xdr:cNvSpPr/>
      </xdr:nvSpPr>
      <xdr:spPr>
        <a:xfrm>
          <a:off x="13296900" y="24489410"/>
          <a:ext cx="6985" cy="889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3057218</xdr:colOff>
      <xdr:row>130</xdr:row>
      <xdr:rowOff>1</xdr:rowOff>
    </xdr:from>
    <xdr:to>
      <xdr:col>7</xdr:col>
      <xdr:colOff>3194802</xdr:colOff>
      <xdr:row>131</xdr:row>
      <xdr:rowOff>0</xdr:rowOff>
    </xdr:to>
    <xdr:sp>
      <xdr:nvSpPr>
        <xdr:cNvPr id="171" name="Estrela: 5 Pontas 170"/>
        <xdr:cNvSpPr/>
      </xdr:nvSpPr>
      <xdr:spPr>
        <a:xfrm>
          <a:off x="13296900" y="24336375"/>
          <a:ext cx="0" cy="16192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3072581</xdr:colOff>
      <xdr:row>130</xdr:row>
      <xdr:rowOff>153630</xdr:rowOff>
    </xdr:from>
    <xdr:to>
      <xdr:col>8</xdr:col>
      <xdr:colOff>7000</xdr:colOff>
      <xdr:row>131</xdr:row>
      <xdr:rowOff>0</xdr:rowOff>
    </xdr:to>
    <xdr:sp>
      <xdr:nvSpPr>
        <xdr:cNvPr id="179" name="Estrela: 5 Pontas 178"/>
        <xdr:cNvSpPr/>
      </xdr:nvSpPr>
      <xdr:spPr>
        <a:xfrm>
          <a:off x="13296900" y="24489410"/>
          <a:ext cx="6985" cy="889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2976562</xdr:colOff>
      <xdr:row>130</xdr:row>
      <xdr:rowOff>166687</xdr:rowOff>
    </xdr:from>
    <xdr:to>
      <xdr:col>7</xdr:col>
      <xdr:colOff>3106465</xdr:colOff>
      <xdr:row>131</xdr:row>
      <xdr:rowOff>21766</xdr:rowOff>
    </xdr:to>
    <xdr:sp>
      <xdr:nvSpPr>
        <xdr:cNvPr id="193" name="Estrela: 5 Pontas 192"/>
        <xdr:cNvSpPr/>
      </xdr:nvSpPr>
      <xdr:spPr>
        <a:xfrm>
          <a:off x="13296900" y="24498300"/>
          <a:ext cx="0" cy="2159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3028950</xdr:colOff>
      <xdr:row>130</xdr:row>
      <xdr:rowOff>142875</xdr:rowOff>
    </xdr:from>
    <xdr:to>
      <xdr:col>3</xdr:col>
      <xdr:colOff>3158853</xdr:colOff>
      <xdr:row>131</xdr:row>
      <xdr:rowOff>188454</xdr:rowOff>
    </xdr:to>
    <xdr:sp>
      <xdr:nvSpPr>
        <xdr:cNvPr id="195" name="Estrela: 5 Pontas 194"/>
        <xdr:cNvSpPr/>
      </xdr:nvSpPr>
      <xdr:spPr>
        <a:xfrm>
          <a:off x="5457825" y="24479250"/>
          <a:ext cx="129540" cy="20701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3139109</xdr:colOff>
      <xdr:row>130</xdr:row>
      <xdr:rowOff>0</xdr:rowOff>
    </xdr:from>
    <xdr:to>
      <xdr:col>3</xdr:col>
      <xdr:colOff>3269012</xdr:colOff>
      <xdr:row>130</xdr:row>
      <xdr:rowOff>157370</xdr:rowOff>
    </xdr:to>
    <xdr:sp>
      <xdr:nvSpPr>
        <xdr:cNvPr id="196" name="Estrela: 5 Pontas 195"/>
        <xdr:cNvSpPr/>
      </xdr:nvSpPr>
      <xdr:spPr>
        <a:xfrm>
          <a:off x="5567680" y="24336375"/>
          <a:ext cx="130175" cy="15684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3057218</xdr:colOff>
      <xdr:row>148</xdr:row>
      <xdr:rowOff>0</xdr:rowOff>
    </xdr:from>
    <xdr:to>
      <xdr:col>7</xdr:col>
      <xdr:colOff>3194802</xdr:colOff>
      <xdr:row>148</xdr:row>
      <xdr:rowOff>7682</xdr:rowOff>
    </xdr:to>
    <xdr:sp>
      <xdr:nvSpPr>
        <xdr:cNvPr id="227" name="Estrela: 5 Pontas 226"/>
        <xdr:cNvSpPr/>
      </xdr:nvSpPr>
      <xdr:spPr>
        <a:xfrm>
          <a:off x="13296900" y="27708225"/>
          <a:ext cx="0" cy="762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3079955</xdr:colOff>
      <xdr:row>140</xdr:row>
      <xdr:rowOff>28575</xdr:rowOff>
    </xdr:from>
    <xdr:to>
      <xdr:col>3</xdr:col>
      <xdr:colOff>3217539</xdr:colOff>
      <xdr:row>141</xdr:row>
      <xdr:rowOff>29600</xdr:rowOff>
    </xdr:to>
    <xdr:sp>
      <xdr:nvSpPr>
        <xdr:cNvPr id="108" name="Estrela: 5 Pontas 107"/>
        <xdr:cNvSpPr/>
      </xdr:nvSpPr>
      <xdr:spPr>
        <a:xfrm>
          <a:off x="5508625" y="26212800"/>
          <a:ext cx="137160" cy="19113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3095625</xdr:colOff>
      <xdr:row>141</xdr:row>
      <xdr:rowOff>152400</xdr:rowOff>
    </xdr:from>
    <xdr:to>
      <xdr:col>3</xdr:col>
      <xdr:colOff>3225528</xdr:colOff>
      <xdr:row>142</xdr:row>
      <xdr:rowOff>180975</xdr:rowOff>
    </xdr:to>
    <xdr:sp>
      <xdr:nvSpPr>
        <xdr:cNvPr id="109" name="Estrela: 5 Pontas 108"/>
        <xdr:cNvSpPr/>
      </xdr:nvSpPr>
      <xdr:spPr>
        <a:xfrm>
          <a:off x="5524500" y="26527125"/>
          <a:ext cx="129540" cy="21907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3071813</xdr:colOff>
      <xdr:row>144</xdr:row>
      <xdr:rowOff>0</xdr:rowOff>
    </xdr:from>
    <xdr:to>
      <xdr:col>8</xdr:col>
      <xdr:colOff>10841</xdr:colOff>
      <xdr:row>146</xdr:row>
      <xdr:rowOff>0</xdr:rowOff>
    </xdr:to>
    <xdr:sp>
      <xdr:nvSpPr>
        <xdr:cNvPr id="111" name="Estrela: 5 Pontas 110"/>
        <xdr:cNvSpPr/>
      </xdr:nvSpPr>
      <xdr:spPr>
        <a:xfrm>
          <a:off x="13296900" y="26946225"/>
          <a:ext cx="10795" cy="38100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3067050</xdr:colOff>
      <xdr:row>143</xdr:row>
      <xdr:rowOff>180975</xdr:rowOff>
    </xdr:from>
    <xdr:to>
      <xdr:col>3</xdr:col>
      <xdr:colOff>3196953</xdr:colOff>
      <xdr:row>145</xdr:row>
      <xdr:rowOff>36054</xdr:rowOff>
    </xdr:to>
    <xdr:sp>
      <xdr:nvSpPr>
        <xdr:cNvPr id="112" name="Estrela: 5 Pontas 111"/>
        <xdr:cNvSpPr/>
      </xdr:nvSpPr>
      <xdr:spPr>
        <a:xfrm>
          <a:off x="5495925" y="26936700"/>
          <a:ext cx="129540" cy="23558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3086100</xdr:colOff>
      <xdr:row>145</xdr:row>
      <xdr:rowOff>142875</xdr:rowOff>
    </xdr:from>
    <xdr:to>
      <xdr:col>3</xdr:col>
      <xdr:colOff>3216003</xdr:colOff>
      <xdr:row>146</xdr:row>
      <xdr:rowOff>188454</xdr:rowOff>
    </xdr:to>
    <xdr:sp>
      <xdr:nvSpPr>
        <xdr:cNvPr id="113" name="Estrela: 5 Pontas 112"/>
        <xdr:cNvSpPr/>
      </xdr:nvSpPr>
      <xdr:spPr>
        <a:xfrm>
          <a:off x="5514975" y="27279600"/>
          <a:ext cx="129540" cy="23558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3086100</xdr:colOff>
      <xdr:row>152</xdr:row>
      <xdr:rowOff>0</xdr:rowOff>
    </xdr:from>
    <xdr:to>
      <xdr:col>3</xdr:col>
      <xdr:colOff>3216003</xdr:colOff>
      <xdr:row>153</xdr:row>
      <xdr:rowOff>36054</xdr:rowOff>
    </xdr:to>
    <xdr:sp>
      <xdr:nvSpPr>
        <xdr:cNvPr id="115" name="Estrela: 5 Pontas 114"/>
        <xdr:cNvSpPr/>
      </xdr:nvSpPr>
      <xdr:spPr>
        <a:xfrm>
          <a:off x="5514975" y="28470225"/>
          <a:ext cx="129540" cy="22606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3110948</xdr:colOff>
      <xdr:row>151</xdr:row>
      <xdr:rowOff>2070</xdr:rowOff>
    </xdr:from>
    <xdr:to>
      <xdr:col>3</xdr:col>
      <xdr:colOff>3240851</xdr:colOff>
      <xdr:row>152</xdr:row>
      <xdr:rowOff>19074</xdr:rowOff>
    </xdr:to>
    <xdr:sp>
      <xdr:nvSpPr>
        <xdr:cNvPr id="116" name="Estrela: 5 Pontas 115"/>
        <xdr:cNvSpPr/>
      </xdr:nvSpPr>
      <xdr:spPr>
        <a:xfrm>
          <a:off x="5539740" y="28281630"/>
          <a:ext cx="129540" cy="20764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3081130</xdr:colOff>
      <xdr:row>133</xdr:row>
      <xdr:rowOff>8282</xdr:rowOff>
    </xdr:from>
    <xdr:to>
      <xdr:col>3</xdr:col>
      <xdr:colOff>3211033</xdr:colOff>
      <xdr:row>134</xdr:row>
      <xdr:rowOff>8282</xdr:rowOff>
    </xdr:to>
    <xdr:sp>
      <xdr:nvSpPr>
        <xdr:cNvPr id="117" name="Estrela: 5 Pontas 116"/>
        <xdr:cNvSpPr/>
      </xdr:nvSpPr>
      <xdr:spPr>
        <a:xfrm>
          <a:off x="5509895" y="24858980"/>
          <a:ext cx="129540" cy="19050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3097695</xdr:colOff>
      <xdr:row>134</xdr:row>
      <xdr:rowOff>157370</xdr:rowOff>
    </xdr:from>
    <xdr:to>
      <xdr:col>3</xdr:col>
      <xdr:colOff>3227598</xdr:colOff>
      <xdr:row>136</xdr:row>
      <xdr:rowOff>157370</xdr:rowOff>
    </xdr:to>
    <xdr:sp>
      <xdr:nvSpPr>
        <xdr:cNvPr id="118" name="Estrela: 5 Pontas 117"/>
        <xdr:cNvSpPr/>
      </xdr:nvSpPr>
      <xdr:spPr>
        <a:xfrm>
          <a:off x="5526405" y="25198070"/>
          <a:ext cx="129540" cy="38100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3081131</xdr:colOff>
      <xdr:row>138</xdr:row>
      <xdr:rowOff>24848</xdr:rowOff>
    </xdr:from>
    <xdr:to>
      <xdr:col>3</xdr:col>
      <xdr:colOff>3211034</xdr:colOff>
      <xdr:row>139</xdr:row>
      <xdr:rowOff>24848</xdr:rowOff>
    </xdr:to>
    <xdr:sp>
      <xdr:nvSpPr>
        <xdr:cNvPr id="119" name="Estrela: 5 Pontas 118"/>
        <xdr:cNvSpPr/>
      </xdr:nvSpPr>
      <xdr:spPr>
        <a:xfrm>
          <a:off x="5509895" y="25827990"/>
          <a:ext cx="129540" cy="19050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3057218</xdr:colOff>
      <xdr:row>135</xdr:row>
      <xdr:rowOff>1</xdr:rowOff>
    </xdr:from>
    <xdr:to>
      <xdr:col>7</xdr:col>
      <xdr:colOff>3194802</xdr:colOff>
      <xdr:row>136</xdr:row>
      <xdr:rowOff>0</xdr:rowOff>
    </xdr:to>
    <xdr:sp>
      <xdr:nvSpPr>
        <xdr:cNvPr id="120" name="Estrela: 5 Pontas 119"/>
        <xdr:cNvSpPr/>
      </xdr:nvSpPr>
      <xdr:spPr>
        <a:xfrm>
          <a:off x="13296900" y="25231725"/>
          <a:ext cx="0" cy="19050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3072581</xdr:colOff>
      <xdr:row>135</xdr:row>
      <xdr:rowOff>153630</xdr:rowOff>
    </xdr:from>
    <xdr:to>
      <xdr:col>8</xdr:col>
      <xdr:colOff>7000</xdr:colOff>
      <xdr:row>136</xdr:row>
      <xdr:rowOff>0</xdr:rowOff>
    </xdr:to>
    <xdr:sp>
      <xdr:nvSpPr>
        <xdr:cNvPr id="121" name="Estrela: 5 Pontas 120"/>
        <xdr:cNvSpPr/>
      </xdr:nvSpPr>
      <xdr:spPr>
        <a:xfrm>
          <a:off x="13296900" y="25384760"/>
          <a:ext cx="6985" cy="3746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3017044</xdr:colOff>
      <xdr:row>149</xdr:row>
      <xdr:rowOff>166687</xdr:rowOff>
    </xdr:from>
    <xdr:to>
      <xdr:col>7</xdr:col>
      <xdr:colOff>3146947</xdr:colOff>
      <xdr:row>150</xdr:row>
      <xdr:rowOff>0</xdr:rowOff>
    </xdr:to>
    <xdr:sp>
      <xdr:nvSpPr>
        <xdr:cNvPr id="122" name="Estrela: 5 Pontas 121"/>
        <xdr:cNvSpPr/>
      </xdr:nvSpPr>
      <xdr:spPr>
        <a:xfrm>
          <a:off x="13296900" y="28065095"/>
          <a:ext cx="0" cy="2413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3057218</xdr:colOff>
      <xdr:row>150</xdr:row>
      <xdr:rowOff>1</xdr:rowOff>
    </xdr:from>
    <xdr:to>
      <xdr:col>5</xdr:col>
      <xdr:colOff>3194802</xdr:colOff>
      <xdr:row>151</xdr:row>
      <xdr:rowOff>0</xdr:rowOff>
    </xdr:to>
    <xdr:sp>
      <xdr:nvSpPr>
        <xdr:cNvPr id="124" name="Estrela: 5 Pontas 123"/>
        <xdr:cNvSpPr/>
      </xdr:nvSpPr>
      <xdr:spPr>
        <a:xfrm>
          <a:off x="9629775" y="28089225"/>
          <a:ext cx="0" cy="19050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3072581</xdr:colOff>
      <xdr:row>150</xdr:row>
      <xdr:rowOff>153630</xdr:rowOff>
    </xdr:from>
    <xdr:to>
      <xdr:col>6</xdr:col>
      <xdr:colOff>7000</xdr:colOff>
      <xdr:row>151</xdr:row>
      <xdr:rowOff>0</xdr:rowOff>
    </xdr:to>
    <xdr:sp>
      <xdr:nvSpPr>
        <xdr:cNvPr id="125" name="Estrela: 5 Pontas 124"/>
        <xdr:cNvSpPr/>
      </xdr:nvSpPr>
      <xdr:spPr>
        <a:xfrm>
          <a:off x="9629775" y="28242260"/>
          <a:ext cx="6985" cy="3746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3122543</xdr:colOff>
      <xdr:row>147</xdr:row>
      <xdr:rowOff>165653</xdr:rowOff>
    </xdr:from>
    <xdr:to>
      <xdr:col>3</xdr:col>
      <xdr:colOff>3252446</xdr:colOff>
      <xdr:row>148</xdr:row>
      <xdr:rowOff>165653</xdr:rowOff>
    </xdr:to>
    <xdr:sp>
      <xdr:nvSpPr>
        <xdr:cNvPr id="127" name="Estrela: 5 Pontas 126"/>
        <xdr:cNvSpPr/>
      </xdr:nvSpPr>
      <xdr:spPr>
        <a:xfrm>
          <a:off x="5551170" y="27682825"/>
          <a:ext cx="129540" cy="19050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3114260</xdr:colOff>
      <xdr:row>148</xdr:row>
      <xdr:rowOff>182217</xdr:rowOff>
    </xdr:from>
    <xdr:to>
      <xdr:col>3</xdr:col>
      <xdr:colOff>3244163</xdr:colOff>
      <xdr:row>149</xdr:row>
      <xdr:rowOff>182217</xdr:rowOff>
    </xdr:to>
    <xdr:sp>
      <xdr:nvSpPr>
        <xdr:cNvPr id="128" name="Estrela: 5 Pontas 127"/>
        <xdr:cNvSpPr/>
      </xdr:nvSpPr>
      <xdr:spPr>
        <a:xfrm>
          <a:off x="5542915" y="27889835"/>
          <a:ext cx="129540" cy="19050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3097695</xdr:colOff>
      <xdr:row>149</xdr:row>
      <xdr:rowOff>182217</xdr:rowOff>
    </xdr:from>
    <xdr:to>
      <xdr:col>3</xdr:col>
      <xdr:colOff>3227598</xdr:colOff>
      <xdr:row>150</xdr:row>
      <xdr:rowOff>182217</xdr:rowOff>
    </xdr:to>
    <xdr:sp>
      <xdr:nvSpPr>
        <xdr:cNvPr id="129" name="Estrela: 5 Pontas 128"/>
        <xdr:cNvSpPr/>
      </xdr:nvSpPr>
      <xdr:spPr>
        <a:xfrm>
          <a:off x="5526405" y="28080335"/>
          <a:ext cx="129540" cy="19050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3057525</xdr:colOff>
      <xdr:row>131</xdr:row>
      <xdr:rowOff>123825</xdr:rowOff>
    </xdr:from>
    <xdr:to>
      <xdr:col>3</xdr:col>
      <xdr:colOff>3187428</xdr:colOff>
      <xdr:row>132</xdr:row>
      <xdr:rowOff>123825</xdr:rowOff>
    </xdr:to>
    <xdr:sp>
      <xdr:nvSpPr>
        <xdr:cNvPr id="130" name="Estrela: 5 Pontas 129"/>
        <xdr:cNvSpPr/>
      </xdr:nvSpPr>
      <xdr:spPr>
        <a:xfrm>
          <a:off x="5486400" y="24622125"/>
          <a:ext cx="129540" cy="19050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3057218</xdr:colOff>
      <xdr:row>132</xdr:row>
      <xdr:rowOff>1</xdr:rowOff>
    </xdr:from>
    <xdr:to>
      <xdr:col>7</xdr:col>
      <xdr:colOff>3194802</xdr:colOff>
      <xdr:row>133</xdr:row>
      <xdr:rowOff>0</xdr:rowOff>
    </xdr:to>
    <xdr:sp>
      <xdr:nvSpPr>
        <xdr:cNvPr id="131" name="Estrela: 5 Pontas 130"/>
        <xdr:cNvSpPr/>
      </xdr:nvSpPr>
      <xdr:spPr>
        <a:xfrm>
          <a:off x="13296900" y="24688800"/>
          <a:ext cx="0" cy="16192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3072581</xdr:colOff>
      <xdr:row>132</xdr:row>
      <xdr:rowOff>153630</xdr:rowOff>
    </xdr:from>
    <xdr:to>
      <xdr:col>8</xdr:col>
      <xdr:colOff>7000</xdr:colOff>
      <xdr:row>133</xdr:row>
      <xdr:rowOff>0</xdr:rowOff>
    </xdr:to>
    <xdr:sp>
      <xdr:nvSpPr>
        <xdr:cNvPr id="134" name="Estrela: 5 Pontas 133"/>
        <xdr:cNvSpPr/>
      </xdr:nvSpPr>
      <xdr:spPr>
        <a:xfrm>
          <a:off x="13296900" y="24841835"/>
          <a:ext cx="6985" cy="889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3057218</xdr:colOff>
      <xdr:row>155</xdr:row>
      <xdr:rowOff>1</xdr:rowOff>
    </xdr:from>
    <xdr:to>
      <xdr:col>7</xdr:col>
      <xdr:colOff>3194802</xdr:colOff>
      <xdr:row>156</xdr:row>
      <xdr:rowOff>0</xdr:rowOff>
    </xdr:to>
    <xdr:sp>
      <xdr:nvSpPr>
        <xdr:cNvPr id="135" name="Estrela: 5 Pontas 134"/>
        <xdr:cNvSpPr/>
      </xdr:nvSpPr>
      <xdr:spPr>
        <a:xfrm>
          <a:off x="13296900" y="29041725"/>
          <a:ext cx="0" cy="19050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3072581</xdr:colOff>
      <xdr:row>155</xdr:row>
      <xdr:rowOff>153630</xdr:rowOff>
    </xdr:from>
    <xdr:to>
      <xdr:col>8</xdr:col>
      <xdr:colOff>7000</xdr:colOff>
      <xdr:row>156</xdr:row>
      <xdr:rowOff>0</xdr:rowOff>
    </xdr:to>
    <xdr:sp>
      <xdr:nvSpPr>
        <xdr:cNvPr id="136" name="Estrela: 5 Pontas 135"/>
        <xdr:cNvSpPr/>
      </xdr:nvSpPr>
      <xdr:spPr>
        <a:xfrm>
          <a:off x="13296900" y="29194760"/>
          <a:ext cx="6985" cy="3746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3086100</xdr:colOff>
      <xdr:row>153</xdr:row>
      <xdr:rowOff>123825</xdr:rowOff>
    </xdr:from>
    <xdr:to>
      <xdr:col>3</xdr:col>
      <xdr:colOff>3216003</xdr:colOff>
      <xdr:row>154</xdr:row>
      <xdr:rowOff>152400</xdr:rowOff>
    </xdr:to>
    <xdr:sp>
      <xdr:nvSpPr>
        <xdr:cNvPr id="137" name="Estrela: 5 Pontas 136"/>
        <xdr:cNvSpPr/>
      </xdr:nvSpPr>
      <xdr:spPr>
        <a:xfrm>
          <a:off x="5514975" y="28784550"/>
          <a:ext cx="129540" cy="21907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3067050</xdr:colOff>
      <xdr:row>154</xdr:row>
      <xdr:rowOff>180975</xdr:rowOff>
    </xdr:from>
    <xdr:to>
      <xdr:col>3</xdr:col>
      <xdr:colOff>3196953</xdr:colOff>
      <xdr:row>156</xdr:row>
      <xdr:rowOff>19050</xdr:rowOff>
    </xdr:to>
    <xdr:sp>
      <xdr:nvSpPr>
        <xdr:cNvPr id="138" name="Estrela: 5 Pontas 137"/>
        <xdr:cNvSpPr/>
      </xdr:nvSpPr>
      <xdr:spPr>
        <a:xfrm>
          <a:off x="5495925" y="29032200"/>
          <a:ext cx="129540" cy="21907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3076575</xdr:colOff>
      <xdr:row>156</xdr:row>
      <xdr:rowOff>19050</xdr:rowOff>
    </xdr:from>
    <xdr:to>
      <xdr:col>3</xdr:col>
      <xdr:colOff>3200400</xdr:colOff>
      <xdr:row>156</xdr:row>
      <xdr:rowOff>171449</xdr:rowOff>
    </xdr:to>
    <xdr:sp>
      <xdr:nvSpPr>
        <xdr:cNvPr id="7" name="Estrela: 5 Pontas 6"/>
        <xdr:cNvSpPr/>
      </xdr:nvSpPr>
      <xdr:spPr>
        <a:xfrm>
          <a:off x="5505450" y="29251275"/>
          <a:ext cx="123825" cy="15176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3028950</xdr:colOff>
      <xdr:row>2</xdr:row>
      <xdr:rowOff>28576</xdr:rowOff>
    </xdr:from>
    <xdr:to>
      <xdr:col>3</xdr:col>
      <xdr:colOff>3228361</xdr:colOff>
      <xdr:row>2</xdr:row>
      <xdr:rowOff>161926</xdr:rowOff>
    </xdr:to>
    <xdr:sp>
      <xdr:nvSpPr>
        <xdr:cNvPr id="10" name="Estrela: 5 Pontas 9"/>
        <xdr:cNvSpPr/>
      </xdr:nvSpPr>
      <xdr:spPr>
        <a:xfrm>
          <a:off x="5457825" y="409575"/>
          <a:ext cx="199390" cy="13335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3076575</xdr:colOff>
      <xdr:row>5</xdr:row>
      <xdr:rowOff>19050</xdr:rowOff>
    </xdr:from>
    <xdr:to>
      <xdr:col>3</xdr:col>
      <xdr:colOff>3198018</xdr:colOff>
      <xdr:row>6</xdr:row>
      <xdr:rowOff>19050</xdr:rowOff>
    </xdr:to>
    <xdr:sp>
      <xdr:nvSpPr>
        <xdr:cNvPr id="14" name="Estrela: 5 Pontas 13"/>
        <xdr:cNvSpPr/>
      </xdr:nvSpPr>
      <xdr:spPr>
        <a:xfrm>
          <a:off x="5505450" y="971550"/>
          <a:ext cx="121285" cy="19050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3133725</xdr:colOff>
      <xdr:row>15</xdr:row>
      <xdr:rowOff>180975</xdr:rowOff>
    </xdr:from>
    <xdr:to>
      <xdr:col>3</xdr:col>
      <xdr:colOff>3255168</xdr:colOff>
      <xdr:row>16</xdr:row>
      <xdr:rowOff>180975</xdr:rowOff>
    </xdr:to>
    <xdr:sp>
      <xdr:nvSpPr>
        <xdr:cNvPr id="15" name="Estrela: 5 Pontas 14"/>
        <xdr:cNvSpPr/>
      </xdr:nvSpPr>
      <xdr:spPr>
        <a:xfrm>
          <a:off x="5562600" y="3009900"/>
          <a:ext cx="121285" cy="19050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3124200</xdr:colOff>
      <xdr:row>14</xdr:row>
      <xdr:rowOff>152400</xdr:rowOff>
    </xdr:from>
    <xdr:to>
      <xdr:col>3</xdr:col>
      <xdr:colOff>3245643</xdr:colOff>
      <xdr:row>15</xdr:row>
      <xdr:rowOff>152400</xdr:rowOff>
    </xdr:to>
    <xdr:sp>
      <xdr:nvSpPr>
        <xdr:cNvPr id="16" name="Estrela: 5 Pontas 15"/>
        <xdr:cNvSpPr/>
      </xdr:nvSpPr>
      <xdr:spPr>
        <a:xfrm>
          <a:off x="5553075" y="2790825"/>
          <a:ext cx="121285" cy="19050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3095625</xdr:colOff>
      <xdr:row>18</xdr:row>
      <xdr:rowOff>161925</xdr:rowOff>
    </xdr:from>
    <xdr:to>
      <xdr:col>3</xdr:col>
      <xdr:colOff>3225528</xdr:colOff>
      <xdr:row>19</xdr:row>
      <xdr:rowOff>180975</xdr:rowOff>
    </xdr:to>
    <xdr:sp>
      <xdr:nvSpPr>
        <xdr:cNvPr id="23" name="Estrela: 5 Pontas 22"/>
        <xdr:cNvSpPr/>
      </xdr:nvSpPr>
      <xdr:spPr>
        <a:xfrm>
          <a:off x="5524500" y="3562350"/>
          <a:ext cx="129540" cy="20955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3095625</xdr:colOff>
      <xdr:row>56</xdr:row>
      <xdr:rowOff>142875</xdr:rowOff>
    </xdr:from>
    <xdr:to>
      <xdr:col>3</xdr:col>
      <xdr:colOff>3225528</xdr:colOff>
      <xdr:row>57</xdr:row>
      <xdr:rowOff>161925</xdr:rowOff>
    </xdr:to>
    <xdr:sp>
      <xdr:nvSpPr>
        <xdr:cNvPr id="31" name="Estrela: 5 Pontas 30"/>
        <xdr:cNvSpPr/>
      </xdr:nvSpPr>
      <xdr:spPr>
        <a:xfrm>
          <a:off x="5524500" y="10410825"/>
          <a:ext cx="129540" cy="20955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3133725</xdr:colOff>
      <xdr:row>24</xdr:row>
      <xdr:rowOff>152400</xdr:rowOff>
    </xdr:from>
    <xdr:to>
      <xdr:col>3</xdr:col>
      <xdr:colOff>3263628</xdr:colOff>
      <xdr:row>25</xdr:row>
      <xdr:rowOff>171450</xdr:rowOff>
    </xdr:to>
    <xdr:sp>
      <xdr:nvSpPr>
        <xdr:cNvPr id="139" name="Estrela: 5 Pontas 138"/>
        <xdr:cNvSpPr/>
      </xdr:nvSpPr>
      <xdr:spPr>
        <a:xfrm>
          <a:off x="5562600" y="4695825"/>
          <a:ext cx="129540" cy="20955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3114675</xdr:colOff>
      <xdr:row>37</xdr:row>
      <xdr:rowOff>152400</xdr:rowOff>
    </xdr:from>
    <xdr:to>
      <xdr:col>3</xdr:col>
      <xdr:colOff>3244578</xdr:colOff>
      <xdr:row>39</xdr:row>
      <xdr:rowOff>9525</xdr:rowOff>
    </xdr:to>
    <xdr:sp>
      <xdr:nvSpPr>
        <xdr:cNvPr id="145" name="Estrela: 5 Pontas 144"/>
        <xdr:cNvSpPr/>
      </xdr:nvSpPr>
      <xdr:spPr>
        <a:xfrm>
          <a:off x="5543550" y="7058025"/>
          <a:ext cx="129540" cy="20955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3143250</xdr:colOff>
      <xdr:row>30</xdr:row>
      <xdr:rowOff>133350</xdr:rowOff>
    </xdr:from>
    <xdr:to>
      <xdr:col>3</xdr:col>
      <xdr:colOff>3273153</xdr:colOff>
      <xdr:row>32</xdr:row>
      <xdr:rowOff>19050</xdr:rowOff>
    </xdr:to>
    <xdr:sp>
      <xdr:nvSpPr>
        <xdr:cNvPr id="140" name="Estrela: 5 Pontas 139"/>
        <xdr:cNvSpPr/>
      </xdr:nvSpPr>
      <xdr:spPr>
        <a:xfrm>
          <a:off x="5572125" y="5819775"/>
          <a:ext cx="129540" cy="20955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3143250</xdr:colOff>
      <xdr:row>29</xdr:row>
      <xdr:rowOff>142875</xdr:rowOff>
    </xdr:from>
    <xdr:to>
      <xdr:col>3</xdr:col>
      <xdr:colOff>3273153</xdr:colOff>
      <xdr:row>31</xdr:row>
      <xdr:rowOff>0</xdr:rowOff>
    </xdr:to>
    <xdr:sp>
      <xdr:nvSpPr>
        <xdr:cNvPr id="142" name="Estrela: 5 Pontas 141"/>
        <xdr:cNvSpPr/>
      </xdr:nvSpPr>
      <xdr:spPr>
        <a:xfrm>
          <a:off x="5572125" y="5638800"/>
          <a:ext cx="129540" cy="20955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3076575</xdr:colOff>
      <xdr:row>33</xdr:row>
      <xdr:rowOff>114300</xdr:rowOff>
    </xdr:from>
    <xdr:to>
      <xdr:col>3</xdr:col>
      <xdr:colOff>3206478</xdr:colOff>
      <xdr:row>34</xdr:row>
      <xdr:rowOff>188454</xdr:rowOff>
    </xdr:to>
    <xdr:sp>
      <xdr:nvSpPr>
        <xdr:cNvPr id="143" name="Estrela: 5 Pontas 142"/>
        <xdr:cNvSpPr/>
      </xdr:nvSpPr>
      <xdr:spPr>
        <a:xfrm>
          <a:off x="5505450" y="6286500"/>
          <a:ext cx="129540" cy="23558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3133418</xdr:colOff>
      <xdr:row>36</xdr:row>
      <xdr:rowOff>9526</xdr:rowOff>
    </xdr:from>
    <xdr:to>
      <xdr:col>3</xdr:col>
      <xdr:colOff>3271002</xdr:colOff>
      <xdr:row>37</xdr:row>
      <xdr:rowOff>17207</xdr:rowOff>
    </xdr:to>
    <xdr:sp>
      <xdr:nvSpPr>
        <xdr:cNvPr id="148" name="Estrela: 5 Pontas 147"/>
        <xdr:cNvSpPr/>
      </xdr:nvSpPr>
      <xdr:spPr>
        <a:xfrm>
          <a:off x="5561965" y="6724650"/>
          <a:ext cx="137795" cy="19812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3143250</xdr:colOff>
      <xdr:row>32</xdr:row>
      <xdr:rowOff>123825</xdr:rowOff>
    </xdr:from>
    <xdr:to>
      <xdr:col>3</xdr:col>
      <xdr:colOff>3273153</xdr:colOff>
      <xdr:row>34</xdr:row>
      <xdr:rowOff>9525</xdr:rowOff>
    </xdr:to>
    <xdr:sp>
      <xdr:nvSpPr>
        <xdr:cNvPr id="150" name="Estrela: 5 Pontas 149"/>
        <xdr:cNvSpPr/>
      </xdr:nvSpPr>
      <xdr:spPr>
        <a:xfrm>
          <a:off x="5572125" y="6134100"/>
          <a:ext cx="129540" cy="20955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3104029</xdr:colOff>
      <xdr:row>46</xdr:row>
      <xdr:rowOff>134471</xdr:rowOff>
    </xdr:from>
    <xdr:to>
      <xdr:col>3</xdr:col>
      <xdr:colOff>3233932</xdr:colOff>
      <xdr:row>47</xdr:row>
      <xdr:rowOff>153521</xdr:rowOff>
    </xdr:to>
    <xdr:sp>
      <xdr:nvSpPr>
        <xdr:cNvPr id="144" name="Estrela: 5 Pontas 143"/>
        <xdr:cNvSpPr/>
      </xdr:nvSpPr>
      <xdr:spPr>
        <a:xfrm>
          <a:off x="5532755" y="8639810"/>
          <a:ext cx="129540" cy="20955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3126441</xdr:colOff>
      <xdr:row>47</xdr:row>
      <xdr:rowOff>134471</xdr:rowOff>
    </xdr:from>
    <xdr:to>
      <xdr:col>3</xdr:col>
      <xdr:colOff>3256344</xdr:colOff>
      <xdr:row>48</xdr:row>
      <xdr:rowOff>187138</xdr:rowOff>
    </xdr:to>
    <xdr:sp>
      <xdr:nvSpPr>
        <xdr:cNvPr id="151" name="Estrela: 5 Pontas 150"/>
        <xdr:cNvSpPr/>
      </xdr:nvSpPr>
      <xdr:spPr>
        <a:xfrm>
          <a:off x="5554980" y="8830310"/>
          <a:ext cx="130175" cy="21463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3057218</xdr:colOff>
      <xdr:row>49</xdr:row>
      <xdr:rowOff>1</xdr:rowOff>
    </xdr:from>
    <xdr:to>
      <xdr:col>7</xdr:col>
      <xdr:colOff>3194802</xdr:colOff>
      <xdr:row>50</xdr:row>
      <xdr:rowOff>0</xdr:rowOff>
    </xdr:to>
    <xdr:sp>
      <xdr:nvSpPr>
        <xdr:cNvPr id="156" name="Estrela: 5 Pontas 155"/>
        <xdr:cNvSpPr/>
      </xdr:nvSpPr>
      <xdr:spPr>
        <a:xfrm>
          <a:off x="13296900" y="9048750"/>
          <a:ext cx="0" cy="16192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3072581</xdr:colOff>
      <xdr:row>49</xdr:row>
      <xdr:rowOff>153630</xdr:rowOff>
    </xdr:from>
    <xdr:to>
      <xdr:col>8</xdr:col>
      <xdr:colOff>7000</xdr:colOff>
      <xdr:row>50</xdr:row>
      <xdr:rowOff>0</xdr:rowOff>
    </xdr:to>
    <xdr:sp>
      <xdr:nvSpPr>
        <xdr:cNvPr id="157" name="Estrela: 5 Pontas 156"/>
        <xdr:cNvSpPr/>
      </xdr:nvSpPr>
      <xdr:spPr>
        <a:xfrm>
          <a:off x="13296900" y="9201785"/>
          <a:ext cx="6985" cy="889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3071533</xdr:colOff>
      <xdr:row>48</xdr:row>
      <xdr:rowOff>115981</xdr:rowOff>
    </xdr:from>
    <xdr:to>
      <xdr:col>3</xdr:col>
      <xdr:colOff>3201436</xdr:colOff>
      <xdr:row>49</xdr:row>
      <xdr:rowOff>144556</xdr:rowOff>
    </xdr:to>
    <xdr:sp>
      <xdr:nvSpPr>
        <xdr:cNvPr id="158" name="Estrela: 5 Pontas 157"/>
        <xdr:cNvSpPr/>
      </xdr:nvSpPr>
      <xdr:spPr>
        <a:xfrm>
          <a:off x="5500370" y="8973820"/>
          <a:ext cx="129540" cy="21907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3092824</xdr:colOff>
      <xdr:row>49</xdr:row>
      <xdr:rowOff>145676</xdr:rowOff>
    </xdr:from>
    <xdr:to>
      <xdr:col>3</xdr:col>
      <xdr:colOff>3222727</xdr:colOff>
      <xdr:row>51</xdr:row>
      <xdr:rowOff>41462</xdr:rowOff>
    </xdr:to>
    <xdr:sp>
      <xdr:nvSpPr>
        <xdr:cNvPr id="141" name="Estrela: 5 Pontas 140"/>
        <xdr:cNvSpPr/>
      </xdr:nvSpPr>
      <xdr:spPr>
        <a:xfrm>
          <a:off x="5521325" y="9194165"/>
          <a:ext cx="130175" cy="21971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3057525</xdr:colOff>
      <xdr:row>52</xdr:row>
      <xdr:rowOff>19050</xdr:rowOff>
    </xdr:from>
    <xdr:to>
      <xdr:col>3</xdr:col>
      <xdr:colOff>3181350</xdr:colOff>
      <xdr:row>52</xdr:row>
      <xdr:rowOff>171449</xdr:rowOff>
    </xdr:to>
    <xdr:sp>
      <xdr:nvSpPr>
        <xdr:cNvPr id="152" name="Estrela: 5 Pontas 151"/>
        <xdr:cNvSpPr/>
      </xdr:nvSpPr>
      <xdr:spPr>
        <a:xfrm>
          <a:off x="5486400" y="9553575"/>
          <a:ext cx="123825" cy="15176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3104028</xdr:colOff>
      <xdr:row>50</xdr:row>
      <xdr:rowOff>123266</xdr:rowOff>
    </xdr:from>
    <xdr:to>
      <xdr:col>3</xdr:col>
      <xdr:colOff>3233931</xdr:colOff>
      <xdr:row>52</xdr:row>
      <xdr:rowOff>19051</xdr:rowOff>
    </xdr:to>
    <xdr:sp>
      <xdr:nvSpPr>
        <xdr:cNvPr id="172" name="Estrela: 5 Pontas 171"/>
        <xdr:cNvSpPr/>
      </xdr:nvSpPr>
      <xdr:spPr>
        <a:xfrm>
          <a:off x="5532755" y="9333865"/>
          <a:ext cx="129540" cy="21971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3104029</xdr:colOff>
      <xdr:row>53</xdr:row>
      <xdr:rowOff>134471</xdr:rowOff>
    </xdr:from>
    <xdr:to>
      <xdr:col>3</xdr:col>
      <xdr:colOff>3233932</xdr:colOff>
      <xdr:row>54</xdr:row>
      <xdr:rowOff>153521</xdr:rowOff>
    </xdr:to>
    <xdr:sp>
      <xdr:nvSpPr>
        <xdr:cNvPr id="149" name="Estrela: 5 Pontas 148"/>
        <xdr:cNvSpPr/>
      </xdr:nvSpPr>
      <xdr:spPr>
        <a:xfrm>
          <a:off x="5532755" y="9859010"/>
          <a:ext cx="129540" cy="209550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FINANCEIRO\2024\12%20-%20DEZEMBRO\RECEITAS%20-%20DEZEMBR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FINANCEIRO\2024\08%20-%20AGOSTO\AGOSTO%20-%20RECEITA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FINANCEIRO\2024\09%20-%20SETEMBRO\SETEMBRO%20-%20RECEITA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FINANCEIRO\2025\02%20-%20FEVEREIRO\RECEITAS%20-%20FEVEREIRO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FINANCEIRO\2025\01%20-%20JANEIRO\RECEITAS%20-%20JANEIRO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IDOR\JS%20Advogados\FINANCEIRO\2023\Receitas\12%20-%20Dezembro%20202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CEITAS"/>
    </sheetNames>
    <sheetDataSet>
      <sheetData sheetId="0">
        <row r="34">
          <cell r="J34" t="str">
            <v>PIX JS PJ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RECEITAS"/>
    </sheetNames>
    <sheetDataSet>
      <sheetData sheetId="0">
        <row r="36">
          <cell r="E36" t="str">
            <v>EMPRESARIAL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RECEITAS"/>
    </sheetNames>
    <sheetDataSet>
      <sheetData sheetId="0">
        <row r="51">
          <cell r="W51" t="str">
            <v>CONTRATO ABRIL 2024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RECEITAS"/>
    </sheetNames>
    <sheetDataSet>
      <sheetData sheetId="0">
        <row r="85">
          <cell r="AH85">
            <v>6.80083766529515</v>
          </cell>
        </row>
        <row r="86">
          <cell r="AH86">
            <v>-17.7392956680915</v>
          </cell>
        </row>
        <row r="89">
          <cell r="AH89">
            <v>-4.16666666666669</v>
          </cell>
        </row>
        <row r="90">
          <cell r="AH90">
            <v>0.00333333333327346</v>
          </cell>
        </row>
        <row r="91">
          <cell r="AH91">
            <v>0.00222222222248547</v>
          </cell>
        </row>
        <row r="92">
          <cell r="AH92">
            <v>0.00399999999990541</v>
          </cell>
        </row>
        <row r="94">
          <cell r="AH94">
            <v>0</v>
          </cell>
        </row>
        <row r="100">
          <cell r="AH100">
            <v>-0.00333333333946939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RECEITAS"/>
    </sheetNames>
    <sheetDataSet>
      <sheetData sheetId="0">
        <row r="52">
          <cell r="J52" t="str">
            <v>PIX JS PJ</v>
          </cell>
        </row>
        <row r="85">
          <cell r="AH85">
            <v>-4.16666666666669</v>
          </cell>
        </row>
        <row r="90">
          <cell r="AH90">
            <v>0</v>
          </cell>
        </row>
        <row r="92">
          <cell r="AH92">
            <v>15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JANEIRO"/>
      <sheetName val="FEVEREIRO"/>
      <sheetName val="MARÇO"/>
      <sheetName val="ABRIL"/>
      <sheetName val="MAIO"/>
      <sheetName val="JUNHO"/>
      <sheetName val="JULHO"/>
      <sheetName val="AGOSTO"/>
      <sheetName val="SETEMBRO"/>
      <sheetName val="OUTUBRO"/>
      <sheetName val="NOVEMBRO"/>
      <sheetName val="DEZEMB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28">
          <cell r="H128" t="str">
            <v>CAPTAÇÃO  </v>
          </cell>
          <cell r="I128" t="str">
            <v>ATUAÇÃO TÉCNICA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../../2024/06 - JUNHO/1 - MENU PRINCIPAL.xlsx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83"/>
  <sheetViews>
    <sheetView tabSelected="1" zoomScale="85" zoomScaleNormal="85" topLeftCell="G1" workbookViewId="0">
      <selection activeCell="N17" sqref="$A17:$XFD17"/>
    </sheetView>
  </sheetViews>
  <sheetFormatPr defaultColWidth="9" defaultRowHeight="15"/>
  <cols>
    <col min="1" max="1" width="14.2857142857143" customWidth="1"/>
    <col min="2" max="2" width="10.1428571428571" customWidth="1"/>
    <col min="3" max="3" width="12" customWidth="1"/>
    <col min="4" max="4" width="49.2857142857143" customWidth="1"/>
    <col min="5" max="5" width="14.1428571428571" customWidth="1"/>
    <col min="6" max="6" width="44.5714285714286" customWidth="1"/>
    <col min="7" max="7" width="15.7142857142857" customWidth="1"/>
    <col min="8" max="8" width="39.2857142857143" customWidth="1"/>
    <col min="9" max="9" width="14.2857142857143" style="7" customWidth="1"/>
    <col min="10" max="10" width="23" style="8" customWidth="1"/>
    <col min="11" max="11" width="14.1428571428571" customWidth="1"/>
    <col min="12" max="12" width="11.5714285714286" customWidth="1"/>
    <col min="13" max="13" width="20" customWidth="1"/>
    <col min="14" max="14" width="14.1428571428571" style="8" customWidth="1"/>
    <col min="15" max="15" width="23" customWidth="1"/>
    <col min="16" max="16" width="10.7142857142857" customWidth="1"/>
    <col min="17" max="18" width="11.7142857142857" style="8" customWidth="1"/>
    <col min="19" max="19" width="12.7142857142857" customWidth="1"/>
    <col min="20" max="20" width="12" customWidth="1"/>
    <col min="21" max="21" width="15" customWidth="1"/>
    <col min="22" max="22" width="25" style="8" customWidth="1"/>
    <col min="23" max="23" width="32.8571428571429" style="8" customWidth="1"/>
    <col min="24" max="24" width="36.2857142857143" style="8" customWidth="1"/>
    <col min="25" max="25" width="25.2857142857143" customWidth="1"/>
    <col min="26" max="26" width="14" customWidth="1"/>
    <col min="27" max="27" width="14.7142857142857" customWidth="1"/>
    <col min="28" max="28" width="13.8571428571429" customWidth="1"/>
    <col min="29" max="29" width="12.2857142857143" customWidth="1"/>
    <col min="30" max="31" width="11.8571428571429" customWidth="1"/>
    <col min="32" max="32" width="14.2857142857143" customWidth="1"/>
    <col min="33" max="33" width="16.4285714285714" customWidth="1"/>
    <col min="34" max="34" width="13.1428571428571" customWidth="1"/>
    <col min="35" max="35" width="14.5714285714286" customWidth="1"/>
    <col min="36" max="36" width="11.7142857142857" customWidth="1"/>
    <col min="37" max="37" width="10.7142857142857" customWidth="1"/>
  </cols>
  <sheetData>
    <row r="1" s="1" customFormat="1" spans="1:39">
      <c r="A1" s="9" t="s">
        <v>0</v>
      </c>
      <c r="B1" s="10" t="s">
        <v>1</v>
      </c>
      <c r="C1" s="11"/>
      <c r="D1" s="12" t="s">
        <v>2</v>
      </c>
      <c r="E1" s="13"/>
      <c r="F1" s="14"/>
      <c r="G1" s="15"/>
      <c r="H1" s="11"/>
      <c r="I1" s="15"/>
      <c r="J1" s="11"/>
      <c r="K1" s="11"/>
      <c r="L1" s="11"/>
      <c r="M1" s="11"/>
      <c r="N1" s="11"/>
      <c r="O1" s="67" t="s">
        <v>3</v>
      </c>
      <c r="P1" s="68" t="s">
        <v>4</v>
      </c>
      <c r="Q1" s="148" t="s">
        <v>5</v>
      </c>
      <c r="R1" s="149" t="s">
        <v>6</v>
      </c>
      <c r="S1" s="150" t="s">
        <v>7</v>
      </c>
      <c r="T1" s="13"/>
      <c r="U1" s="11"/>
      <c r="V1" s="11"/>
      <c r="W1" s="15"/>
      <c r="X1" s="15"/>
      <c r="Y1" s="200"/>
      <c r="Z1" s="200"/>
      <c r="AA1" s="200"/>
      <c r="AB1" s="201"/>
      <c r="AC1" s="201"/>
      <c r="AD1" s="200"/>
      <c r="AE1" s="200"/>
      <c r="AF1" s="200"/>
      <c r="AG1" s="200"/>
      <c r="AH1" s="200"/>
      <c r="AI1" s="200"/>
      <c r="AJ1" s="200"/>
      <c r="AK1" s="200"/>
      <c r="AL1" s="200"/>
      <c r="AM1" s="200"/>
    </row>
    <row r="2" s="1" customFormat="1" spans="1:39">
      <c r="A2" s="16" t="s">
        <v>8</v>
      </c>
      <c r="B2" s="17" t="s">
        <v>9</v>
      </c>
      <c r="C2" s="17" t="s">
        <v>10</v>
      </c>
      <c r="D2" s="18" t="s">
        <v>11</v>
      </c>
      <c r="E2" s="19" t="s">
        <v>12</v>
      </c>
      <c r="F2" s="20" t="s">
        <v>13</v>
      </c>
      <c r="G2" s="19" t="s">
        <v>14</v>
      </c>
      <c r="H2" s="19" t="s">
        <v>15</v>
      </c>
      <c r="I2" s="69" t="s">
        <v>16</v>
      </c>
      <c r="J2" s="19" t="s">
        <v>17</v>
      </c>
      <c r="K2" s="70" t="s">
        <v>18</v>
      </c>
      <c r="L2" s="71">
        <v>0.1</v>
      </c>
      <c r="M2" s="72" t="s">
        <v>19</v>
      </c>
      <c r="N2" s="73">
        <v>0.33333333</v>
      </c>
      <c r="O2" s="74">
        <v>0.2333</v>
      </c>
      <c r="P2" s="75"/>
      <c r="Q2" s="151"/>
      <c r="R2" s="152">
        <f>N2</f>
        <v>0.33333333</v>
      </c>
      <c r="S2" s="153">
        <v>1</v>
      </c>
      <c r="T2" s="154" t="s">
        <v>20</v>
      </c>
      <c r="U2" s="155" t="s">
        <v>21</v>
      </c>
      <c r="V2" s="156" t="s">
        <v>22</v>
      </c>
      <c r="W2" s="156" t="s">
        <v>23</v>
      </c>
      <c r="X2" s="156" t="s">
        <v>24</v>
      </c>
      <c r="Y2" s="202"/>
      <c r="Z2" s="200"/>
      <c r="AA2" s="200"/>
      <c r="AB2" s="201"/>
      <c r="AC2" s="201"/>
      <c r="AD2" s="200"/>
      <c r="AE2" s="200"/>
      <c r="AF2" s="200"/>
      <c r="AG2" s="200"/>
      <c r="AH2" s="200"/>
      <c r="AI2" s="200"/>
      <c r="AJ2" s="200"/>
      <c r="AK2" s="200"/>
      <c r="AL2" s="200"/>
      <c r="AM2" s="200"/>
    </row>
    <row r="3" spans="1:32">
      <c r="A3" s="21">
        <v>45719</v>
      </c>
      <c r="B3" s="22">
        <v>1</v>
      </c>
      <c r="C3" s="21" t="s">
        <v>25</v>
      </c>
      <c r="D3" s="23" t="s">
        <v>26</v>
      </c>
      <c r="E3" s="24" t="s">
        <v>27</v>
      </c>
      <c r="F3" s="25" t="s">
        <v>28</v>
      </c>
      <c r="G3" s="26">
        <v>4000</v>
      </c>
      <c r="H3" s="22" t="s">
        <v>29</v>
      </c>
      <c r="I3" s="76">
        <v>600</v>
      </c>
      <c r="J3" s="77" t="str">
        <f>J4</f>
        <v>PIX JS PJ ITAÚ</v>
      </c>
      <c r="K3" s="78" t="s">
        <v>30</v>
      </c>
      <c r="L3" s="78">
        <f>I3*10/100</f>
        <v>60</v>
      </c>
      <c r="M3" s="79" t="s">
        <v>31</v>
      </c>
      <c r="N3" s="80">
        <f>I3/3</f>
        <v>200</v>
      </c>
      <c r="O3" s="81">
        <f>I3/3-L3</f>
        <v>140</v>
      </c>
      <c r="P3" s="82">
        <v>2</v>
      </c>
      <c r="Q3" s="157">
        <f>O3/2</f>
        <v>70</v>
      </c>
      <c r="R3" s="158">
        <f>I3/3</f>
        <v>200</v>
      </c>
      <c r="S3" s="159">
        <f>L3+N3+O3+R3</f>
        <v>600</v>
      </c>
      <c r="T3" s="160">
        <f>I3-S3</f>
        <v>0</v>
      </c>
      <c r="U3" s="161">
        <f>200*17</f>
        <v>3400</v>
      </c>
      <c r="V3" s="22" t="s">
        <v>32</v>
      </c>
      <c r="W3" s="26" t="s">
        <v>33</v>
      </c>
      <c r="X3" s="26" t="s">
        <v>34</v>
      </c>
      <c r="Y3" s="203"/>
      <c r="Z3" s="141"/>
      <c r="AA3" s="141"/>
      <c r="AD3" s="141"/>
      <c r="AE3" s="8"/>
      <c r="AF3" s="8"/>
    </row>
    <row r="4" customHeight="1" spans="1:39">
      <c r="A4" s="21">
        <v>45719</v>
      </c>
      <c r="B4" s="27">
        <v>2</v>
      </c>
      <c r="C4" s="21" t="s">
        <v>25</v>
      </c>
      <c r="D4" s="28" t="s">
        <v>35</v>
      </c>
      <c r="E4" s="29" t="s">
        <v>36</v>
      </c>
      <c r="F4" s="28" t="s">
        <v>37</v>
      </c>
      <c r="G4" s="30">
        <v>3000</v>
      </c>
      <c r="H4" s="27" t="s">
        <v>38</v>
      </c>
      <c r="I4" s="83">
        <v>300</v>
      </c>
      <c r="J4" s="84" t="s">
        <v>39</v>
      </c>
      <c r="K4" s="85" t="s">
        <v>30</v>
      </c>
      <c r="L4" s="85">
        <f>I4*10/100</f>
        <v>30</v>
      </c>
      <c r="M4" s="86" t="s">
        <v>40</v>
      </c>
      <c r="N4" s="86">
        <f>I4/3</f>
        <v>100</v>
      </c>
      <c r="O4" s="87">
        <f>I4/3-L4</f>
        <v>70</v>
      </c>
      <c r="P4" s="88">
        <v>3</v>
      </c>
      <c r="Q4" s="86">
        <f>O4/P4</f>
        <v>23.3333333333333</v>
      </c>
      <c r="R4" s="162">
        <f>I4/3</f>
        <v>100</v>
      </c>
      <c r="S4" s="125">
        <f>L4+N4+O4+R4</f>
        <v>300</v>
      </c>
      <c r="T4" s="163">
        <v>0</v>
      </c>
      <c r="U4" s="164">
        <f>I4*1</f>
        <v>300</v>
      </c>
      <c r="V4" s="53" t="s">
        <v>41</v>
      </c>
      <c r="W4" s="30" t="s">
        <v>42</v>
      </c>
      <c r="X4" s="30" t="s">
        <v>43</v>
      </c>
      <c r="Y4" s="30"/>
      <c r="Z4" s="194"/>
      <c r="AA4" s="194"/>
      <c r="AB4" s="143"/>
      <c r="AC4" s="143"/>
      <c r="AD4" s="194"/>
      <c r="AE4" s="143"/>
      <c r="AF4" s="143"/>
      <c r="AG4" s="2"/>
      <c r="AH4" s="2"/>
      <c r="AI4" s="2"/>
      <c r="AJ4" s="2"/>
      <c r="AK4" s="2"/>
      <c r="AL4" s="2"/>
      <c r="AM4" s="2"/>
    </row>
    <row r="5" spans="1:39">
      <c r="A5" s="21">
        <v>45720</v>
      </c>
      <c r="B5" s="27">
        <v>3</v>
      </c>
      <c r="C5" s="21" t="s">
        <v>25</v>
      </c>
      <c r="D5" s="28" t="s">
        <v>44</v>
      </c>
      <c r="E5" s="31" t="s">
        <v>45</v>
      </c>
      <c r="F5" s="28" t="s">
        <v>46</v>
      </c>
      <c r="G5" s="30">
        <v>5000</v>
      </c>
      <c r="H5" s="27" t="s">
        <v>47</v>
      </c>
      <c r="I5" s="89">
        <v>500</v>
      </c>
      <c r="J5" s="84" t="s">
        <v>48</v>
      </c>
      <c r="K5" s="90" t="s">
        <v>49</v>
      </c>
      <c r="L5" s="91">
        <f>I5*20/100</f>
        <v>100</v>
      </c>
      <c r="M5" s="92" t="s">
        <v>31</v>
      </c>
      <c r="N5" s="93">
        <f>(I5-L5)/3</f>
        <v>133.333333333333</v>
      </c>
      <c r="O5" s="87">
        <f>I5-L5-N5-R5</f>
        <v>133.333333333333</v>
      </c>
      <c r="P5" s="82">
        <v>2</v>
      </c>
      <c r="Q5" s="157">
        <f>O5/P5</f>
        <v>66.6666666666666</v>
      </c>
      <c r="R5" s="162">
        <f>(I5-L5)/3</f>
        <v>133.333333333333</v>
      </c>
      <c r="S5" s="125">
        <f>L5+N5+O5+R5</f>
        <v>500</v>
      </c>
      <c r="T5" s="163">
        <f>I5-S5</f>
        <v>0</v>
      </c>
      <c r="U5" s="164">
        <f>I5*2</f>
        <v>1000</v>
      </c>
      <c r="V5" s="53" t="s">
        <v>50</v>
      </c>
      <c r="W5" s="30" t="s">
        <v>51</v>
      </c>
      <c r="X5" s="30" t="s">
        <v>52</v>
      </c>
      <c r="Y5" s="28"/>
      <c r="Z5" s="2"/>
      <c r="AA5" s="2"/>
      <c r="AB5" s="143"/>
      <c r="AC5" s="143"/>
      <c r="AD5" s="2"/>
      <c r="AE5" s="2"/>
      <c r="AF5" s="2"/>
      <c r="AG5" s="2"/>
      <c r="AH5" s="2"/>
      <c r="AI5" s="2"/>
      <c r="AJ5" s="2"/>
      <c r="AK5" s="2"/>
      <c r="AL5" s="2"/>
      <c r="AM5" s="2"/>
    </row>
    <row r="6" spans="1:40">
      <c r="A6" s="21">
        <v>45721</v>
      </c>
      <c r="B6" s="27">
        <v>4</v>
      </c>
      <c r="C6" s="21" t="s">
        <v>25</v>
      </c>
      <c r="D6" s="32" t="s">
        <v>53</v>
      </c>
      <c r="E6" s="33" t="s">
        <v>54</v>
      </c>
      <c r="F6" s="34" t="s">
        <v>55</v>
      </c>
      <c r="G6" s="30">
        <v>3000</v>
      </c>
      <c r="H6" s="27" t="s">
        <v>56</v>
      </c>
      <c r="I6" s="94">
        <v>200</v>
      </c>
      <c r="J6" s="95" t="s">
        <v>57</v>
      </c>
      <c r="K6" s="85" t="str">
        <f>M6</f>
        <v>JS</v>
      </c>
      <c r="L6" s="85">
        <f>I6*10/100</f>
        <v>20</v>
      </c>
      <c r="M6" s="96" t="s">
        <v>58</v>
      </c>
      <c r="N6" s="96">
        <f>I6/3/2</f>
        <v>33.3333333333333</v>
      </c>
      <c r="O6" s="87">
        <f>I6/3-L6</f>
        <v>46.6666666666667</v>
      </c>
      <c r="P6" s="82">
        <v>2</v>
      </c>
      <c r="Q6" s="157">
        <f>O6/P6</f>
        <v>23.3333333333333</v>
      </c>
      <c r="R6" s="165">
        <f>I6/3</f>
        <v>66.6666666666667</v>
      </c>
      <c r="S6" s="125">
        <f>L6+N6+N7+O6+R6</f>
        <v>200</v>
      </c>
      <c r="T6" s="166">
        <f>I6-S6</f>
        <v>0</v>
      </c>
      <c r="U6" s="167">
        <f>I6*3</f>
        <v>600</v>
      </c>
      <c r="V6" s="27" t="s">
        <v>59</v>
      </c>
      <c r="W6" s="30" t="s">
        <v>60</v>
      </c>
      <c r="X6" s="30"/>
      <c r="Y6" s="141"/>
      <c r="Z6" s="141"/>
      <c r="AA6" s="141"/>
      <c r="AB6" s="8"/>
      <c r="AD6" s="141"/>
      <c r="AE6" s="8"/>
      <c r="AF6" s="8"/>
      <c r="AJ6" s="2"/>
      <c r="AK6" s="2"/>
      <c r="AL6" s="2"/>
      <c r="AM6" s="2"/>
      <c r="AN6" s="2"/>
    </row>
    <row r="7" spans="1:40">
      <c r="A7" s="35"/>
      <c r="B7" s="27"/>
      <c r="C7" s="35"/>
      <c r="D7" s="28"/>
      <c r="E7" s="28"/>
      <c r="F7" s="36"/>
      <c r="G7" s="30"/>
      <c r="H7" s="30"/>
      <c r="I7" s="30"/>
      <c r="J7" s="30"/>
      <c r="K7" s="27"/>
      <c r="L7" s="97"/>
      <c r="M7" s="92" t="s">
        <v>31</v>
      </c>
      <c r="N7" s="98">
        <f>I6/3/2</f>
        <v>33.3333333333333</v>
      </c>
      <c r="O7" s="27"/>
      <c r="P7" s="82"/>
      <c r="Q7" s="157"/>
      <c r="R7" s="27"/>
      <c r="S7" s="27"/>
      <c r="T7" s="27"/>
      <c r="U7" s="27"/>
      <c r="V7" s="27"/>
      <c r="W7" s="30"/>
      <c r="X7" s="30"/>
      <c r="Y7" s="141"/>
      <c r="Z7" s="141"/>
      <c r="AA7" s="141"/>
      <c r="AB7" s="8"/>
      <c r="AD7" s="141"/>
      <c r="AE7" s="8"/>
      <c r="AF7" s="8"/>
      <c r="AJ7" s="2"/>
      <c r="AK7" s="2"/>
      <c r="AL7" s="2"/>
      <c r="AM7" s="2"/>
      <c r="AN7" s="2"/>
    </row>
    <row r="8" spans="1:39">
      <c r="A8" s="21">
        <v>45721</v>
      </c>
      <c r="B8" s="27">
        <v>5</v>
      </c>
      <c r="C8" s="21" t="s">
        <v>25</v>
      </c>
      <c r="D8" s="28" t="s">
        <v>61</v>
      </c>
      <c r="E8" s="37" t="s">
        <v>62</v>
      </c>
      <c r="F8" s="34" t="s">
        <v>63</v>
      </c>
      <c r="G8" s="30">
        <v>5000</v>
      </c>
      <c r="H8" s="27" t="s">
        <v>64</v>
      </c>
      <c r="I8" s="99">
        <v>200</v>
      </c>
      <c r="J8" s="95" t="s">
        <v>48</v>
      </c>
      <c r="K8" s="85" t="s">
        <v>30</v>
      </c>
      <c r="L8" s="85">
        <f>I8*10/100</f>
        <v>20</v>
      </c>
      <c r="M8" s="96" t="s">
        <v>30</v>
      </c>
      <c r="N8" s="96">
        <f>I8/3/2</f>
        <v>33.3333333333333</v>
      </c>
      <c r="O8" s="87">
        <f>I8/3-L8</f>
        <v>46.6666666666667</v>
      </c>
      <c r="P8" s="82">
        <v>2</v>
      </c>
      <c r="Q8" s="157">
        <f>O8/P8</f>
        <v>23.3333333333333</v>
      </c>
      <c r="R8" s="165">
        <f>I8/3</f>
        <v>66.6666666666667</v>
      </c>
      <c r="S8" s="125">
        <f>L8+N8+N9+O8+R8</f>
        <v>200</v>
      </c>
      <c r="T8" s="166">
        <f>I8-S8</f>
        <v>0</v>
      </c>
      <c r="U8" s="167">
        <f>200*9</f>
        <v>1800</v>
      </c>
      <c r="V8" s="27" t="s">
        <v>65</v>
      </c>
      <c r="W8" s="30" t="s">
        <v>66</v>
      </c>
      <c r="X8" s="30"/>
      <c r="Y8" s="30"/>
      <c r="Z8" s="194"/>
      <c r="AA8" s="194"/>
      <c r="AB8" s="143"/>
      <c r="AC8" s="2"/>
      <c r="AD8" s="194"/>
      <c r="AE8" s="143"/>
      <c r="AF8" s="143"/>
      <c r="AG8" s="2"/>
      <c r="AH8" s="2"/>
      <c r="AI8" s="2"/>
      <c r="AJ8" s="2"/>
      <c r="AK8" s="2"/>
      <c r="AL8" s="2"/>
      <c r="AM8" s="2"/>
    </row>
    <row r="9" spans="1:39">
      <c r="A9" s="38"/>
      <c r="B9" s="27"/>
      <c r="C9" s="27"/>
      <c r="D9" s="28"/>
      <c r="E9" s="27"/>
      <c r="F9" s="34"/>
      <c r="G9" s="30"/>
      <c r="H9" s="28"/>
      <c r="I9" s="30"/>
      <c r="J9" s="27"/>
      <c r="K9" s="30"/>
      <c r="L9" s="28"/>
      <c r="M9" s="100" t="s">
        <v>67</v>
      </c>
      <c r="N9" s="98">
        <f>I8/3/2</f>
        <v>33.3333333333333</v>
      </c>
      <c r="O9" s="27"/>
      <c r="P9" s="82"/>
      <c r="Q9" s="157"/>
      <c r="R9" s="27"/>
      <c r="S9" s="27"/>
      <c r="T9" s="27"/>
      <c r="U9" s="27"/>
      <c r="V9" s="27"/>
      <c r="W9" s="30"/>
      <c r="X9" s="30"/>
      <c r="Y9" s="30"/>
      <c r="Z9" s="194"/>
      <c r="AA9" s="194"/>
      <c r="AB9" s="143"/>
      <c r="AC9" s="2"/>
      <c r="AD9" s="194"/>
      <c r="AE9" s="143"/>
      <c r="AF9" s="143"/>
      <c r="AG9" s="2"/>
      <c r="AH9" s="2"/>
      <c r="AI9" s="2"/>
      <c r="AJ9" s="2"/>
      <c r="AK9" s="2"/>
      <c r="AL9" s="2"/>
      <c r="AM9" s="2"/>
    </row>
    <row r="10" spans="1:39">
      <c r="A10" s="21">
        <v>45721</v>
      </c>
      <c r="B10" s="27">
        <v>6</v>
      </c>
      <c r="C10" s="21" t="s">
        <v>25</v>
      </c>
      <c r="D10" s="28" t="s">
        <v>68</v>
      </c>
      <c r="E10" s="37" t="s">
        <v>62</v>
      </c>
      <c r="F10" s="34" t="s">
        <v>63</v>
      </c>
      <c r="G10" s="30">
        <v>2600</v>
      </c>
      <c r="H10" s="27" t="s">
        <v>69</v>
      </c>
      <c r="I10" s="99">
        <v>200</v>
      </c>
      <c r="J10" s="95" t="s">
        <v>70</v>
      </c>
      <c r="K10" s="85" t="s">
        <v>58</v>
      </c>
      <c r="L10" s="85">
        <f>I10*10/100</f>
        <v>20</v>
      </c>
      <c r="M10" s="96" t="s">
        <v>58</v>
      </c>
      <c r="N10" s="96">
        <f>I10/3/2</f>
        <v>33.3333333333333</v>
      </c>
      <c r="O10" s="87">
        <f>I10/3-L10</f>
        <v>46.6666666666667</v>
      </c>
      <c r="P10" s="82">
        <v>2</v>
      </c>
      <c r="Q10" s="157">
        <f>O10/P10</f>
        <v>23.3333333333333</v>
      </c>
      <c r="R10" s="165">
        <f>I10/3</f>
        <v>66.6666666666667</v>
      </c>
      <c r="S10" s="125">
        <f>L10+N10+N11+O10+R10</f>
        <v>200</v>
      </c>
      <c r="T10" s="166">
        <f>I10-S10</f>
        <v>0</v>
      </c>
      <c r="U10" s="167">
        <f>I10*10</f>
        <v>2000</v>
      </c>
      <c r="V10" s="27" t="s">
        <v>71</v>
      </c>
      <c r="W10" s="27" t="s">
        <v>72</v>
      </c>
      <c r="X10" s="27" t="s">
        <v>73</v>
      </c>
      <c r="Y10" s="30"/>
      <c r="Z10" s="194"/>
      <c r="AA10" s="143"/>
      <c r="AB10" s="2"/>
      <c r="AC10" s="194"/>
      <c r="AD10" s="143"/>
      <c r="AE10" s="143"/>
      <c r="AF10" s="2"/>
      <c r="AG10" s="2"/>
      <c r="AH10" s="2"/>
      <c r="AI10" s="2"/>
      <c r="AJ10" s="2"/>
      <c r="AK10" s="2"/>
      <c r="AL10" s="2"/>
      <c r="AM10" s="2"/>
    </row>
    <row r="11" s="2" customFormat="1" ht="12.75" spans="1:29">
      <c r="A11" s="27"/>
      <c r="B11" s="39"/>
      <c r="C11" s="27"/>
      <c r="D11" s="28"/>
      <c r="E11" s="27"/>
      <c r="F11" s="34"/>
      <c r="G11" s="30"/>
      <c r="H11" s="28"/>
      <c r="I11" s="30"/>
      <c r="J11" s="27"/>
      <c r="K11" s="30"/>
      <c r="L11" s="27"/>
      <c r="M11" s="98" t="s">
        <v>67</v>
      </c>
      <c r="N11" s="98">
        <f>I10/3/2</f>
        <v>33.3333333333333</v>
      </c>
      <c r="O11" s="27"/>
      <c r="P11" s="82"/>
      <c r="Q11" s="157"/>
      <c r="R11" s="27"/>
      <c r="S11" s="27"/>
      <c r="T11" s="27"/>
      <c r="U11" s="27"/>
      <c r="V11" s="27"/>
      <c r="W11" s="27"/>
      <c r="X11" s="27"/>
      <c r="Y11" s="28"/>
      <c r="AB11" s="143"/>
      <c r="AC11" s="143"/>
    </row>
    <row r="12" spans="1:39">
      <c r="A12" s="21">
        <v>45721</v>
      </c>
      <c r="B12" s="27">
        <v>7</v>
      </c>
      <c r="C12" s="21" t="s">
        <v>25</v>
      </c>
      <c r="D12" s="28" t="s">
        <v>74</v>
      </c>
      <c r="E12" s="40" t="s">
        <v>75</v>
      </c>
      <c r="F12" s="28" t="s">
        <v>76</v>
      </c>
      <c r="G12" s="30">
        <v>5000</v>
      </c>
      <c r="H12" s="27" t="s">
        <v>77</v>
      </c>
      <c r="I12" s="101">
        <v>500</v>
      </c>
      <c r="J12" s="95" t="str">
        <f>J5</f>
        <v>PIX JS PJ</v>
      </c>
      <c r="K12" s="92" t="s">
        <v>31</v>
      </c>
      <c r="L12" s="92">
        <f>I12*10/100</f>
        <v>50</v>
      </c>
      <c r="M12" s="100" t="str">
        <f>K12</f>
        <v>JÉTER</v>
      </c>
      <c r="N12" s="100">
        <f>I12/3</f>
        <v>166.666666666667</v>
      </c>
      <c r="O12" s="87">
        <f>I12/3-L12</f>
        <v>116.666666666667</v>
      </c>
      <c r="P12" s="82">
        <v>2</v>
      </c>
      <c r="Q12" s="157">
        <f>O12/P12</f>
        <v>58.3333333333333</v>
      </c>
      <c r="R12" s="162">
        <f>I12/3</f>
        <v>166.666666666667</v>
      </c>
      <c r="S12" s="125">
        <f>L12+N12+O12+R12</f>
        <v>500</v>
      </c>
      <c r="T12" s="163">
        <f>I12-S12</f>
        <v>0</v>
      </c>
      <c r="U12" s="164">
        <f>I12*3</f>
        <v>1500</v>
      </c>
      <c r="V12" s="27" t="s">
        <v>78</v>
      </c>
      <c r="W12" s="27" t="s">
        <v>79</v>
      </c>
      <c r="X12" s="27" t="s">
        <v>80</v>
      </c>
      <c r="Y12" s="28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</row>
    <row r="13" s="3" customFormat="1" spans="1:39">
      <c r="A13" s="41">
        <v>45722</v>
      </c>
      <c r="B13" s="42">
        <v>8</v>
      </c>
      <c r="C13" s="43" t="s">
        <v>25</v>
      </c>
      <c r="D13" s="44" t="s">
        <v>81</v>
      </c>
      <c r="E13" s="45" t="s">
        <v>36</v>
      </c>
      <c r="F13" s="44" t="s">
        <v>82</v>
      </c>
      <c r="G13" s="46">
        <v>2000</v>
      </c>
      <c r="H13" s="42" t="s">
        <v>83</v>
      </c>
      <c r="I13" s="102">
        <v>160</v>
      </c>
      <c r="J13" s="45" t="s">
        <v>48</v>
      </c>
      <c r="K13" s="103" t="s">
        <v>31</v>
      </c>
      <c r="L13" s="103">
        <f>I13*10/100</f>
        <v>16</v>
      </c>
      <c r="M13" s="45" t="str">
        <f>M12</f>
        <v>JÉTER</v>
      </c>
      <c r="N13" s="45">
        <f>I13/3</f>
        <v>53.3333333333333</v>
      </c>
      <c r="O13" s="45">
        <f>I13/3-L13</f>
        <v>37.3333333333333</v>
      </c>
      <c r="P13" s="43">
        <v>2</v>
      </c>
      <c r="Q13" s="45">
        <f>O13/P13</f>
        <v>18.6666666666667</v>
      </c>
      <c r="R13" s="45">
        <f>I13/3</f>
        <v>53.3333333333333</v>
      </c>
      <c r="S13" s="45">
        <f>L13+N13+O13+R13</f>
        <v>160</v>
      </c>
      <c r="T13" s="45">
        <f t="shared" ref="T13" si="0">I13-S13</f>
        <v>0</v>
      </c>
      <c r="U13" s="45">
        <f>1267-160</f>
        <v>1107</v>
      </c>
      <c r="V13" s="42" t="s">
        <v>84</v>
      </c>
      <c r="W13" s="46" t="s">
        <v>85</v>
      </c>
      <c r="X13" s="46"/>
      <c r="Y13" s="46"/>
      <c r="Z13" s="204"/>
      <c r="AA13" s="204"/>
      <c r="AB13" s="205"/>
      <c r="AC13" s="205"/>
      <c r="AD13" s="204"/>
      <c r="AE13" s="205"/>
      <c r="AF13" s="205"/>
      <c r="AG13" s="215"/>
      <c r="AH13" s="215"/>
      <c r="AI13" s="215"/>
      <c r="AJ13" s="215"/>
      <c r="AK13" s="215"/>
      <c r="AL13" s="215"/>
      <c r="AM13" s="215"/>
    </row>
    <row r="14" spans="1:37">
      <c r="A14" s="21">
        <v>45722</v>
      </c>
      <c r="B14" s="27">
        <v>9</v>
      </c>
      <c r="C14" s="21" t="s">
        <v>25</v>
      </c>
      <c r="D14" s="28" t="s">
        <v>86</v>
      </c>
      <c r="E14" s="47" t="s">
        <v>62</v>
      </c>
      <c r="F14" s="34" t="s">
        <v>87</v>
      </c>
      <c r="G14" s="30">
        <v>2000</v>
      </c>
      <c r="H14" s="27" t="s">
        <v>88</v>
      </c>
      <c r="I14" s="104">
        <v>200</v>
      </c>
      <c r="J14" s="95" t="s">
        <v>48</v>
      </c>
      <c r="K14" s="92" t="s">
        <v>31</v>
      </c>
      <c r="L14" s="92">
        <f>I14*10/100</f>
        <v>20</v>
      </c>
      <c r="M14" s="98" t="str">
        <f>M121</f>
        <v>JÉTER</v>
      </c>
      <c r="N14" s="98">
        <f>I14/3/2</f>
        <v>33.3333333333333</v>
      </c>
      <c r="O14" s="87">
        <f t="shared" ref="O14" si="1">I14/3-L14</f>
        <v>46.6666666666667</v>
      </c>
      <c r="P14" s="105">
        <v>3</v>
      </c>
      <c r="Q14" s="107">
        <f>O14/P14</f>
        <v>15.5555555555556</v>
      </c>
      <c r="R14" s="165">
        <v>66.6666666666667</v>
      </c>
      <c r="S14" s="125">
        <f>L14+N14+N15+O14+R14</f>
        <v>200</v>
      </c>
      <c r="T14" s="166">
        <v>0</v>
      </c>
      <c r="U14" s="167">
        <f>I14*6</f>
        <v>1200</v>
      </c>
      <c r="V14" s="27" t="s">
        <v>89</v>
      </c>
      <c r="W14" s="30" t="s">
        <v>90</v>
      </c>
      <c r="X14" s="30"/>
      <c r="Y14" s="28"/>
      <c r="Z14" s="2"/>
      <c r="AA14" s="143"/>
      <c r="AB14" s="2"/>
      <c r="AC14" s="2"/>
      <c r="AD14" s="2"/>
      <c r="AE14" s="2"/>
      <c r="AF14" s="2"/>
      <c r="AG14" s="2"/>
      <c r="AH14" s="2"/>
      <c r="AI14" s="2"/>
      <c r="AJ14" s="2"/>
      <c r="AK14" s="2"/>
    </row>
    <row r="15" spans="1:37">
      <c r="A15" s="28"/>
      <c r="B15" s="28"/>
      <c r="C15" s="28"/>
      <c r="D15" s="28"/>
      <c r="E15" s="28"/>
      <c r="F15" s="28"/>
      <c r="G15" s="28"/>
      <c r="H15" s="28"/>
      <c r="I15" s="106"/>
      <c r="J15" s="27"/>
      <c r="K15" s="28"/>
      <c r="L15" s="28"/>
      <c r="M15" s="107" t="s">
        <v>91</v>
      </c>
      <c r="N15" s="107">
        <f>N14</f>
        <v>33.3333333333333</v>
      </c>
      <c r="O15" s="28"/>
      <c r="P15" s="28"/>
      <c r="Q15" s="27"/>
      <c r="R15" s="27"/>
      <c r="S15" s="28"/>
      <c r="T15" s="28"/>
      <c r="U15" s="28"/>
      <c r="V15" s="27"/>
      <c r="W15" s="27"/>
      <c r="X15" s="27"/>
      <c r="Y15" s="28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</row>
    <row r="16" spans="1:32">
      <c r="A16" s="21">
        <v>45723</v>
      </c>
      <c r="B16" s="27">
        <v>10</v>
      </c>
      <c r="C16" s="21" t="s">
        <v>25</v>
      </c>
      <c r="D16" s="32" t="s">
        <v>92</v>
      </c>
      <c r="E16" s="29" t="s">
        <v>93</v>
      </c>
      <c r="F16" s="34" t="s">
        <v>94</v>
      </c>
      <c r="G16" s="30">
        <v>4200</v>
      </c>
      <c r="H16" s="27" t="s">
        <v>95</v>
      </c>
      <c r="I16" s="83">
        <v>300</v>
      </c>
      <c r="J16" s="95" t="str">
        <f>[1]RECEITAS!J34</f>
        <v>PIX JS PJ</v>
      </c>
      <c r="K16" s="108" t="s">
        <v>30</v>
      </c>
      <c r="L16" s="108">
        <f t="shared" ref="L16:L26" si="2">I16*10/100</f>
        <v>30</v>
      </c>
      <c r="M16" s="108" t="s">
        <v>30</v>
      </c>
      <c r="N16" s="108">
        <f t="shared" ref="N16:N26" si="3">I16/3</f>
        <v>100</v>
      </c>
      <c r="O16" s="87">
        <f t="shared" ref="O16:O26" si="4">I16/3-L16</f>
        <v>70</v>
      </c>
      <c r="P16" s="82">
        <v>3</v>
      </c>
      <c r="Q16" s="157">
        <f>O16/P16</f>
        <v>23.3333333333333</v>
      </c>
      <c r="R16" s="165">
        <f t="shared" ref="R16:R26" si="5">I16/3</f>
        <v>100</v>
      </c>
      <c r="S16" s="125">
        <f t="shared" ref="S16:S26" si="6">L16+N16+O16+R16</f>
        <v>300</v>
      </c>
      <c r="T16" s="166">
        <v>0</v>
      </c>
      <c r="U16" s="168">
        <f>I16*3</f>
        <v>900</v>
      </c>
      <c r="V16" s="27" t="s">
        <v>96</v>
      </c>
      <c r="W16" s="30" t="s">
        <v>97</v>
      </c>
      <c r="X16" s="30" t="s">
        <v>98</v>
      </c>
      <c r="Y16" s="203"/>
      <c r="Z16" s="141"/>
      <c r="AA16" s="141"/>
      <c r="AB16" s="8"/>
      <c r="AD16" s="141"/>
      <c r="AE16" s="8"/>
      <c r="AF16" s="8"/>
    </row>
    <row r="17" spans="1:32">
      <c r="A17" s="21">
        <v>45723</v>
      </c>
      <c r="B17" s="27">
        <v>11</v>
      </c>
      <c r="C17" s="21" t="s">
        <v>25</v>
      </c>
      <c r="D17" s="32" t="s">
        <v>92</v>
      </c>
      <c r="E17" s="37" t="s">
        <v>62</v>
      </c>
      <c r="F17" s="34" t="s">
        <v>99</v>
      </c>
      <c r="G17" s="30">
        <v>2000</v>
      </c>
      <c r="H17" s="27" t="s">
        <v>100</v>
      </c>
      <c r="I17" s="99">
        <v>200</v>
      </c>
      <c r="J17" s="95" t="str">
        <f>J16</f>
        <v>PIX JS PJ</v>
      </c>
      <c r="K17" s="108" t="s">
        <v>30</v>
      </c>
      <c r="L17" s="108">
        <f t="shared" si="2"/>
        <v>20</v>
      </c>
      <c r="M17" s="109" t="s">
        <v>101</v>
      </c>
      <c r="N17" s="110">
        <f t="shared" si="3"/>
        <v>66.6666666666667</v>
      </c>
      <c r="O17" s="87">
        <f t="shared" si="4"/>
        <v>46.6666666666667</v>
      </c>
      <c r="P17" s="111">
        <v>5</v>
      </c>
      <c r="Q17" s="169">
        <f>O17/5</f>
        <v>9.33333333333333</v>
      </c>
      <c r="R17" s="165">
        <f t="shared" si="5"/>
        <v>66.6666666666667</v>
      </c>
      <c r="S17" s="125">
        <f t="shared" si="6"/>
        <v>200</v>
      </c>
      <c r="T17" s="166">
        <v>0</v>
      </c>
      <c r="U17" s="168">
        <f>I17*5</f>
        <v>1000</v>
      </c>
      <c r="V17" s="27" t="s">
        <v>102</v>
      </c>
      <c r="W17" s="30" t="s">
        <v>103</v>
      </c>
      <c r="X17" s="30" t="str">
        <f>X16</f>
        <v>PARCELA REF. JANEIRO 2025</v>
      </c>
      <c r="Y17" s="203"/>
      <c r="Z17" s="141"/>
      <c r="AA17" s="141"/>
      <c r="AB17" s="8"/>
      <c r="AD17" s="141"/>
      <c r="AE17" s="8"/>
      <c r="AF17" s="8"/>
    </row>
    <row r="18" spans="1:37">
      <c r="A18" s="21">
        <v>45723</v>
      </c>
      <c r="B18" s="27">
        <v>12</v>
      </c>
      <c r="C18" s="21" t="s">
        <v>25</v>
      </c>
      <c r="D18" s="28" t="s">
        <v>104</v>
      </c>
      <c r="E18" s="31" t="s">
        <v>45</v>
      </c>
      <c r="F18" s="28" t="s">
        <v>105</v>
      </c>
      <c r="G18" s="30">
        <v>3965</v>
      </c>
      <c r="H18" s="27" t="s">
        <v>106</v>
      </c>
      <c r="I18" s="89">
        <v>205</v>
      </c>
      <c r="J18" s="95" t="s">
        <v>48</v>
      </c>
      <c r="K18" s="92" t="s">
        <v>31</v>
      </c>
      <c r="L18" s="92">
        <f t="shared" si="2"/>
        <v>20.5</v>
      </c>
      <c r="M18" s="100" t="s">
        <v>67</v>
      </c>
      <c r="N18" s="92">
        <f t="shared" si="3"/>
        <v>68.3333333333333</v>
      </c>
      <c r="O18" s="87">
        <f t="shared" si="4"/>
        <v>47.8333333333333</v>
      </c>
      <c r="P18" s="82">
        <v>2</v>
      </c>
      <c r="Q18" s="157">
        <f>O18/P18</f>
        <v>23.9166666666667</v>
      </c>
      <c r="R18" s="170">
        <f t="shared" si="5"/>
        <v>68.3333333333333</v>
      </c>
      <c r="S18" s="125">
        <f t="shared" si="6"/>
        <v>205</v>
      </c>
      <c r="T18" s="171">
        <f>I18-S18</f>
        <v>0</v>
      </c>
      <c r="U18" s="172">
        <f>205*7</f>
        <v>1435</v>
      </c>
      <c r="V18" s="173" t="s">
        <v>107</v>
      </c>
      <c r="W18" s="30" t="s">
        <v>108</v>
      </c>
      <c r="X18" s="30" t="s">
        <v>109</v>
      </c>
      <c r="Y18" s="30"/>
      <c r="Z18" s="194"/>
      <c r="AA18" s="194"/>
      <c r="AB18" s="143"/>
      <c r="AC18" s="2"/>
      <c r="AD18" s="194"/>
      <c r="AE18" s="143"/>
      <c r="AF18" s="143"/>
      <c r="AG18" s="2"/>
      <c r="AH18" s="2"/>
      <c r="AI18" s="2"/>
      <c r="AJ18" s="2"/>
      <c r="AK18" s="2"/>
    </row>
    <row r="19" spans="1:37">
      <c r="A19" s="21">
        <v>45723</v>
      </c>
      <c r="B19" s="27">
        <v>13</v>
      </c>
      <c r="C19" s="21" t="s">
        <v>25</v>
      </c>
      <c r="D19" s="48" t="s">
        <v>110</v>
      </c>
      <c r="E19" s="47" t="s">
        <v>62</v>
      </c>
      <c r="F19" s="28" t="s">
        <v>111</v>
      </c>
      <c r="G19" s="30">
        <v>1800</v>
      </c>
      <c r="H19" s="27" t="s">
        <v>112</v>
      </c>
      <c r="I19" s="104">
        <v>150</v>
      </c>
      <c r="J19" s="84" t="str">
        <f>J4</f>
        <v>PIX JS PJ ITAÚ</v>
      </c>
      <c r="K19" s="85" t="s">
        <v>30</v>
      </c>
      <c r="L19" s="85">
        <f t="shared" si="2"/>
        <v>15</v>
      </c>
      <c r="M19" s="112" t="s">
        <v>40</v>
      </c>
      <c r="N19" s="112">
        <f t="shared" si="3"/>
        <v>50</v>
      </c>
      <c r="O19" s="87">
        <f t="shared" si="4"/>
        <v>35</v>
      </c>
      <c r="P19" s="88">
        <v>3</v>
      </c>
      <c r="Q19" s="86">
        <f>O19/P19</f>
        <v>11.6666666666667</v>
      </c>
      <c r="R19" s="162">
        <f t="shared" si="5"/>
        <v>50</v>
      </c>
      <c r="S19" s="125">
        <f t="shared" si="6"/>
        <v>150</v>
      </c>
      <c r="T19" s="163">
        <f>I19-S19</f>
        <v>0</v>
      </c>
      <c r="U19" s="164">
        <f>I19*8</f>
        <v>1200</v>
      </c>
      <c r="V19" s="53" t="s">
        <v>113</v>
      </c>
      <c r="W19" s="30" t="s">
        <v>114</v>
      </c>
      <c r="X19" s="30" t="s">
        <v>51</v>
      </c>
      <c r="Y19" s="30" t="s">
        <v>115</v>
      </c>
      <c r="Z19" s="194"/>
      <c r="AA19" s="143"/>
      <c r="AB19" s="143"/>
      <c r="AC19" s="194"/>
      <c r="AD19" s="143"/>
      <c r="AE19" s="143"/>
      <c r="AF19" s="2"/>
      <c r="AG19" s="2"/>
      <c r="AH19" s="2"/>
      <c r="AI19" s="2"/>
      <c r="AJ19" s="2"/>
      <c r="AK19" s="2"/>
    </row>
    <row r="20" spans="1:37">
      <c r="A20" s="21">
        <v>45723</v>
      </c>
      <c r="B20" s="27">
        <v>14</v>
      </c>
      <c r="C20" s="21" t="s">
        <v>25</v>
      </c>
      <c r="D20" s="28" t="s">
        <v>116</v>
      </c>
      <c r="E20" s="49" t="s">
        <v>36</v>
      </c>
      <c r="F20" s="50" t="s">
        <v>117</v>
      </c>
      <c r="G20" s="30">
        <v>5000</v>
      </c>
      <c r="H20" s="27" t="s">
        <v>47</v>
      </c>
      <c r="I20" s="29">
        <v>500</v>
      </c>
      <c r="J20" s="95" t="str">
        <f>J12</f>
        <v>PIX JS PJ</v>
      </c>
      <c r="K20" s="92" t="s">
        <v>31</v>
      </c>
      <c r="L20" s="92">
        <f t="shared" si="2"/>
        <v>50</v>
      </c>
      <c r="M20" s="100" t="str">
        <f>K20</f>
        <v>JÉTER</v>
      </c>
      <c r="N20" s="100">
        <f t="shared" si="3"/>
        <v>166.666666666667</v>
      </c>
      <c r="O20" s="87">
        <f t="shared" si="4"/>
        <v>116.666666666667</v>
      </c>
      <c r="P20" s="82">
        <v>2</v>
      </c>
      <c r="Q20" s="157">
        <f>O20/P20</f>
        <v>58.3333333333333</v>
      </c>
      <c r="R20" s="162">
        <f t="shared" si="5"/>
        <v>166.666666666667</v>
      </c>
      <c r="S20" s="125">
        <f t="shared" si="6"/>
        <v>500</v>
      </c>
      <c r="T20" s="163">
        <f>I20-S20</f>
        <v>0</v>
      </c>
      <c r="U20" s="164">
        <f>I20*7</f>
        <v>3500</v>
      </c>
      <c r="V20" s="27" t="s">
        <v>118</v>
      </c>
      <c r="W20" s="27" t="s">
        <v>90</v>
      </c>
      <c r="X20" s="27" t="s">
        <v>80</v>
      </c>
      <c r="Y20" s="28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</row>
    <row r="21" spans="1:39">
      <c r="A21" s="21">
        <v>45723</v>
      </c>
      <c r="B21" s="27">
        <v>15</v>
      </c>
      <c r="C21" s="21" t="s">
        <v>25</v>
      </c>
      <c r="D21" s="28" t="s">
        <v>119</v>
      </c>
      <c r="E21" s="51" t="s">
        <v>120</v>
      </c>
      <c r="F21" s="52" t="s">
        <v>121</v>
      </c>
      <c r="G21" s="53">
        <v>2000</v>
      </c>
      <c r="H21" s="53" t="s">
        <v>122</v>
      </c>
      <c r="I21" s="113">
        <v>1356.57</v>
      </c>
      <c r="J21" s="114" t="str">
        <f>J20</f>
        <v>PIX JS PJ</v>
      </c>
      <c r="K21" s="92" t="s">
        <v>31</v>
      </c>
      <c r="L21" s="92">
        <f t="shared" si="2"/>
        <v>135.657</v>
      </c>
      <c r="M21" s="92" t="s">
        <v>31</v>
      </c>
      <c r="N21" s="93">
        <f t="shared" si="3"/>
        <v>452.19</v>
      </c>
      <c r="O21" s="87">
        <f t="shared" si="4"/>
        <v>316.533</v>
      </c>
      <c r="P21" s="82">
        <v>2</v>
      </c>
      <c r="Q21" s="157">
        <f>O21/P21</f>
        <v>158.2665</v>
      </c>
      <c r="R21" s="170">
        <f t="shared" si="5"/>
        <v>452.19</v>
      </c>
      <c r="S21" s="125">
        <f t="shared" si="6"/>
        <v>1356.57</v>
      </c>
      <c r="T21" s="174">
        <f>I21-S21</f>
        <v>0</v>
      </c>
      <c r="U21" s="168">
        <v>0</v>
      </c>
      <c r="V21" s="59" t="s">
        <v>123</v>
      </c>
      <c r="W21" s="30" t="s">
        <v>124</v>
      </c>
      <c r="X21" s="30" t="s">
        <v>125</v>
      </c>
      <c r="Y21" s="30" t="s">
        <v>126</v>
      </c>
      <c r="Z21" s="194"/>
      <c r="AA21" s="194"/>
      <c r="AB21" s="194"/>
      <c r="AC21" s="194"/>
      <c r="AD21" s="194"/>
      <c r="AE21" s="143"/>
      <c r="AF21" s="143"/>
      <c r="AG21" s="2"/>
      <c r="AH21" s="2"/>
      <c r="AI21" s="2"/>
      <c r="AJ21" s="2"/>
      <c r="AK21" s="2"/>
      <c r="AL21" s="2"/>
      <c r="AM21" s="2"/>
    </row>
    <row r="22" spans="1:37">
      <c r="A22" s="21">
        <v>45723</v>
      </c>
      <c r="B22" s="27">
        <v>16</v>
      </c>
      <c r="C22" s="21" t="s">
        <v>25</v>
      </c>
      <c r="D22" s="32" t="s">
        <v>127</v>
      </c>
      <c r="E22" s="33" t="s">
        <v>54</v>
      </c>
      <c r="F22" s="34" t="s">
        <v>55</v>
      </c>
      <c r="G22" s="30">
        <v>3000</v>
      </c>
      <c r="H22" s="27" t="s">
        <v>56</v>
      </c>
      <c r="I22" s="94">
        <v>200</v>
      </c>
      <c r="J22" s="95" t="s">
        <v>128</v>
      </c>
      <c r="K22" s="85" t="str">
        <f>M22</f>
        <v>JS</v>
      </c>
      <c r="L22" s="85">
        <f t="shared" si="2"/>
        <v>20</v>
      </c>
      <c r="M22" s="96" t="s">
        <v>58</v>
      </c>
      <c r="N22" s="96">
        <f>I22/3/2</f>
        <v>33.3333333333333</v>
      </c>
      <c r="O22" s="87">
        <f t="shared" si="4"/>
        <v>46.6666666666667</v>
      </c>
      <c r="P22" s="82">
        <v>2</v>
      </c>
      <c r="Q22" s="157">
        <f>O22/P22</f>
        <v>23.3333333333333</v>
      </c>
      <c r="R22" s="165">
        <f t="shared" si="5"/>
        <v>66.6666666666667</v>
      </c>
      <c r="S22" s="125">
        <f>L22+N22+N23+O22+R22</f>
        <v>200</v>
      </c>
      <c r="T22" s="175">
        <f>I22-S22</f>
        <v>0</v>
      </c>
      <c r="U22" s="167">
        <f>I22*5</f>
        <v>1000</v>
      </c>
      <c r="V22" s="27" t="s">
        <v>129</v>
      </c>
      <c r="W22" s="30" t="s">
        <v>60</v>
      </c>
      <c r="X22" s="27" t="s">
        <v>130</v>
      </c>
      <c r="Y22" s="30"/>
      <c r="Z22" s="194"/>
      <c r="AA22" s="143"/>
      <c r="AB22" s="194"/>
      <c r="AC22" s="194"/>
      <c r="AD22" s="143"/>
      <c r="AE22" s="143"/>
      <c r="AF22" s="2"/>
      <c r="AG22" s="2"/>
      <c r="AH22" s="2"/>
      <c r="AI22" s="2"/>
      <c r="AJ22" s="2"/>
      <c r="AK22" s="2"/>
    </row>
    <row r="23" spans="1:37">
      <c r="A23" s="28"/>
      <c r="B23" s="39"/>
      <c r="C23" s="28"/>
      <c r="D23" s="28"/>
      <c r="E23" s="28"/>
      <c r="F23" s="36"/>
      <c r="G23" s="30"/>
      <c r="H23" s="30"/>
      <c r="I23" s="30"/>
      <c r="J23" s="30"/>
      <c r="K23" s="27"/>
      <c r="L23" s="97"/>
      <c r="M23" s="92" t="s">
        <v>31</v>
      </c>
      <c r="N23" s="98">
        <f>I22/3/2</f>
        <v>33.3333333333333</v>
      </c>
      <c r="O23" s="27"/>
      <c r="P23" s="82"/>
      <c r="Q23" s="157"/>
      <c r="R23" s="27"/>
      <c r="S23" s="27"/>
      <c r="T23" s="27"/>
      <c r="U23" s="27"/>
      <c r="V23" s="27"/>
      <c r="W23" s="30"/>
      <c r="X23" s="30"/>
      <c r="Y23" s="30"/>
      <c r="Z23" s="194"/>
      <c r="AA23" s="194"/>
      <c r="AB23" s="194"/>
      <c r="AC23" s="194"/>
      <c r="AD23" s="143"/>
      <c r="AE23" s="143"/>
      <c r="AF23" s="2"/>
      <c r="AG23" s="2"/>
      <c r="AH23" s="2"/>
      <c r="AI23" s="2"/>
      <c r="AJ23" s="2"/>
      <c r="AK23" s="2"/>
    </row>
    <row r="24" spans="1:37">
      <c r="A24" s="21">
        <v>45723</v>
      </c>
      <c r="B24" s="27">
        <v>17</v>
      </c>
      <c r="C24" s="21" t="s">
        <v>25</v>
      </c>
      <c r="D24" s="32" t="s">
        <v>131</v>
      </c>
      <c r="E24" s="33" t="s">
        <v>54</v>
      </c>
      <c r="F24" s="34" t="s">
        <v>55</v>
      </c>
      <c r="G24" s="30">
        <v>3000</v>
      </c>
      <c r="H24" s="27" t="s">
        <v>56</v>
      </c>
      <c r="I24" s="94">
        <v>200</v>
      </c>
      <c r="J24" s="95" t="s">
        <v>128</v>
      </c>
      <c r="K24" s="85" t="str">
        <f>M24</f>
        <v>JS</v>
      </c>
      <c r="L24" s="85">
        <f>I24*10/100</f>
        <v>20</v>
      </c>
      <c r="M24" s="96" t="s">
        <v>58</v>
      </c>
      <c r="N24" s="96">
        <f>I24/3/2</f>
        <v>33.3333333333333</v>
      </c>
      <c r="O24" s="87">
        <f>I24/3-L24</f>
        <v>46.6666666666667</v>
      </c>
      <c r="P24" s="82">
        <v>2</v>
      </c>
      <c r="Q24" s="157">
        <f>O24/P24</f>
        <v>23.3333333333333</v>
      </c>
      <c r="R24" s="165">
        <f>I24/3</f>
        <v>66.6666666666667</v>
      </c>
      <c r="S24" s="125">
        <f>L24+N24+N25+O24+R24</f>
        <v>200</v>
      </c>
      <c r="T24" s="175">
        <f>I24-S24</f>
        <v>0</v>
      </c>
      <c r="U24" s="167">
        <f>I24*5</f>
        <v>1000</v>
      </c>
      <c r="V24" s="27" t="str">
        <f>V22</f>
        <v>PARCELA 10 DE 15</v>
      </c>
      <c r="W24" s="30" t="s">
        <v>60</v>
      </c>
      <c r="X24" s="27" t="s">
        <v>132</v>
      </c>
      <c r="Y24" s="30"/>
      <c r="Z24" s="194"/>
      <c r="AA24" s="143"/>
      <c r="AB24" s="194"/>
      <c r="AC24" s="194"/>
      <c r="AD24" s="143"/>
      <c r="AE24" s="143"/>
      <c r="AF24" s="2"/>
      <c r="AG24" s="2"/>
      <c r="AH24" s="2"/>
      <c r="AI24" s="2"/>
      <c r="AJ24" s="2"/>
      <c r="AK24" s="2"/>
    </row>
    <row r="25" spans="1:37">
      <c r="A25" s="28"/>
      <c r="B25" s="39"/>
      <c r="C25" s="28"/>
      <c r="D25" s="28"/>
      <c r="E25" s="28"/>
      <c r="F25" s="36"/>
      <c r="G25" s="30"/>
      <c r="H25" s="30"/>
      <c r="I25" s="30"/>
      <c r="J25" s="30"/>
      <c r="K25" s="27"/>
      <c r="L25" s="97"/>
      <c r="M25" s="92" t="s">
        <v>31</v>
      </c>
      <c r="N25" s="98">
        <f>I24/3/2</f>
        <v>33.3333333333333</v>
      </c>
      <c r="O25" s="27"/>
      <c r="P25" s="82"/>
      <c r="Q25" s="157"/>
      <c r="R25" s="27"/>
      <c r="S25" s="27"/>
      <c r="T25" s="27"/>
      <c r="U25" s="27"/>
      <c r="V25" s="27"/>
      <c r="W25" s="30"/>
      <c r="X25" s="30"/>
      <c r="Y25" s="30"/>
      <c r="Z25" s="194"/>
      <c r="AA25" s="194"/>
      <c r="AB25" s="194"/>
      <c r="AC25" s="194"/>
      <c r="AD25" s="143"/>
      <c r="AE25" s="143"/>
      <c r="AF25" s="2"/>
      <c r="AG25" s="2"/>
      <c r="AH25" s="2"/>
      <c r="AI25" s="2"/>
      <c r="AJ25" s="2"/>
      <c r="AK25" s="2"/>
    </row>
    <row r="26" spans="1:39">
      <c r="A26" s="21">
        <v>45724</v>
      </c>
      <c r="B26" s="27">
        <v>18</v>
      </c>
      <c r="C26" s="21" t="s">
        <v>25</v>
      </c>
      <c r="D26" s="28" t="s">
        <v>133</v>
      </c>
      <c r="E26" s="49" t="s">
        <v>36</v>
      </c>
      <c r="F26" s="28" t="s">
        <v>134</v>
      </c>
      <c r="G26" s="30">
        <v>4236</v>
      </c>
      <c r="H26" s="27" t="s">
        <v>135</v>
      </c>
      <c r="I26" s="29">
        <v>423.6</v>
      </c>
      <c r="J26" s="95" t="s">
        <v>48</v>
      </c>
      <c r="K26" s="92" t="s">
        <v>31</v>
      </c>
      <c r="L26" s="92">
        <f t="shared" si="2"/>
        <v>42.36</v>
      </c>
      <c r="M26" s="86" t="s">
        <v>40</v>
      </c>
      <c r="N26" s="86">
        <f t="shared" si="3"/>
        <v>141.2</v>
      </c>
      <c r="O26" s="87">
        <f t="shared" si="4"/>
        <v>98.84</v>
      </c>
      <c r="P26" s="88">
        <v>3</v>
      </c>
      <c r="Q26" s="86">
        <f>O26/P26</f>
        <v>32.9466666666667</v>
      </c>
      <c r="R26" s="165">
        <f t="shared" si="5"/>
        <v>141.2</v>
      </c>
      <c r="S26" s="125">
        <f t="shared" si="6"/>
        <v>423.6</v>
      </c>
      <c r="T26" s="166">
        <f>I26-S26</f>
        <v>0</v>
      </c>
      <c r="U26" s="168">
        <f>I26*3</f>
        <v>1270.8</v>
      </c>
      <c r="V26" s="30" t="s">
        <v>136</v>
      </c>
      <c r="W26" s="30" t="s">
        <v>137</v>
      </c>
      <c r="X26" s="30"/>
      <c r="Y26" s="30"/>
      <c r="Z26" s="194"/>
      <c r="AA26" s="194"/>
      <c r="AB26" s="194"/>
      <c r="AC26" s="194"/>
      <c r="AD26" s="194"/>
      <c r="AE26" s="143"/>
      <c r="AF26" s="143"/>
      <c r="AG26" s="2"/>
      <c r="AH26" s="2"/>
      <c r="AI26" s="2"/>
      <c r="AJ26" s="2"/>
      <c r="AK26" s="2"/>
      <c r="AL26" s="2"/>
      <c r="AM26" s="2"/>
    </row>
    <row r="27" spans="1:37">
      <c r="A27" s="21">
        <v>45724</v>
      </c>
      <c r="B27" s="27">
        <v>19</v>
      </c>
      <c r="C27" s="21" t="s">
        <v>25</v>
      </c>
      <c r="D27" s="28" t="s">
        <v>138</v>
      </c>
      <c r="E27" s="47" t="s">
        <v>62</v>
      </c>
      <c r="F27" s="34" t="s">
        <v>63</v>
      </c>
      <c r="G27" s="30">
        <v>5000</v>
      </c>
      <c r="H27" s="27" t="s">
        <v>64</v>
      </c>
      <c r="I27" s="104">
        <v>200</v>
      </c>
      <c r="J27" s="95" t="s">
        <v>48</v>
      </c>
      <c r="K27" s="85" t="s">
        <v>58</v>
      </c>
      <c r="L27" s="85">
        <v>20</v>
      </c>
      <c r="M27" s="96" t="s">
        <v>58</v>
      </c>
      <c r="N27" s="96">
        <v>33.3333333333333</v>
      </c>
      <c r="O27" s="87">
        <v>46.6666666666667</v>
      </c>
      <c r="P27" s="82">
        <v>2</v>
      </c>
      <c r="Q27" s="157">
        <v>15.5555555555556</v>
      </c>
      <c r="R27" s="165">
        <v>66.6666666666667</v>
      </c>
      <c r="S27" s="125">
        <v>200</v>
      </c>
      <c r="T27" s="166">
        <v>0</v>
      </c>
      <c r="U27" s="167">
        <f>I27*9</f>
        <v>1800</v>
      </c>
      <c r="V27" s="27" t="s">
        <v>139</v>
      </c>
      <c r="W27" s="30" t="s">
        <v>140</v>
      </c>
      <c r="X27" s="30" t="s">
        <v>141</v>
      </c>
      <c r="Y27" s="28"/>
      <c r="Z27" s="2"/>
      <c r="AA27" s="143"/>
      <c r="AB27" s="2"/>
      <c r="AC27" s="2"/>
      <c r="AD27" s="2"/>
      <c r="AE27" s="2"/>
      <c r="AF27" s="2"/>
      <c r="AG27" s="2"/>
      <c r="AH27" s="2"/>
      <c r="AI27" s="2"/>
      <c r="AJ27" s="2"/>
      <c r="AK27" s="2"/>
    </row>
    <row r="28" spans="1:37">
      <c r="A28" s="27"/>
      <c r="B28" s="39"/>
      <c r="C28" s="27"/>
      <c r="D28" s="28"/>
      <c r="E28" s="28"/>
      <c r="F28" s="34"/>
      <c r="G28" s="30"/>
      <c r="H28" s="28"/>
      <c r="I28" s="30"/>
      <c r="J28" s="27"/>
      <c r="K28" s="30"/>
      <c r="L28" s="27"/>
      <c r="M28" s="98" t="s">
        <v>31</v>
      </c>
      <c r="N28" s="98">
        <v>33.3333333333333</v>
      </c>
      <c r="O28" s="28"/>
      <c r="P28" s="115"/>
      <c r="Q28" s="157"/>
      <c r="R28" s="27"/>
      <c r="S28" s="27"/>
      <c r="T28" s="27"/>
      <c r="U28" s="27"/>
      <c r="V28" s="27"/>
      <c r="W28" s="30"/>
      <c r="X28" s="30"/>
      <c r="Y28" s="28"/>
      <c r="Z28" s="2"/>
      <c r="AA28" s="143"/>
      <c r="AB28" s="2"/>
      <c r="AC28" s="2"/>
      <c r="AD28" s="2"/>
      <c r="AE28" s="2"/>
      <c r="AF28" s="2"/>
      <c r="AG28" s="2"/>
      <c r="AH28" s="2"/>
      <c r="AI28" s="2"/>
      <c r="AJ28" s="2"/>
      <c r="AK28" s="2"/>
    </row>
    <row r="29" spans="1:37">
      <c r="A29" s="21">
        <v>45724</v>
      </c>
      <c r="B29" s="27">
        <v>20</v>
      </c>
      <c r="C29" s="21" t="s">
        <v>25</v>
      </c>
      <c r="D29" s="28" t="s">
        <v>142</v>
      </c>
      <c r="E29" s="37" t="s">
        <v>62</v>
      </c>
      <c r="F29" s="34" t="s">
        <v>63</v>
      </c>
      <c r="G29" s="30">
        <v>5000</v>
      </c>
      <c r="H29" s="27" t="s">
        <v>64</v>
      </c>
      <c r="I29" s="99">
        <v>200</v>
      </c>
      <c r="J29" s="95" t="str">
        <f>J27</f>
        <v>PIX JS PJ</v>
      </c>
      <c r="K29" s="85" t="s">
        <v>58</v>
      </c>
      <c r="L29" s="85">
        <f>I29*10/100</f>
        <v>20</v>
      </c>
      <c r="M29" s="96" t="s">
        <v>58</v>
      </c>
      <c r="N29" s="96">
        <f>I29/3/2</f>
        <v>33.3333333333333</v>
      </c>
      <c r="O29" s="87">
        <f>I29/3-L29</f>
        <v>46.6666666666667</v>
      </c>
      <c r="P29" s="82">
        <v>2</v>
      </c>
      <c r="Q29" s="157">
        <f>O29/P29</f>
        <v>23.3333333333333</v>
      </c>
      <c r="R29" s="165">
        <f>I29/3</f>
        <v>66.6666666666667</v>
      </c>
      <c r="S29" s="125">
        <f>L29+N29+N30+O29+R29</f>
        <v>200</v>
      </c>
      <c r="T29" s="166">
        <f>I29-S29</f>
        <v>0</v>
      </c>
      <c r="U29" s="167">
        <f>200*7</f>
        <v>1400</v>
      </c>
      <c r="V29" s="27" t="s">
        <v>143</v>
      </c>
      <c r="W29" s="30" t="s">
        <v>144</v>
      </c>
      <c r="X29" s="30"/>
      <c r="Y29" s="30"/>
      <c r="Z29" s="194"/>
      <c r="AA29" s="143"/>
      <c r="AB29" s="2"/>
      <c r="AC29" s="194"/>
      <c r="AD29" s="143"/>
      <c r="AE29" s="143"/>
      <c r="AF29" s="2"/>
      <c r="AG29" s="2"/>
      <c r="AH29" s="2"/>
      <c r="AI29" s="2"/>
      <c r="AJ29" s="2"/>
      <c r="AK29" s="2"/>
    </row>
    <row r="30" spans="1:37">
      <c r="A30" s="27"/>
      <c r="B30" s="39"/>
      <c r="C30" s="27"/>
      <c r="D30" s="28"/>
      <c r="E30" s="27"/>
      <c r="F30" s="34"/>
      <c r="G30" s="30"/>
      <c r="H30" s="28"/>
      <c r="I30" s="30"/>
      <c r="J30" s="27"/>
      <c r="K30" s="30"/>
      <c r="L30" s="27"/>
      <c r="M30" s="98" t="s">
        <v>67</v>
      </c>
      <c r="N30" s="98">
        <f>I29/3/2</f>
        <v>33.3333333333333</v>
      </c>
      <c r="O30" s="27"/>
      <c r="P30" s="82"/>
      <c r="Q30" s="157"/>
      <c r="R30" s="27"/>
      <c r="S30" s="27"/>
      <c r="T30" s="27"/>
      <c r="U30" s="27"/>
      <c r="V30" s="27"/>
      <c r="W30" s="30"/>
      <c r="X30" s="30"/>
      <c r="Y30" s="30"/>
      <c r="Z30" s="194"/>
      <c r="AA30" s="143"/>
      <c r="AB30" s="2"/>
      <c r="AC30" s="194"/>
      <c r="AD30" s="143"/>
      <c r="AE30" s="143"/>
      <c r="AF30" s="2"/>
      <c r="AG30" s="2"/>
      <c r="AH30" s="2"/>
      <c r="AI30" s="2"/>
      <c r="AJ30" s="2"/>
      <c r="AK30" s="2"/>
    </row>
    <row r="31" s="2" customFormat="1" ht="12.75" spans="1:29">
      <c r="A31" s="21">
        <v>45726</v>
      </c>
      <c r="B31" s="27">
        <v>21</v>
      </c>
      <c r="C31" s="21" t="s">
        <v>25</v>
      </c>
      <c r="D31" s="28" t="s">
        <v>145</v>
      </c>
      <c r="E31" s="31" t="s">
        <v>45</v>
      </c>
      <c r="F31" s="28" t="s">
        <v>146</v>
      </c>
      <c r="G31" s="30">
        <v>3150</v>
      </c>
      <c r="H31" s="27" t="s">
        <v>147</v>
      </c>
      <c r="I31" s="89">
        <v>500</v>
      </c>
      <c r="J31" s="84" t="s">
        <v>48</v>
      </c>
      <c r="K31" s="85" t="s">
        <v>58</v>
      </c>
      <c r="L31" s="85">
        <f>I31*10/100</f>
        <v>50</v>
      </c>
      <c r="M31" s="92" t="s">
        <v>31</v>
      </c>
      <c r="N31" s="93">
        <f>I31/3</f>
        <v>166.666666666667</v>
      </c>
      <c r="O31" s="87">
        <f>I31/3-L31</f>
        <v>116.666666666667</v>
      </c>
      <c r="P31" s="82">
        <v>2</v>
      </c>
      <c r="Q31" s="157">
        <f>O31/P31</f>
        <v>58.3333333333333</v>
      </c>
      <c r="R31" s="165">
        <f>I31/3</f>
        <v>166.666666666667</v>
      </c>
      <c r="S31" s="125">
        <f>L31+N31+O31+R31</f>
        <v>500</v>
      </c>
      <c r="T31" s="166">
        <f>I31-S31</f>
        <v>0</v>
      </c>
      <c r="U31" s="167">
        <f>I31*1</f>
        <v>500</v>
      </c>
      <c r="V31" s="27" t="s">
        <v>148</v>
      </c>
      <c r="W31" s="27" t="s">
        <v>149</v>
      </c>
      <c r="X31" s="30"/>
      <c r="Y31" s="28"/>
      <c r="AB31" s="143"/>
      <c r="AC31" s="143"/>
    </row>
    <row r="32" s="2" customFormat="1" ht="12.75" spans="1:29">
      <c r="A32" s="21">
        <v>45726</v>
      </c>
      <c r="B32" s="27">
        <v>22</v>
      </c>
      <c r="C32" s="21" t="s">
        <v>25</v>
      </c>
      <c r="D32" s="28" t="s">
        <v>150</v>
      </c>
      <c r="E32" s="31" t="s">
        <v>45</v>
      </c>
      <c r="F32" s="28" t="s">
        <v>151</v>
      </c>
      <c r="G32" s="30">
        <v>5000</v>
      </c>
      <c r="H32" s="27" t="s">
        <v>152</v>
      </c>
      <c r="I32" s="89">
        <v>600</v>
      </c>
      <c r="J32" s="84" t="s">
        <v>48</v>
      </c>
      <c r="K32" s="116" t="s">
        <v>101</v>
      </c>
      <c r="L32" s="117">
        <f t="shared" ref="L32" si="7">I32*10/100</f>
        <v>60</v>
      </c>
      <c r="M32" s="92" t="s">
        <v>31</v>
      </c>
      <c r="N32" s="93">
        <f>I32/3/2</f>
        <v>100</v>
      </c>
      <c r="O32" s="87">
        <f>I32/3-L32</f>
        <v>140</v>
      </c>
      <c r="P32" s="116">
        <v>3</v>
      </c>
      <c r="Q32" s="117">
        <f>O32/P32</f>
        <v>46.6666666666667</v>
      </c>
      <c r="R32" s="162">
        <f>N32+N33</f>
        <v>200</v>
      </c>
      <c r="S32" s="125">
        <f>L32+N32+N33+O32+R32</f>
        <v>600</v>
      </c>
      <c r="T32" s="163">
        <f>I32-S32</f>
        <v>0</v>
      </c>
      <c r="U32" s="164">
        <f>I32*4+200</f>
        <v>2600</v>
      </c>
      <c r="V32" s="53" t="s">
        <v>153</v>
      </c>
      <c r="W32" s="30" t="s">
        <v>33</v>
      </c>
      <c r="X32" s="30"/>
      <c r="Y32" s="28"/>
      <c r="AB32" s="143"/>
      <c r="AC32" s="143"/>
    </row>
    <row r="33" s="4" customFormat="1" ht="12.75" spans="1:29">
      <c r="A33" s="54"/>
      <c r="B33" s="39"/>
      <c r="C33" s="54"/>
      <c r="D33" s="32"/>
      <c r="E33" s="55"/>
      <c r="F33" s="32"/>
      <c r="G33" s="56"/>
      <c r="H33" s="55"/>
      <c r="I33" s="56"/>
      <c r="J33" s="118"/>
      <c r="K33" s="119"/>
      <c r="L33" s="120"/>
      <c r="M33" s="116" t="s">
        <v>101</v>
      </c>
      <c r="N33" s="117">
        <f>N32</f>
        <v>100</v>
      </c>
      <c r="O33" s="120"/>
      <c r="P33" s="82"/>
      <c r="Q33" s="157"/>
      <c r="R33" s="176"/>
      <c r="S33" s="157"/>
      <c r="T33" s="177"/>
      <c r="U33" s="178"/>
      <c r="V33" s="178"/>
      <c r="W33" s="56"/>
      <c r="X33" s="56"/>
      <c r="Y33" s="32"/>
      <c r="AB33" s="206"/>
      <c r="AC33" s="206"/>
    </row>
    <row r="34" s="2" customFormat="1" ht="12.75" spans="1:29">
      <c r="A34" s="21">
        <v>45726</v>
      </c>
      <c r="B34" s="27">
        <v>23</v>
      </c>
      <c r="C34" s="21" t="s">
        <v>25</v>
      </c>
      <c r="D34" s="28" t="s">
        <v>154</v>
      </c>
      <c r="E34" s="37" t="s">
        <v>62</v>
      </c>
      <c r="F34" s="34" t="s">
        <v>155</v>
      </c>
      <c r="G34" s="30">
        <v>2200</v>
      </c>
      <c r="H34" s="27" t="s">
        <v>156</v>
      </c>
      <c r="I34" s="99">
        <v>100</v>
      </c>
      <c r="J34" s="95" t="s">
        <v>128</v>
      </c>
      <c r="K34" s="92" t="s">
        <v>31</v>
      </c>
      <c r="L34" s="92">
        <f>I34*10/100</f>
        <v>10</v>
      </c>
      <c r="M34" s="100" t="str">
        <f>M47</f>
        <v>JÉTER</v>
      </c>
      <c r="N34" s="100">
        <f>I34/3</f>
        <v>33.3333333333333</v>
      </c>
      <c r="O34" s="87">
        <f>I34/3-L34</f>
        <v>23.3333333333333</v>
      </c>
      <c r="P34" s="82">
        <v>2</v>
      </c>
      <c r="Q34" s="157">
        <f>O34/P34</f>
        <v>11.6666666666667</v>
      </c>
      <c r="R34" s="179">
        <f>I34/3</f>
        <v>33.3333333333333</v>
      </c>
      <c r="S34" s="125">
        <f>L34+N34+O34+R34</f>
        <v>100</v>
      </c>
      <c r="T34" s="166">
        <f>I34-S34</f>
        <v>0</v>
      </c>
      <c r="U34" s="168">
        <f>I34*4</f>
        <v>400</v>
      </c>
      <c r="V34" s="27" t="s">
        <v>157</v>
      </c>
      <c r="W34" s="30" t="s">
        <v>85</v>
      </c>
      <c r="X34" s="30"/>
      <c r="Y34" s="28"/>
      <c r="AB34" s="143"/>
      <c r="AC34" s="143"/>
    </row>
    <row r="35" spans="1:40">
      <c r="A35" s="21">
        <v>45726</v>
      </c>
      <c r="B35" s="27">
        <v>24</v>
      </c>
      <c r="C35" s="21" t="s">
        <v>25</v>
      </c>
      <c r="D35" s="28" t="s">
        <v>158</v>
      </c>
      <c r="E35" s="37" t="s">
        <v>62</v>
      </c>
      <c r="F35" s="34" t="s">
        <v>63</v>
      </c>
      <c r="G35" s="30">
        <v>5000</v>
      </c>
      <c r="H35" s="27" t="s">
        <v>159</v>
      </c>
      <c r="I35" s="99">
        <v>500</v>
      </c>
      <c r="J35" s="95" t="s">
        <v>48</v>
      </c>
      <c r="K35" s="85" t="s">
        <v>30</v>
      </c>
      <c r="L35" s="85">
        <f t="shared" ref="L35" si="8">I35*10/100</f>
        <v>50</v>
      </c>
      <c r="M35" s="96" t="s">
        <v>30</v>
      </c>
      <c r="N35" s="96">
        <f>I35/3/2</f>
        <v>83.3333333333333</v>
      </c>
      <c r="O35" s="87">
        <f>I35*23.3333/100</f>
        <v>116.6665</v>
      </c>
      <c r="P35" s="82">
        <v>3</v>
      </c>
      <c r="Q35" s="157">
        <v>19.4444444444444</v>
      </c>
      <c r="R35" s="165">
        <f t="shared" ref="R35" si="9">I35/3</f>
        <v>166.666666666667</v>
      </c>
      <c r="S35" s="95">
        <f>L35+N35+N36+O35+R35</f>
        <v>499.999833333333</v>
      </c>
      <c r="T35" s="180">
        <v>0</v>
      </c>
      <c r="U35" s="167">
        <f>250*10</f>
        <v>2500</v>
      </c>
      <c r="V35" s="27" t="s">
        <v>160</v>
      </c>
      <c r="W35" s="30" t="s">
        <v>161</v>
      </c>
      <c r="X35" s="30"/>
      <c r="Y35" s="28"/>
      <c r="Z35" s="2"/>
      <c r="AA35" s="2"/>
      <c r="AB35" s="143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</row>
    <row r="36" spans="1:40">
      <c r="A36" s="38"/>
      <c r="B36" s="27"/>
      <c r="C36" s="27"/>
      <c r="D36" s="28"/>
      <c r="E36" s="27"/>
      <c r="F36" s="34"/>
      <c r="G36" s="30"/>
      <c r="H36" s="28"/>
      <c r="I36" s="30"/>
      <c r="J36" s="27"/>
      <c r="K36" s="30"/>
      <c r="L36" s="28"/>
      <c r="M36" s="100" t="s">
        <v>67</v>
      </c>
      <c r="N36" s="98">
        <f>N35</f>
        <v>83.3333333333333</v>
      </c>
      <c r="O36" s="27"/>
      <c r="P36" s="27"/>
      <c r="Q36" s="27"/>
      <c r="R36" s="27"/>
      <c r="S36" s="27"/>
      <c r="T36" s="27"/>
      <c r="U36" s="27"/>
      <c r="V36" s="27"/>
      <c r="W36" s="30"/>
      <c r="X36" s="30"/>
      <c r="Y36" s="28"/>
      <c r="Z36" s="2"/>
      <c r="AA36" s="2"/>
      <c r="AB36" s="143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</row>
    <row r="37" spans="1:39">
      <c r="A37" s="21">
        <v>45728</v>
      </c>
      <c r="B37" s="27">
        <v>25</v>
      </c>
      <c r="C37" s="21" t="s">
        <v>25</v>
      </c>
      <c r="D37" s="28" t="s">
        <v>162</v>
      </c>
      <c r="E37" s="37" t="s">
        <v>62</v>
      </c>
      <c r="F37" s="34" t="s">
        <v>63</v>
      </c>
      <c r="G37" s="30">
        <v>5000</v>
      </c>
      <c r="H37" s="27" t="s">
        <v>64</v>
      </c>
      <c r="I37" s="99">
        <v>200</v>
      </c>
      <c r="J37" s="95">
        <f>J75</f>
        <v>0</v>
      </c>
      <c r="K37" s="85" t="s">
        <v>30</v>
      </c>
      <c r="L37" s="85">
        <f>I37*10/100</f>
        <v>20</v>
      </c>
      <c r="M37" s="96" t="str">
        <f>K37</f>
        <v>J.S</v>
      </c>
      <c r="N37" s="96">
        <f>I37/3/2</f>
        <v>33.3333333333333</v>
      </c>
      <c r="O37" s="87">
        <f>I37/3-L37</f>
        <v>46.6666666666667</v>
      </c>
      <c r="P37" s="82">
        <v>2</v>
      </c>
      <c r="Q37" s="157">
        <f>O37/P37</f>
        <v>23.3333333333333</v>
      </c>
      <c r="R37" s="165">
        <f>I37/3</f>
        <v>66.6666666666667</v>
      </c>
      <c r="S37" s="125">
        <f>L37+N37+N38+O37+R37</f>
        <v>200</v>
      </c>
      <c r="T37" s="166">
        <f>I37-S37</f>
        <v>0</v>
      </c>
      <c r="U37" s="167">
        <f>200*8</f>
        <v>1600</v>
      </c>
      <c r="V37" s="27" t="s">
        <v>139</v>
      </c>
      <c r="W37" s="30" t="s">
        <v>140</v>
      </c>
      <c r="X37" s="27" t="s">
        <v>130</v>
      </c>
      <c r="Y37" s="27"/>
      <c r="Z37" s="143"/>
      <c r="AA37" s="2"/>
      <c r="AB37" s="194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</row>
    <row r="38" spans="1:39">
      <c r="A38" s="27"/>
      <c r="B38" s="27"/>
      <c r="C38" s="27"/>
      <c r="D38" s="28"/>
      <c r="E38" s="27"/>
      <c r="F38" s="34"/>
      <c r="G38" s="30"/>
      <c r="H38" s="28"/>
      <c r="I38" s="30"/>
      <c r="J38" s="27"/>
      <c r="K38" s="30"/>
      <c r="L38" s="27"/>
      <c r="M38" s="98" t="s">
        <v>67</v>
      </c>
      <c r="N38" s="98">
        <f>I37/3/2</f>
        <v>33.3333333333333</v>
      </c>
      <c r="O38" s="27"/>
      <c r="P38" s="82"/>
      <c r="Q38" s="157"/>
      <c r="R38" s="27"/>
      <c r="S38" s="27"/>
      <c r="T38" s="27"/>
      <c r="U38" s="27"/>
      <c r="V38" s="27"/>
      <c r="W38" s="30"/>
      <c r="X38" s="30"/>
      <c r="Y38" s="30"/>
      <c r="Z38" s="194"/>
      <c r="AA38" s="143"/>
      <c r="AB38" s="2"/>
      <c r="AC38" s="194"/>
      <c r="AD38" s="143"/>
      <c r="AE38" s="143"/>
      <c r="AF38" s="2"/>
      <c r="AG38" s="2"/>
      <c r="AH38" s="2"/>
      <c r="AI38" s="2"/>
      <c r="AJ38" s="2"/>
      <c r="AK38" s="2"/>
      <c r="AL38" s="2"/>
      <c r="AM38" s="2"/>
    </row>
    <row r="39" s="5" customFormat="1" ht="12.75" spans="1:40">
      <c r="A39" s="21">
        <v>45728</v>
      </c>
      <c r="B39" s="27">
        <v>26</v>
      </c>
      <c r="C39" s="21" t="s">
        <v>25</v>
      </c>
      <c r="D39" s="52" t="s">
        <v>163</v>
      </c>
      <c r="E39" s="57" t="str">
        <f>[2]RECEITAS!$E$36</f>
        <v>EMPRESARIAL</v>
      </c>
      <c r="F39" s="52" t="s">
        <v>164</v>
      </c>
      <c r="G39" s="53">
        <v>11880</v>
      </c>
      <c r="H39" s="53" t="s">
        <v>165</v>
      </c>
      <c r="I39" s="121">
        <v>378</v>
      </c>
      <c r="J39" s="122" t="str">
        <f>J24</f>
        <v>BOLETO PJ </v>
      </c>
      <c r="K39" s="108" t="s">
        <v>30</v>
      </c>
      <c r="L39" s="108">
        <f t="shared" ref="L39:L42" si="10">I39*10/100</f>
        <v>37.8</v>
      </c>
      <c r="M39" s="108" t="s">
        <v>30</v>
      </c>
      <c r="N39" s="108">
        <f t="shared" ref="N39:N42" si="11">I39/3</f>
        <v>126</v>
      </c>
      <c r="O39" s="87">
        <f t="shared" ref="O39:O42" si="12">I39/3-L39</f>
        <v>88.2</v>
      </c>
      <c r="P39" s="82">
        <v>2</v>
      </c>
      <c r="Q39" s="157">
        <f>O39/P39</f>
        <v>44.1</v>
      </c>
      <c r="R39" s="162">
        <f t="shared" ref="R39:R43" si="13">I39/3</f>
        <v>126</v>
      </c>
      <c r="S39" s="125">
        <f t="shared" ref="S39:S42" si="14">L39+N39+O39+R39</f>
        <v>378</v>
      </c>
      <c r="T39" s="163">
        <f>I39-S39</f>
        <v>0</v>
      </c>
      <c r="U39" s="164">
        <f>I39*18</f>
        <v>6804</v>
      </c>
      <c r="V39" s="53" t="s">
        <v>166</v>
      </c>
      <c r="W39" s="53" t="s">
        <v>167</v>
      </c>
      <c r="X39" s="30" t="s">
        <v>168</v>
      </c>
      <c r="Y39" s="30"/>
      <c r="Z39" s="194"/>
      <c r="AA39" s="194"/>
      <c r="AB39" s="143"/>
      <c r="AC39" s="2"/>
      <c r="AD39" s="194"/>
      <c r="AE39" s="143"/>
      <c r="AF39" s="143"/>
      <c r="AG39" s="2"/>
      <c r="AH39" s="2"/>
      <c r="AI39" s="2"/>
      <c r="AJ39" s="2"/>
      <c r="AK39" s="2"/>
      <c r="AL39" s="2"/>
      <c r="AM39" s="2"/>
      <c r="AN39" s="2"/>
    </row>
    <row r="40" s="5" customFormat="1" ht="12.75" spans="1:40">
      <c r="A40" s="21">
        <v>45728</v>
      </c>
      <c r="B40" s="27">
        <v>27</v>
      </c>
      <c r="C40" s="21" t="s">
        <v>25</v>
      </c>
      <c r="D40" s="28" t="s">
        <v>169</v>
      </c>
      <c r="E40" s="29" t="s">
        <v>36</v>
      </c>
      <c r="F40" s="28" t="s">
        <v>170</v>
      </c>
      <c r="G40" s="30">
        <v>773.13</v>
      </c>
      <c r="H40" s="27" t="s">
        <v>171</v>
      </c>
      <c r="I40" s="83">
        <v>773.13</v>
      </c>
      <c r="J40" s="84" t="s">
        <v>172</v>
      </c>
      <c r="K40" s="92" t="s">
        <v>31</v>
      </c>
      <c r="L40" s="92">
        <f t="shared" si="10"/>
        <v>77.313</v>
      </c>
      <c r="M40" s="100" t="str">
        <f>M133</f>
        <v>JÉTER</v>
      </c>
      <c r="N40" s="100">
        <f t="shared" si="11"/>
        <v>257.71</v>
      </c>
      <c r="O40" s="87">
        <f t="shared" si="12"/>
        <v>180.397</v>
      </c>
      <c r="P40" s="82">
        <v>2</v>
      </c>
      <c r="Q40" s="157">
        <f>O40/P40</f>
        <v>90.1985</v>
      </c>
      <c r="R40" s="179">
        <f t="shared" si="13"/>
        <v>257.71</v>
      </c>
      <c r="S40" s="125">
        <f t="shared" si="14"/>
        <v>773.13</v>
      </c>
      <c r="T40" s="166">
        <f>I40-S40</f>
        <v>0</v>
      </c>
      <c r="U40" s="168">
        <f>I40*4</f>
        <v>3092.52</v>
      </c>
      <c r="V40" s="27" t="s">
        <v>157</v>
      </c>
      <c r="W40" s="30" t="s">
        <v>85</v>
      </c>
      <c r="X40" s="30"/>
      <c r="Y40" s="30"/>
      <c r="Z40" s="194"/>
      <c r="AA40" s="194"/>
      <c r="AB40" s="143"/>
      <c r="AC40" s="2"/>
      <c r="AD40" s="194"/>
      <c r="AE40" s="143"/>
      <c r="AF40" s="143"/>
      <c r="AG40" s="2"/>
      <c r="AH40" s="2"/>
      <c r="AI40" s="2"/>
      <c r="AJ40" s="2"/>
      <c r="AK40" s="2"/>
      <c r="AL40" s="2"/>
      <c r="AM40" s="2"/>
      <c r="AN40" s="2"/>
    </row>
    <row r="41" s="5" customFormat="1" ht="12.75" spans="1:40">
      <c r="A41" s="21">
        <v>45728</v>
      </c>
      <c r="B41" s="27">
        <v>28</v>
      </c>
      <c r="C41" s="21" t="s">
        <v>25</v>
      </c>
      <c r="D41" s="28" t="s">
        <v>173</v>
      </c>
      <c r="E41" s="29" t="s">
        <v>36</v>
      </c>
      <c r="F41" s="28" t="s">
        <v>174</v>
      </c>
      <c r="G41" s="30">
        <v>12000</v>
      </c>
      <c r="H41" s="27" t="s">
        <v>175</v>
      </c>
      <c r="I41" s="83">
        <v>1000</v>
      </c>
      <c r="J41" s="84" t="str">
        <f>J54</f>
        <v>BOLETO PJ </v>
      </c>
      <c r="K41" s="85" t="s">
        <v>30</v>
      </c>
      <c r="L41" s="85">
        <f t="shared" si="10"/>
        <v>100</v>
      </c>
      <c r="M41" s="112" t="s">
        <v>40</v>
      </c>
      <c r="N41" s="112">
        <f t="shared" si="11"/>
        <v>333.333333333333</v>
      </c>
      <c r="O41" s="87">
        <f t="shared" si="12"/>
        <v>233.333333333333</v>
      </c>
      <c r="P41" s="88">
        <v>3</v>
      </c>
      <c r="Q41" s="86">
        <f>O41/3</f>
        <v>77.7777777777778</v>
      </c>
      <c r="R41" s="162">
        <f t="shared" si="13"/>
        <v>333.333333333333</v>
      </c>
      <c r="S41" s="125">
        <f t="shared" si="14"/>
        <v>1000</v>
      </c>
      <c r="T41" s="163">
        <v>0</v>
      </c>
      <c r="U41" s="164">
        <f>I41*5</f>
        <v>5000</v>
      </c>
      <c r="V41" s="53" t="s">
        <v>176</v>
      </c>
      <c r="W41" s="30" t="s">
        <v>122</v>
      </c>
      <c r="X41" s="30" t="s">
        <v>177</v>
      </c>
      <c r="Y41" s="30"/>
      <c r="Z41" s="194"/>
      <c r="AA41" s="194"/>
      <c r="AB41" s="143"/>
      <c r="AC41" s="2"/>
      <c r="AD41" s="194"/>
      <c r="AE41" s="143"/>
      <c r="AF41" s="143"/>
      <c r="AG41" s="2"/>
      <c r="AH41" s="2"/>
      <c r="AI41" s="2"/>
      <c r="AJ41" s="2"/>
      <c r="AK41" s="2"/>
      <c r="AL41" s="2"/>
      <c r="AM41" s="2"/>
      <c r="AN41" s="2"/>
    </row>
    <row r="42" s="2" customFormat="1" ht="12.75" spans="1:29">
      <c r="A42" s="21">
        <v>45729</v>
      </c>
      <c r="B42" s="27">
        <v>29</v>
      </c>
      <c r="C42" s="21" t="s">
        <v>25</v>
      </c>
      <c r="D42" s="28" t="s">
        <v>178</v>
      </c>
      <c r="E42" s="37" t="s">
        <v>62</v>
      </c>
      <c r="F42" s="34" t="s">
        <v>179</v>
      </c>
      <c r="G42" s="30">
        <v>11714.14</v>
      </c>
      <c r="H42" s="27" t="s">
        <v>180</v>
      </c>
      <c r="I42" s="99">
        <v>3251.33</v>
      </c>
      <c r="J42" s="95" t="str">
        <f>J22</f>
        <v>BOLETO PJ </v>
      </c>
      <c r="K42" s="123" t="s">
        <v>30</v>
      </c>
      <c r="L42" s="123">
        <f t="shared" si="10"/>
        <v>325.133</v>
      </c>
      <c r="M42" s="112" t="s">
        <v>40</v>
      </c>
      <c r="N42" s="112">
        <f t="shared" si="11"/>
        <v>1083.77666666667</v>
      </c>
      <c r="O42" s="87">
        <f t="shared" si="12"/>
        <v>758.643666666667</v>
      </c>
      <c r="P42" s="88">
        <v>3</v>
      </c>
      <c r="Q42" s="86">
        <f>O42/3</f>
        <v>252.881222222222</v>
      </c>
      <c r="R42" s="181">
        <f t="shared" si="13"/>
        <v>1083.77666666667</v>
      </c>
      <c r="S42" s="125">
        <f t="shared" si="14"/>
        <v>3251.33</v>
      </c>
      <c r="T42" s="182">
        <f>I42-S42</f>
        <v>0</v>
      </c>
      <c r="U42" s="183">
        <f>G42-6146.15-3251.33</f>
        <v>2316.66</v>
      </c>
      <c r="V42" s="184" t="s">
        <v>181</v>
      </c>
      <c r="W42" s="53" t="s">
        <v>182</v>
      </c>
      <c r="X42" s="30"/>
      <c r="Y42" s="28"/>
      <c r="AB42" s="143"/>
      <c r="AC42" s="143"/>
    </row>
    <row r="43" spans="1:39">
      <c r="A43" s="21">
        <v>45729</v>
      </c>
      <c r="B43" s="27">
        <v>30</v>
      </c>
      <c r="C43" s="21" t="s">
        <v>25</v>
      </c>
      <c r="D43" s="58" t="s">
        <v>183</v>
      </c>
      <c r="E43" s="29" t="s">
        <v>36</v>
      </c>
      <c r="F43" s="58" t="s">
        <v>184</v>
      </c>
      <c r="G43" s="59">
        <v>24500</v>
      </c>
      <c r="H43" s="60" t="s">
        <v>185</v>
      </c>
      <c r="I43" s="124">
        <v>750</v>
      </c>
      <c r="J43" s="125" t="s">
        <v>48</v>
      </c>
      <c r="K43" s="96" t="s">
        <v>30</v>
      </c>
      <c r="L43" s="126">
        <f t="shared" ref="L43" si="15">I43*10/100</f>
        <v>75</v>
      </c>
      <c r="M43" s="96" t="s">
        <v>30</v>
      </c>
      <c r="N43" s="96">
        <f>I43/3/2</f>
        <v>125</v>
      </c>
      <c r="O43" s="87">
        <f t="shared" ref="O43" si="16">I43/3-L43</f>
        <v>175</v>
      </c>
      <c r="P43" s="82">
        <v>2</v>
      </c>
      <c r="Q43" s="157">
        <f t="shared" ref="Q43" si="17">O43/P43</f>
        <v>87.5</v>
      </c>
      <c r="R43" s="179">
        <f t="shared" si="13"/>
        <v>250</v>
      </c>
      <c r="S43" s="95">
        <f>L43+N43+N44+O43+R43</f>
        <v>750</v>
      </c>
      <c r="T43" s="185">
        <f t="shared" ref="T43" si="18">I43-S43</f>
        <v>0</v>
      </c>
      <c r="U43" s="186">
        <f>S43*2</f>
        <v>1500</v>
      </c>
      <c r="V43" s="59" t="s">
        <v>186</v>
      </c>
      <c r="W43" s="30"/>
      <c r="X43" s="30" t="s">
        <v>187</v>
      </c>
      <c r="Y43" s="30"/>
      <c r="Z43" s="194"/>
      <c r="AA43" s="194"/>
      <c r="AB43" s="143"/>
      <c r="AC43" s="2"/>
      <c r="AD43" s="194"/>
      <c r="AE43" s="143"/>
      <c r="AF43" s="143"/>
      <c r="AG43" s="2"/>
      <c r="AH43" s="2"/>
      <c r="AI43" s="2"/>
      <c r="AJ43" s="2"/>
      <c r="AK43" s="2"/>
      <c r="AL43" s="2"/>
      <c r="AM43" s="2"/>
    </row>
    <row r="44" spans="1:39">
      <c r="A44" s="38"/>
      <c r="B44" s="39"/>
      <c r="C44" s="38"/>
      <c r="D44" s="28"/>
      <c r="E44" s="28"/>
      <c r="F44" s="34"/>
      <c r="G44" s="30"/>
      <c r="H44" s="28"/>
      <c r="I44" s="30"/>
      <c r="J44" s="27"/>
      <c r="K44" s="30"/>
      <c r="L44" s="27"/>
      <c r="M44" s="98" t="s">
        <v>31</v>
      </c>
      <c r="N44" s="98">
        <f>I43/3/2</f>
        <v>125</v>
      </c>
      <c r="O44" s="28"/>
      <c r="P44" s="115"/>
      <c r="Q44" s="157"/>
      <c r="R44" s="27"/>
      <c r="S44" s="27"/>
      <c r="T44" s="27"/>
      <c r="U44" s="27"/>
      <c r="V44" s="27"/>
      <c r="W44" s="30"/>
      <c r="X44" s="30"/>
      <c r="Y44" s="30"/>
      <c r="Z44" s="194"/>
      <c r="AA44" s="194"/>
      <c r="AB44" s="143"/>
      <c r="AC44" s="2"/>
      <c r="AD44" s="194"/>
      <c r="AE44" s="143"/>
      <c r="AF44" s="143"/>
      <c r="AG44" s="2"/>
      <c r="AH44" s="2"/>
      <c r="AI44" s="2"/>
      <c r="AJ44" s="2"/>
      <c r="AK44" s="2"/>
      <c r="AL44" s="2"/>
      <c r="AM44" s="2"/>
    </row>
    <row r="45" spans="1:39">
      <c r="A45" s="21">
        <v>45729</v>
      </c>
      <c r="B45" s="27">
        <v>31</v>
      </c>
      <c r="C45" s="21" t="s">
        <v>25</v>
      </c>
      <c r="D45" s="58" t="s">
        <v>183</v>
      </c>
      <c r="E45" s="61" t="s">
        <v>188</v>
      </c>
      <c r="F45" s="58" t="s">
        <v>189</v>
      </c>
      <c r="G45" s="59">
        <v>4250</v>
      </c>
      <c r="H45" s="60" t="s">
        <v>190</v>
      </c>
      <c r="I45" s="90">
        <v>250</v>
      </c>
      <c r="J45" s="125" t="s">
        <v>48</v>
      </c>
      <c r="K45" s="85" t="s">
        <v>30</v>
      </c>
      <c r="L45" s="85">
        <f>I45*10/100</f>
        <v>25</v>
      </c>
      <c r="M45" s="86" t="s">
        <v>40</v>
      </c>
      <c r="N45" s="86">
        <f>I45/3</f>
        <v>83.3333333333333</v>
      </c>
      <c r="O45" s="87">
        <f>I45/3-L45</f>
        <v>58.3333333333333</v>
      </c>
      <c r="P45" s="88">
        <v>3</v>
      </c>
      <c r="Q45" s="86">
        <f>O45/P45</f>
        <v>19.4444444444444</v>
      </c>
      <c r="R45" s="162">
        <f>I45/3</f>
        <v>83.3333333333333</v>
      </c>
      <c r="S45" s="125">
        <f>L45+N45+O45+R45</f>
        <v>250</v>
      </c>
      <c r="T45" s="163">
        <v>0</v>
      </c>
      <c r="U45" s="164">
        <f>I45*11</f>
        <v>2750</v>
      </c>
      <c r="V45" s="53" t="s">
        <v>191</v>
      </c>
      <c r="W45" s="30" t="s">
        <v>192</v>
      </c>
      <c r="X45" s="30"/>
      <c r="Y45" s="30"/>
      <c r="Z45" s="194"/>
      <c r="AA45" s="194"/>
      <c r="AB45" s="143"/>
      <c r="AC45" s="2"/>
      <c r="AD45" s="194"/>
      <c r="AE45" s="143"/>
      <c r="AF45" s="143"/>
      <c r="AG45" s="2"/>
      <c r="AH45" s="2"/>
      <c r="AI45" s="2"/>
      <c r="AJ45" s="2"/>
      <c r="AK45" s="2"/>
      <c r="AL45" s="2"/>
      <c r="AM45" s="2"/>
    </row>
    <row r="46" spans="1:39">
      <c r="A46" s="21">
        <v>45729</v>
      </c>
      <c r="B46" s="27">
        <v>32</v>
      </c>
      <c r="C46" s="21" t="s">
        <v>25</v>
      </c>
      <c r="D46" s="28" t="s">
        <v>193</v>
      </c>
      <c r="E46" s="49" t="s">
        <v>36</v>
      </c>
      <c r="F46" s="28" t="s">
        <v>194</v>
      </c>
      <c r="G46" s="30">
        <v>1500</v>
      </c>
      <c r="H46" s="27" t="s">
        <v>195</v>
      </c>
      <c r="I46" s="29">
        <v>500</v>
      </c>
      <c r="J46" s="84" t="s">
        <v>48</v>
      </c>
      <c r="K46" s="127" t="s">
        <v>58</v>
      </c>
      <c r="L46" s="128">
        <f t="shared" ref="L46" si="19">I46*10/100</f>
        <v>50</v>
      </c>
      <c r="M46" s="86" t="s">
        <v>40</v>
      </c>
      <c r="N46" s="86">
        <f t="shared" ref="N46" si="20">I46/3</f>
        <v>166.666666666667</v>
      </c>
      <c r="O46" s="87">
        <f t="shared" ref="O46" si="21">I46/3-L46</f>
        <v>116.666666666667</v>
      </c>
      <c r="P46" s="129">
        <v>3</v>
      </c>
      <c r="Q46" s="86">
        <f>O46/5</f>
        <v>23.3333333333333</v>
      </c>
      <c r="R46" s="162">
        <f t="shared" ref="R46" si="22">I46/3</f>
        <v>166.666666666667</v>
      </c>
      <c r="S46" s="125">
        <f t="shared" ref="S46" si="23">L46+N46+O46+R46</f>
        <v>500</v>
      </c>
      <c r="T46" s="163">
        <v>0</v>
      </c>
      <c r="U46" s="164">
        <v>0</v>
      </c>
      <c r="V46" s="59" t="s">
        <v>196</v>
      </c>
      <c r="W46" s="30" t="s">
        <v>197</v>
      </c>
      <c r="X46" s="30" t="s">
        <v>43</v>
      </c>
      <c r="Y46" s="30"/>
      <c r="Z46" s="194"/>
      <c r="AA46" s="194"/>
      <c r="AB46" s="2"/>
      <c r="AC46" s="2"/>
      <c r="AD46" s="194"/>
      <c r="AE46" s="143"/>
      <c r="AF46" s="143"/>
      <c r="AG46" s="2"/>
      <c r="AH46" s="2"/>
      <c r="AI46" s="2"/>
      <c r="AJ46" s="2"/>
      <c r="AK46" s="2"/>
      <c r="AL46" s="2"/>
      <c r="AM46" s="2"/>
    </row>
    <row r="47" spans="1:37">
      <c r="A47" s="21">
        <v>45730</v>
      </c>
      <c r="B47" s="39">
        <v>33</v>
      </c>
      <c r="C47" s="21" t="s">
        <v>25</v>
      </c>
      <c r="D47" s="48" t="s">
        <v>198</v>
      </c>
      <c r="E47" s="62" t="s">
        <v>27</v>
      </c>
      <c r="F47" s="52" t="s">
        <v>199</v>
      </c>
      <c r="G47" s="53">
        <v>4000</v>
      </c>
      <c r="H47" s="53" t="s">
        <v>200</v>
      </c>
      <c r="I47" s="130">
        <v>300</v>
      </c>
      <c r="J47" s="114" t="str">
        <f>J27</f>
        <v>PIX JS PJ</v>
      </c>
      <c r="K47" s="92" t="s">
        <v>31</v>
      </c>
      <c r="L47" s="92">
        <f t="shared" ref="L47" si="24">I47*10/100</f>
        <v>30</v>
      </c>
      <c r="M47" s="92" t="s">
        <v>31</v>
      </c>
      <c r="N47" s="93">
        <f t="shared" ref="N47" si="25">I47/3</f>
        <v>100</v>
      </c>
      <c r="O47" s="87">
        <f t="shared" ref="O47" si="26">I47/3-L47</f>
        <v>70</v>
      </c>
      <c r="P47" s="82">
        <v>2</v>
      </c>
      <c r="Q47" s="157">
        <f>O47/P47</f>
        <v>35</v>
      </c>
      <c r="R47" s="170">
        <f t="shared" ref="R47" si="27">I47/3</f>
        <v>100</v>
      </c>
      <c r="S47" s="125">
        <f t="shared" ref="S47:S49" si="28">L47+N47+O47+R47</f>
        <v>300</v>
      </c>
      <c r="T47" s="174">
        <f>I47-S47</f>
        <v>0</v>
      </c>
      <c r="U47" s="168">
        <f>I47*6+700</f>
        <v>2500</v>
      </c>
      <c r="V47" s="59" t="s">
        <v>201</v>
      </c>
      <c r="W47" s="30" t="s">
        <v>51</v>
      </c>
      <c r="X47" s="30"/>
      <c r="Y47" s="30"/>
      <c r="Z47" s="194"/>
      <c r="AA47" s="143"/>
      <c r="AB47" s="194"/>
      <c r="AC47" s="194"/>
      <c r="AD47" s="143"/>
      <c r="AE47" s="143"/>
      <c r="AF47" s="2"/>
      <c r="AG47" s="2"/>
      <c r="AH47" s="2"/>
      <c r="AI47" s="2"/>
      <c r="AJ47" s="2"/>
      <c r="AK47" s="2"/>
    </row>
    <row r="48" s="5" customFormat="1" ht="12.75" spans="1:40">
      <c r="A48" s="21">
        <v>45730</v>
      </c>
      <c r="B48" s="39">
        <v>34</v>
      </c>
      <c r="C48" s="21" t="s">
        <v>25</v>
      </c>
      <c r="D48" s="5" t="s">
        <v>202</v>
      </c>
      <c r="E48" s="51" t="s">
        <v>120</v>
      </c>
      <c r="F48" s="28" t="s">
        <v>203</v>
      </c>
      <c r="G48" s="30">
        <v>2000</v>
      </c>
      <c r="H48" s="27" t="s">
        <v>204</v>
      </c>
      <c r="I48" s="131">
        <v>2000</v>
      </c>
      <c r="J48" s="84" t="s">
        <v>205</v>
      </c>
      <c r="K48" s="92" t="s">
        <v>31</v>
      </c>
      <c r="L48" s="92">
        <f t="shared" ref="L48:L49" si="29">I48*10/100</f>
        <v>200</v>
      </c>
      <c r="M48" s="92" t="s">
        <v>31</v>
      </c>
      <c r="N48" s="93">
        <f t="shared" ref="N48:N49" si="30">I48/3</f>
        <v>666.666666666667</v>
      </c>
      <c r="O48" s="87">
        <f>I48-L48-N48-R48</f>
        <v>466.666666666667</v>
      </c>
      <c r="P48" s="82">
        <v>2</v>
      </c>
      <c r="Q48" s="157">
        <f>O48/P48</f>
        <v>233.333333333333</v>
      </c>
      <c r="R48" s="162">
        <f>N48</f>
        <v>666.666666666667</v>
      </c>
      <c r="S48" s="125">
        <f t="shared" si="28"/>
        <v>2000</v>
      </c>
      <c r="T48" s="163">
        <f>I48-S48</f>
        <v>0</v>
      </c>
      <c r="U48" s="164">
        <v>0</v>
      </c>
      <c r="V48" s="53" t="s">
        <v>176</v>
      </c>
      <c r="W48" s="30"/>
      <c r="X48" s="30"/>
      <c r="Y48" s="30"/>
      <c r="Z48" s="194"/>
      <c r="AA48" s="194"/>
      <c r="AB48" s="143"/>
      <c r="AC48" s="2"/>
      <c r="AD48" s="194"/>
      <c r="AE48" s="143"/>
      <c r="AF48" s="143"/>
      <c r="AG48" s="2"/>
      <c r="AH48" s="2"/>
      <c r="AI48" s="2"/>
      <c r="AJ48" s="2"/>
      <c r="AK48" s="2"/>
      <c r="AL48" s="2"/>
      <c r="AM48" s="2"/>
      <c r="AN48" s="2"/>
    </row>
    <row r="49" spans="1:32">
      <c r="A49" s="21">
        <v>45730</v>
      </c>
      <c r="B49" s="39">
        <v>35</v>
      </c>
      <c r="C49" s="21" t="s">
        <v>25</v>
      </c>
      <c r="D49" s="23" t="s">
        <v>206</v>
      </c>
      <c r="E49" s="63" t="s">
        <v>36</v>
      </c>
      <c r="F49" s="25" t="s">
        <v>207</v>
      </c>
      <c r="G49" s="64">
        <v>9500</v>
      </c>
      <c r="H49" s="65" t="s">
        <v>208</v>
      </c>
      <c r="I49" s="132">
        <v>500</v>
      </c>
      <c r="J49" s="77" t="s">
        <v>48</v>
      </c>
      <c r="K49" s="133" t="s">
        <v>31</v>
      </c>
      <c r="L49" s="134">
        <f t="shared" si="29"/>
        <v>50</v>
      </c>
      <c r="M49" s="80" t="s">
        <v>31</v>
      </c>
      <c r="N49" s="80">
        <f t="shared" si="30"/>
        <v>166.666666666667</v>
      </c>
      <c r="O49" s="81">
        <f>I49/3-L49</f>
        <v>116.666666666667</v>
      </c>
      <c r="P49" s="82">
        <v>2</v>
      </c>
      <c r="Q49" s="157">
        <f>O49/P49</f>
        <v>58.3333333333333</v>
      </c>
      <c r="R49" s="187">
        <f>I49/3</f>
        <v>166.666666666667</v>
      </c>
      <c r="S49" s="159">
        <f t="shared" si="28"/>
        <v>500</v>
      </c>
      <c r="T49" s="188">
        <f>I49-S49</f>
        <v>0</v>
      </c>
      <c r="U49" s="189">
        <f>500*7</f>
        <v>3500</v>
      </c>
      <c r="V49" s="190" t="s">
        <v>209</v>
      </c>
      <c r="W49" s="191" t="s">
        <v>210</v>
      </c>
      <c r="X49" s="192" t="s">
        <v>97</v>
      </c>
      <c r="Y49" s="203"/>
      <c r="Z49" s="141"/>
      <c r="AA49" s="141"/>
      <c r="AD49" s="141"/>
      <c r="AE49" s="8"/>
      <c r="AF49" s="8"/>
    </row>
    <row r="50" s="5" customFormat="1" ht="12.75" spans="1:40">
      <c r="A50" s="21">
        <v>45730</v>
      </c>
      <c r="B50" s="39">
        <v>36</v>
      </c>
      <c r="C50" s="21" t="s">
        <v>25</v>
      </c>
      <c r="D50" s="28" t="s">
        <v>211</v>
      </c>
      <c r="E50" s="29" t="s">
        <v>36</v>
      </c>
      <c r="F50" s="28" t="s">
        <v>212</v>
      </c>
      <c r="G50" s="30">
        <v>4200</v>
      </c>
      <c r="H50" s="27" t="s">
        <v>213</v>
      </c>
      <c r="I50" s="83">
        <v>300</v>
      </c>
      <c r="J50" s="84" t="str">
        <f>J49</f>
        <v>PIX JS PJ</v>
      </c>
      <c r="K50" s="92" t="s">
        <v>31</v>
      </c>
      <c r="L50" s="92">
        <f t="shared" ref="L50:L51" si="31">I50*10/100</f>
        <v>30</v>
      </c>
      <c r="M50" s="92" t="s">
        <v>31</v>
      </c>
      <c r="N50" s="93">
        <f t="shared" ref="N50:N51" si="32">I50/3</f>
        <v>100</v>
      </c>
      <c r="O50" s="87">
        <f t="shared" ref="O50:O51" si="33">I50/3-L50</f>
        <v>70</v>
      </c>
      <c r="P50" s="82">
        <v>2</v>
      </c>
      <c r="Q50" s="157">
        <f>O50/P50</f>
        <v>35</v>
      </c>
      <c r="R50" s="162">
        <f t="shared" ref="R50:R51" si="34">I50/3</f>
        <v>100</v>
      </c>
      <c r="S50" s="125">
        <f t="shared" ref="S50:S51" si="35">L50+N50+O50+R50</f>
        <v>300</v>
      </c>
      <c r="T50" s="163">
        <v>0</v>
      </c>
      <c r="U50" s="164">
        <f>I50*9</f>
        <v>2700</v>
      </c>
      <c r="V50" s="53" t="s">
        <v>214</v>
      </c>
      <c r="W50" s="30" t="s">
        <v>103</v>
      </c>
      <c r="X50" s="30"/>
      <c r="Y50" s="30"/>
      <c r="Z50" s="194"/>
      <c r="AA50" s="194"/>
      <c r="AB50" s="143"/>
      <c r="AC50" s="2"/>
      <c r="AD50" s="194"/>
      <c r="AE50" s="143"/>
      <c r="AF50" s="143"/>
      <c r="AG50" s="2"/>
      <c r="AH50" s="2"/>
      <c r="AI50" s="2"/>
      <c r="AJ50" s="2"/>
      <c r="AK50" s="2"/>
      <c r="AL50" s="2"/>
      <c r="AM50" s="2"/>
      <c r="AN50" s="2"/>
    </row>
    <row r="51" s="2" customFormat="1" ht="12.75" spans="1:29">
      <c r="A51" s="21">
        <v>45733</v>
      </c>
      <c r="B51" s="27">
        <v>37</v>
      </c>
      <c r="C51" s="21" t="s">
        <v>25</v>
      </c>
      <c r="D51" s="28" t="s">
        <v>215</v>
      </c>
      <c r="E51" s="37" t="s">
        <v>62</v>
      </c>
      <c r="F51" s="34" t="s">
        <v>216</v>
      </c>
      <c r="G51" s="30">
        <f>I51</f>
        <v>8824.93</v>
      </c>
      <c r="H51" s="27" t="s">
        <v>122</v>
      </c>
      <c r="I51" s="99">
        <v>8824.93</v>
      </c>
      <c r="J51" s="95" t="str">
        <f>J29</f>
        <v>PIX JS PJ</v>
      </c>
      <c r="K51" s="135" t="s">
        <v>217</v>
      </c>
      <c r="L51" s="136">
        <f t="shared" si="31"/>
        <v>882.493</v>
      </c>
      <c r="M51" s="135" t="s">
        <v>217</v>
      </c>
      <c r="N51" s="136">
        <f t="shared" si="32"/>
        <v>2941.64333333333</v>
      </c>
      <c r="O51" s="87">
        <f t="shared" si="33"/>
        <v>2059.15033333333</v>
      </c>
      <c r="P51" s="137">
        <v>3</v>
      </c>
      <c r="Q51" s="193">
        <f>O51/3</f>
        <v>686.383444444445</v>
      </c>
      <c r="R51" s="181">
        <f t="shared" si="34"/>
        <v>2941.64333333333</v>
      </c>
      <c r="S51" s="125">
        <f t="shared" si="35"/>
        <v>8824.93</v>
      </c>
      <c r="T51" s="182">
        <f>I51-S51</f>
        <v>0</v>
      </c>
      <c r="U51" s="183">
        <v>0</v>
      </c>
      <c r="V51" s="184" t="str">
        <f>V48</f>
        <v>PARCELA ÚNICA</v>
      </c>
      <c r="W51" s="53" t="s">
        <v>218</v>
      </c>
      <c r="X51" s="30" t="s">
        <v>219</v>
      </c>
      <c r="Y51" s="28">
        <f>21160.86-8824.1</f>
        <v>12336.76</v>
      </c>
      <c r="AB51" s="143"/>
      <c r="AC51" s="143"/>
    </row>
    <row r="52" s="2" customFormat="1" ht="12.75" spans="1:29">
      <c r="A52" s="21">
        <v>45734</v>
      </c>
      <c r="B52" s="27">
        <v>38</v>
      </c>
      <c r="C52" s="21" t="s">
        <v>25</v>
      </c>
      <c r="D52" s="28" t="s">
        <v>220</v>
      </c>
      <c r="E52" s="37" t="s">
        <v>62</v>
      </c>
      <c r="F52" s="34" t="s">
        <v>221</v>
      </c>
      <c r="G52" s="30">
        <f>I52</f>
        <v>5722.1</v>
      </c>
      <c r="H52" s="27" t="s">
        <v>122</v>
      </c>
      <c r="I52" s="99">
        <v>5722.1</v>
      </c>
      <c r="J52" s="95" t="str">
        <f>J51</f>
        <v>PIX JS PJ</v>
      </c>
      <c r="K52" s="92" t="s">
        <v>31</v>
      </c>
      <c r="L52" s="92">
        <f t="shared" ref="L52:L54" si="36">I52*10/100</f>
        <v>572.21</v>
      </c>
      <c r="M52" s="92" t="s">
        <v>31</v>
      </c>
      <c r="N52" s="93">
        <f t="shared" ref="N52:N54" si="37">I52/3</f>
        <v>1907.36666666667</v>
      </c>
      <c r="O52" s="87">
        <f t="shared" ref="O52:O54" si="38">I52/3-L52</f>
        <v>1335.15666666667</v>
      </c>
      <c r="P52" s="82">
        <v>2</v>
      </c>
      <c r="Q52" s="157">
        <f>O52/P52</f>
        <v>667.578333333333</v>
      </c>
      <c r="R52" s="162">
        <f t="shared" ref="R52:R54" si="39">I52/3</f>
        <v>1907.36666666667</v>
      </c>
      <c r="S52" s="125">
        <f t="shared" ref="S52:S55" si="40">L52+N52+O52+R52</f>
        <v>5722.1</v>
      </c>
      <c r="T52" s="163">
        <v>0</v>
      </c>
      <c r="U52" s="164">
        <v>0</v>
      </c>
      <c r="V52" s="53" t="str">
        <f>V51</f>
        <v>PARCELA ÚNICA</v>
      </c>
      <c r="W52" s="30" t="s">
        <v>222</v>
      </c>
      <c r="X52" s="30" t="s">
        <v>223</v>
      </c>
      <c r="Y52" s="30"/>
      <c r="AB52" s="143"/>
      <c r="AC52" s="143"/>
    </row>
    <row r="53" spans="1:37">
      <c r="A53" s="21">
        <v>45734</v>
      </c>
      <c r="B53" s="39">
        <v>39</v>
      </c>
      <c r="C53" s="21" t="s">
        <v>25</v>
      </c>
      <c r="D53" s="48" t="s">
        <v>224</v>
      </c>
      <c r="E53" s="62" t="s">
        <v>27</v>
      </c>
      <c r="F53" s="52" t="s">
        <v>225</v>
      </c>
      <c r="G53" s="53">
        <v>3000</v>
      </c>
      <c r="H53" s="53" t="s">
        <v>176</v>
      </c>
      <c r="I53" s="130">
        <v>3000</v>
      </c>
      <c r="J53" s="114" t="str">
        <f>J48</f>
        <v>DINHEIRO</v>
      </c>
      <c r="K53" s="127" t="s">
        <v>58</v>
      </c>
      <c r="L53" s="128">
        <f t="shared" si="36"/>
        <v>300</v>
      </c>
      <c r="M53" s="135" t="s">
        <v>217</v>
      </c>
      <c r="N53" s="136">
        <f t="shared" si="37"/>
        <v>1000</v>
      </c>
      <c r="O53" s="87">
        <f t="shared" si="38"/>
        <v>700</v>
      </c>
      <c r="P53" s="137">
        <v>3</v>
      </c>
      <c r="Q53" s="193">
        <f>O53/3</f>
        <v>233.333333333333</v>
      </c>
      <c r="R53" s="170">
        <f t="shared" si="39"/>
        <v>1000</v>
      </c>
      <c r="S53" s="125">
        <f t="shared" si="40"/>
        <v>3000</v>
      </c>
      <c r="T53" s="174">
        <f>I53-S53</f>
        <v>0</v>
      </c>
      <c r="U53" s="168">
        <f>U52</f>
        <v>0</v>
      </c>
      <c r="V53" s="59" t="str">
        <f>V52</f>
        <v>PARCELA ÚNICA</v>
      </c>
      <c r="W53" s="30" t="s">
        <v>43</v>
      </c>
      <c r="X53" s="30"/>
      <c r="Y53" s="30"/>
      <c r="Z53" s="194"/>
      <c r="AA53" s="143"/>
      <c r="AB53" s="194"/>
      <c r="AC53" s="194"/>
      <c r="AD53" s="143"/>
      <c r="AE53" s="143"/>
      <c r="AF53" s="2"/>
      <c r="AG53" s="2"/>
      <c r="AH53" s="2"/>
      <c r="AI53" s="2"/>
      <c r="AJ53" s="2"/>
      <c r="AK53" s="2"/>
    </row>
    <row r="54" spans="1:39">
      <c r="A54" s="21">
        <v>45734</v>
      </c>
      <c r="B54" s="39">
        <v>40</v>
      </c>
      <c r="C54" s="21" t="s">
        <v>25</v>
      </c>
      <c r="D54" s="28" t="s">
        <v>226</v>
      </c>
      <c r="E54" s="62" t="s">
        <v>27</v>
      </c>
      <c r="F54" s="34" t="s">
        <v>227</v>
      </c>
      <c r="G54" s="30">
        <v>6000</v>
      </c>
      <c r="H54" s="27" t="s">
        <v>228</v>
      </c>
      <c r="I54" s="62">
        <v>500</v>
      </c>
      <c r="J54" s="95" t="str">
        <f>J34</f>
        <v>BOLETO PJ </v>
      </c>
      <c r="K54" s="108" t="s">
        <v>30</v>
      </c>
      <c r="L54" s="108">
        <f t="shared" si="36"/>
        <v>50</v>
      </c>
      <c r="M54" s="108" t="s">
        <v>30</v>
      </c>
      <c r="N54" s="108">
        <f t="shared" si="37"/>
        <v>166.666666666667</v>
      </c>
      <c r="O54" s="87">
        <f t="shared" si="38"/>
        <v>116.666666666667</v>
      </c>
      <c r="P54" s="82">
        <v>2</v>
      </c>
      <c r="Q54" s="157">
        <f>O54/P54</f>
        <v>58.3333333333333</v>
      </c>
      <c r="R54" s="162">
        <f t="shared" si="39"/>
        <v>166.666666666667</v>
      </c>
      <c r="S54" s="125">
        <f t="shared" si="40"/>
        <v>500</v>
      </c>
      <c r="T54" s="163">
        <f>I54-S54</f>
        <v>0</v>
      </c>
      <c r="U54" s="164">
        <f>I54*0</f>
        <v>0</v>
      </c>
      <c r="V54" s="27" t="s">
        <v>229</v>
      </c>
      <c r="W54" s="30" t="str">
        <f>[3]RECEITAS!$W$51</f>
        <v>CONTRATO ABRIL 2024</v>
      </c>
      <c r="X54" s="30"/>
      <c r="Y54" s="30"/>
      <c r="Z54" s="194"/>
      <c r="AA54" s="143"/>
      <c r="AB54" s="2"/>
      <c r="AC54" s="194"/>
      <c r="AD54" s="143"/>
      <c r="AE54" s="143"/>
      <c r="AF54" s="2"/>
      <c r="AG54" s="2"/>
      <c r="AH54" s="2"/>
      <c r="AI54" s="2"/>
      <c r="AJ54" s="2"/>
      <c r="AK54" s="2"/>
      <c r="AL54" s="2"/>
      <c r="AM54" s="2"/>
    </row>
    <row r="55" s="5" customFormat="1" ht="12.75" spans="1:40">
      <c r="A55" s="21">
        <v>45734</v>
      </c>
      <c r="B55" s="39">
        <v>41</v>
      </c>
      <c r="C55" s="21" t="s">
        <v>25</v>
      </c>
      <c r="D55" s="5" t="s">
        <v>230</v>
      </c>
      <c r="E55" s="51" t="s">
        <v>120</v>
      </c>
      <c r="F55" s="28" t="s">
        <v>231</v>
      </c>
      <c r="G55" s="30">
        <v>1370.12</v>
      </c>
      <c r="H55" s="27" t="s">
        <v>232</v>
      </c>
      <c r="I55" s="131">
        <v>1370.12</v>
      </c>
      <c r="J55" s="84" t="str">
        <f>J52</f>
        <v>PIX JS PJ</v>
      </c>
      <c r="K55" s="92" t="s">
        <v>31</v>
      </c>
      <c r="L55" s="92">
        <f t="shared" ref="L55" si="41">I55*10/100</f>
        <v>137.012</v>
      </c>
      <c r="M55" s="92" t="s">
        <v>31</v>
      </c>
      <c r="N55" s="93">
        <f t="shared" ref="N55" si="42">I55/3</f>
        <v>456.706666666667</v>
      </c>
      <c r="O55" s="87">
        <f>I55-L55-N55-R55</f>
        <v>319.694666666667</v>
      </c>
      <c r="P55" s="82">
        <v>2</v>
      </c>
      <c r="Q55" s="157">
        <f>O55/P55</f>
        <v>159.847333333333</v>
      </c>
      <c r="R55" s="162">
        <f>N55</f>
        <v>456.706666666667</v>
      </c>
      <c r="S55" s="125">
        <f t="shared" si="40"/>
        <v>1370.12</v>
      </c>
      <c r="T55" s="163">
        <f>I55-S55</f>
        <v>0</v>
      </c>
      <c r="U55" s="164">
        <v>0</v>
      </c>
      <c r="V55" s="53" t="s">
        <v>176</v>
      </c>
      <c r="W55" s="30"/>
      <c r="X55" s="30"/>
      <c r="Y55" s="30"/>
      <c r="Z55" s="194"/>
      <c r="AA55" s="194"/>
      <c r="AB55" s="143"/>
      <c r="AC55" s="2"/>
      <c r="AD55" s="194"/>
      <c r="AE55" s="143"/>
      <c r="AF55" s="143"/>
      <c r="AG55" s="2"/>
      <c r="AH55" s="2"/>
      <c r="AI55" s="2"/>
      <c r="AJ55" s="2"/>
      <c r="AK55" s="2"/>
      <c r="AL55" s="2"/>
      <c r="AM55" s="2"/>
      <c r="AN55" s="2"/>
    </row>
    <row r="56" spans="1:25">
      <c r="A56" s="6"/>
      <c r="B56" s="6"/>
      <c r="C56" s="6"/>
      <c r="D56" s="6"/>
      <c r="E56" s="6"/>
      <c r="F56" s="6"/>
      <c r="G56" s="6"/>
      <c r="H56" s="6"/>
      <c r="I56" s="138"/>
      <c r="J56" s="139"/>
      <c r="K56" s="140"/>
      <c r="L56" s="140"/>
      <c r="M56" s="140"/>
      <c r="N56" s="139"/>
      <c r="O56" s="140"/>
      <c r="P56" s="140"/>
      <c r="Q56" s="139"/>
      <c r="R56" s="139"/>
      <c r="S56" s="140"/>
      <c r="T56" s="140"/>
      <c r="U56" s="140"/>
      <c r="V56" s="139"/>
      <c r="W56" s="139"/>
      <c r="X56" s="139"/>
      <c r="Y56" s="140"/>
    </row>
    <row r="57" spans="7:21">
      <c r="G57" s="7">
        <f>SUM(G3:G56)</f>
        <v>202385.42</v>
      </c>
      <c r="I57" s="141">
        <f>SUM(I3:I56)</f>
        <v>38114.78</v>
      </c>
      <c r="L57" s="141">
        <f>SUM(L3:L56)</f>
        <v>3861.478</v>
      </c>
      <c r="N57" s="141">
        <f>SUM(N3:N56)</f>
        <v>12671.5933333333</v>
      </c>
      <c r="O57" s="141">
        <f>SUM(O3:O56)</f>
        <v>8910.11516666667</v>
      </c>
      <c r="R57" s="141">
        <f>SUM(R3:R56)</f>
        <v>12671.5933333333</v>
      </c>
      <c r="S57" s="141">
        <f>SUM(S3:S56)</f>
        <v>38114.7798333333</v>
      </c>
      <c r="T57" s="141">
        <f>SUM(T3:T56)</f>
        <v>0</v>
      </c>
      <c r="U57" s="141">
        <f>SUM(U3:U56)</f>
        <v>65175.98</v>
      </c>
    </row>
    <row r="58" spans="4:39">
      <c r="D58" s="66" t="s">
        <v>233</v>
      </c>
      <c r="Z58" t="s">
        <v>234</v>
      </c>
      <c r="AA58" s="141">
        <v>100</v>
      </c>
      <c r="AJ58" s="2"/>
      <c r="AK58" s="2"/>
      <c r="AL58" s="2"/>
      <c r="AM58" s="2"/>
    </row>
    <row r="59" spans="4:39">
      <c r="D59" s="66"/>
      <c r="AA59" s="141"/>
      <c r="AJ59" s="2"/>
      <c r="AK59" s="2"/>
      <c r="AL59" s="2"/>
      <c r="AM59" s="2"/>
    </row>
    <row r="60" spans="4:39">
      <c r="D60" s="66"/>
      <c r="AA60" s="141"/>
      <c r="AJ60" s="2"/>
      <c r="AK60" s="2"/>
      <c r="AL60" s="2"/>
      <c r="AM60" s="2"/>
    </row>
    <row r="61" spans="4:39">
      <c r="D61" s="66"/>
      <c r="AA61" s="141"/>
      <c r="AJ61" s="2"/>
      <c r="AK61" s="2"/>
      <c r="AL61" s="2"/>
      <c r="AM61" s="2"/>
    </row>
    <row r="62" spans="4:39">
      <c r="D62" s="66"/>
      <c r="AA62" s="141"/>
      <c r="AJ62" s="2"/>
      <c r="AK62" s="2"/>
      <c r="AL62" s="2"/>
      <c r="AM62" s="2"/>
    </row>
    <row r="63" spans="9:36">
      <c r="I63" s="142"/>
      <c r="J63" s="143"/>
      <c r="K63" s="144" t="s">
        <v>18</v>
      </c>
      <c r="L63" s="145">
        <v>0.1</v>
      </c>
      <c r="M63" s="72" t="s">
        <v>19</v>
      </c>
      <c r="N63" s="73">
        <v>0.33333333</v>
      </c>
      <c r="O63" s="146" t="str">
        <f>O1</f>
        <v>CASH BACK</v>
      </c>
      <c r="P63" s="2"/>
      <c r="Q63" s="194"/>
      <c r="R63" s="195" t="s">
        <v>6</v>
      </c>
      <c r="S63" s="142">
        <f>L57+N57+O57+R57</f>
        <v>38114.7798333333</v>
      </c>
      <c r="T63" s="2"/>
      <c r="U63" s="2"/>
      <c r="V63" s="196" t="s">
        <v>235</v>
      </c>
      <c r="W63" s="197">
        <v>0.1</v>
      </c>
      <c r="X63" s="198">
        <v>0.3333</v>
      </c>
      <c r="Y63" s="207">
        <f>O2</f>
        <v>0.2333</v>
      </c>
      <c r="Z63" s="208" t="s">
        <v>236</v>
      </c>
      <c r="AA63" s="209" t="s">
        <v>237</v>
      </c>
      <c r="AB63" s="210" t="s">
        <v>238</v>
      </c>
      <c r="AC63" s="21">
        <v>45733</v>
      </c>
      <c r="AD63" s="21">
        <v>45747</v>
      </c>
      <c r="AE63" s="21">
        <v>45751</v>
      </c>
      <c r="AF63" s="211" t="s">
        <v>239</v>
      </c>
      <c r="AG63" s="216" t="s">
        <v>240</v>
      </c>
      <c r="AH63" s="217" t="s">
        <v>241</v>
      </c>
      <c r="AI63" s="196" t="s">
        <v>235</v>
      </c>
      <c r="AJ63" s="2"/>
    </row>
    <row r="64" spans="9:36">
      <c r="I64" s="142"/>
      <c r="J64" s="143"/>
      <c r="K64" s="92" t="s">
        <v>31</v>
      </c>
      <c r="L64" s="100">
        <f>L12+L13+L14+L18+L20+L21+L26+L34+L40+L47+L48+L49+L50+L52+L55</f>
        <v>1441.052</v>
      </c>
      <c r="M64" s="92" t="s">
        <v>31</v>
      </c>
      <c r="N64" s="100">
        <f>N3+N5+N7+N9+N11+N12+N13+N14+N18+N20+N21+N23+N25+N28+N30+N31+N32+N34+N36+N38+N40+N44+N47+N48+N49+N50+N52+N55</f>
        <v>5703.97333333333</v>
      </c>
      <c r="O64" s="87">
        <f>Q64</f>
        <v>3757.39636111111</v>
      </c>
      <c r="P64" s="147">
        <v>2</v>
      </c>
      <c r="Q64" s="98">
        <f>Q84</f>
        <v>3757.39636111111</v>
      </c>
      <c r="R64" s="30">
        <f>R57</f>
        <v>12671.5933333333</v>
      </c>
      <c r="S64" s="30">
        <f>I57</f>
        <v>38114.78</v>
      </c>
      <c r="T64" s="30">
        <v>0</v>
      </c>
      <c r="U64" s="2"/>
      <c r="V64" s="92" t="s">
        <v>31</v>
      </c>
      <c r="W64" s="199">
        <f>L64</f>
        <v>1441.052</v>
      </c>
      <c r="X64" s="62">
        <f>N64</f>
        <v>5703.97333333333</v>
      </c>
      <c r="Y64" s="87">
        <f>O64</f>
        <v>3757.39636111111</v>
      </c>
      <c r="Z64" s="212">
        <f>99.9</f>
        <v>99.9</v>
      </c>
      <c r="AA64" s="89">
        <f>[4]RECEITAS!$AH$85-100</f>
        <v>-93.1991623347049</v>
      </c>
      <c r="AB64" s="83">
        <f>W64+X64+Y64+Z64</f>
        <v>11002.3216944444</v>
      </c>
      <c r="AC64" s="125">
        <f>6792.45</f>
        <v>6792.45</v>
      </c>
      <c r="AD64" s="213">
        <v>0</v>
      </c>
      <c r="AE64" s="213">
        <v>0</v>
      </c>
      <c r="AF64" s="214">
        <f>AC64+AD64+AE64</f>
        <v>6792.45</v>
      </c>
      <c r="AG64" s="218">
        <v>0</v>
      </c>
      <c r="AH64" s="95">
        <f>AB64-AF64</f>
        <v>4209.87169444444</v>
      </c>
      <c r="AI64" s="92" t="s">
        <v>31</v>
      </c>
      <c r="AJ64" s="2"/>
    </row>
    <row r="65" spans="4:36">
      <c r="D65" s="219"/>
      <c r="I65" s="142"/>
      <c r="J65" s="143"/>
      <c r="K65" s="85" t="s">
        <v>30</v>
      </c>
      <c r="L65" s="85">
        <f>L3+L4+L6+L8+L10+L16+L17+L19+L22+L24+L27+L29+L31+L35+L37+L39+L41+L42+L43+L45+L46+L53+L54</f>
        <v>1377.933</v>
      </c>
      <c r="M65" s="85" t="str">
        <f>K65</f>
        <v>J.S</v>
      </c>
      <c r="N65" s="85">
        <f>N6+N8+N10+N16+N22+N24+N27+N29+N35+N37+N39+N43+N54</f>
        <v>867.666666666667</v>
      </c>
      <c r="O65" s="87">
        <f>O64</f>
        <v>3757.39636111111</v>
      </c>
      <c r="P65" s="237">
        <f>P64</f>
        <v>2</v>
      </c>
      <c r="Q65" s="96">
        <f>Q64</f>
        <v>3757.39636111111</v>
      </c>
      <c r="R65" s="27"/>
      <c r="S65" s="27"/>
      <c r="T65" s="28"/>
      <c r="U65" s="2"/>
      <c r="V65" s="85" t="s">
        <v>58</v>
      </c>
      <c r="W65" s="199">
        <f>L65</f>
        <v>1377.933</v>
      </c>
      <c r="X65" s="62">
        <f>N65</f>
        <v>867.666666666667</v>
      </c>
      <c r="Y65" s="87">
        <f>Q65</f>
        <v>3757.39636111111</v>
      </c>
      <c r="Z65" s="212">
        <v>0</v>
      </c>
      <c r="AA65" s="333">
        <f>[4]RECEITAS!$AH$85</f>
        <v>6.80083766529515</v>
      </c>
      <c r="AB65" s="83">
        <f t="shared" ref="AB65:AB66" si="43">W65+X65+Y65+Z65+AA65</f>
        <v>6009.79686544307</v>
      </c>
      <c r="AC65" s="125">
        <v>4350</v>
      </c>
      <c r="AD65" s="213">
        <v>0</v>
      </c>
      <c r="AE65" s="213">
        <v>0</v>
      </c>
      <c r="AF65" s="214">
        <f>AC65+AD65+AE65</f>
        <v>4350</v>
      </c>
      <c r="AG65" s="218">
        <v>0</v>
      </c>
      <c r="AH65" s="95">
        <f>AB65-AF65</f>
        <v>1659.79686544307</v>
      </c>
      <c r="AI65" s="85" t="s">
        <v>58</v>
      </c>
      <c r="AJ65" s="2"/>
    </row>
    <row r="66" spans="9:36">
      <c r="I66" s="142"/>
      <c r="J66" s="143"/>
      <c r="K66" s="86" t="s">
        <v>40</v>
      </c>
      <c r="L66" s="86">
        <f>0</f>
        <v>0</v>
      </c>
      <c r="M66" s="86" t="s">
        <v>40</v>
      </c>
      <c r="N66" s="86">
        <f>N4+N19+N26+N41+N42+N45+N46</f>
        <v>1958.31</v>
      </c>
      <c r="O66" s="87">
        <f>Q87</f>
        <v>450.716777777778</v>
      </c>
      <c r="P66" s="88">
        <v>3</v>
      </c>
      <c r="Q66" s="86">
        <f>Q4+Q17+Q19+Q26+Q41+Q42+Q45+Q46</f>
        <v>450.716777777778</v>
      </c>
      <c r="R66" s="27"/>
      <c r="S66" s="27"/>
      <c r="T66" s="28"/>
      <c r="U66" s="2"/>
      <c r="V66" s="86" t="s">
        <v>40</v>
      </c>
      <c r="W66" s="199">
        <f>L66</f>
        <v>0</v>
      </c>
      <c r="X66" s="62">
        <f>N66</f>
        <v>1958.31</v>
      </c>
      <c r="Y66" s="87">
        <f>O66</f>
        <v>450.716777777778</v>
      </c>
      <c r="Z66" s="212">
        <v>0</v>
      </c>
      <c r="AA66" s="89">
        <f>[4]RECEITAS!$AH$86</f>
        <v>-17.7392956680915</v>
      </c>
      <c r="AB66" s="83">
        <f t="shared" si="43"/>
        <v>2391.28748210969</v>
      </c>
      <c r="AC66" s="125">
        <v>2350</v>
      </c>
      <c r="AD66" s="213">
        <v>0</v>
      </c>
      <c r="AE66" s="213">
        <v>0</v>
      </c>
      <c r="AF66" s="214">
        <f>AC66+AD66+AE66</f>
        <v>2350</v>
      </c>
      <c r="AG66" s="218">
        <f ca="1">SUM(AG63:AG68)</f>
        <v>0</v>
      </c>
      <c r="AH66" s="95">
        <f>AB66-AF66</f>
        <v>41.2874821096862</v>
      </c>
      <c r="AI66" s="86" t="s">
        <v>40</v>
      </c>
      <c r="AJ66" s="2"/>
    </row>
    <row r="67" spans="9:36">
      <c r="I67" s="142"/>
      <c r="J67" s="143"/>
      <c r="K67" s="97" t="s">
        <v>242</v>
      </c>
      <c r="L67" s="238">
        <f>L64+L65+L66</f>
        <v>2818.985</v>
      </c>
      <c r="M67" s="97" t="s">
        <v>242</v>
      </c>
      <c r="N67" s="238">
        <f>N64+N65+N66</f>
        <v>8529.95</v>
      </c>
      <c r="O67" s="146">
        <f>O64+O65+O66</f>
        <v>7965.5095</v>
      </c>
      <c r="P67" s="239" t="s">
        <v>243</v>
      </c>
      <c r="Q67" s="308">
        <f>Q64+Q65+Q66</f>
        <v>7965.5095</v>
      </c>
      <c r="R67" s="27"/>
      <c r="S67" s="27"/>
      <c r="T67" s="28"/>
      <c r="U67" s="2"/>
      <c r="V67" s="262" t="s">
        <v>242</v>
      </c>
      <c r="W67" s="199">
        <f>SUM(W64:W66)</f>
        <v>2818.985</v>
      </c>
      <c r="X67" s="62">
        <f>SUM(X64:X66)</f>
        <v>8529.95</v>
      </c>
      <c r="Y67" s="87">
        <f t="shared" ref="Y67:AC67" si="44">Y64+Y65+Y66</f>
        <v>7965.5095</v>
      </c>
      <c r="Z67" s="212">
        <f t="shared" si="44"/>
        <v>99.9</v>
      </c>
      <c r="AA67" s="89">
        <f t="shared" si="44"/>
        <v>-104.137620337501</v>
      </c>
      <c r="AB67" s="83">
        <f t="shared" si="44"/>
        <v>19403.4060419972</v>
      </c>
      <c r="AC67" s="125">
        <f t="shared" si="44"/>
        <v>13492.45</v>
      </c>
      <c r="AD67" s="213">
        <v>0</v>
      </c>
      <c r="AE67" s="213">
        <v>0</v>
      </c>
      <c r="AF67" s="214">
        <f>AC67+AD67+AE67</f>
        <v>13492.45</v>
      </c>
      <c r="AG67" s="218">
        <v>0</v>
      </c>
      <c r="AH67" s="95">
        <f>AH64+AH65+AH66</f>
        <v>5910.95604199721</v>
      </c>
      <c r="AI67" s="262" t="s">
        <v>242</v>
      </c>
      <c r="AJ67" s="2"/>
    </row>
    <row r="68" spans="9:36">
      <c r="I68" s="240">
        <f>L77</f>
        <v>1042.493</v>
      </c>
      <c r="J68" s="240" t="s">
        <v>244</v>
      </c>
      <c r="K68" s="135" t="s">
        <v>217</v>
      </c>
      <c r="L68" s="136">
        <f>L51</f>
        <v>882.493</v>
      </c>
      <c r="M68" s="135" t="s">
        <v>217</v>
      </c>
      <c r="N68" s="136">
        <f>N51+N53</f>
        <v>3941.64333333333</v>
      </c>
      <c r="O68" s="87">
        <f>Q68</f>
        <v>919.716777777778</v>
      </c>
      <c r="P68" s="137">
        <v>3</v>
      </c>
      <c r="Q68" s="193">
        <f>Q51+Q53</f>
        <v>919.716777777778</v>
      </c>
      <c r="R68" s="30"/>
      <c r="S68" s="27"/>
      <c r="T68" s="28"/>
      <c r="U68" s="2"/>
      <c r="V68" s="135" t="s">
        <v>217</v>
      </c>
      <c r="W68" s="199">
        <f>L68</f>
        <v>882.493</v>
      </c>
      <c r="X68" s="62">
        <f>N68</f>
        <v>3941.64333333333</v>
      </c>
      <c r="Y68" s="87">
        <f>O68</f>
        <v>919.716777777778</v>
      </c>
      <c r="Z68" s="212">
        <v>0</v>
      </c>
      <c r="AA68" s="89">
        <f>[5]RECEITAS!$AH$85</f>
        <v>-4.16666666666669</v>
      </c>
      <c r="AB68" s="83">
        <f>W68+X68+Y68+Z68+AA68</f>
        <v>5739.68644444444</v>
      </c>
      <c r="AC68" s="125">
        <f>3240+1265.69</f>
        <v>4505.69</v>
      </c>
      <c r="AD68" s="213">
        <v>0</v>
      </c>
      <c r="AE68" s="213">
        <v>0</v>
      </c>
      <c r="AF68" s="214">
        <f>AC68+AD68+AE68</f>
        <v>4505.69</v>
      </c>
      <c r="AG68" s="218">
        <v>0</v>
      </c>
      <c r="AH68" s="125">
        <f>AB68-AC68</f>
        <v>1233.99644444444</v>
      </c>
      <c r="AI68" s="135" t="s">
        <v>217</v>
      </c>
      <c r="AJ68" s="2"/>
    </row>
    <row r="69" spans="9:36">
      <c r="I69" s="142"/>
      <c r="J69" s="143"/>
      <c r="K69" s="117" t="s">
        <v>101</v>
      </c>
      <c r="L69" s="241">
        <f>L32</f>
        <v>60</v>
      </c>
      <c r="M69" s="117" t="s">
        <v>101</v>
      </c>
      <c r="N69" s="241">
        <f>N17+N33</f>
        <v>166.666666666667</v>
      </c>
      <c r="O69" s="87">
        <f>Q88</f>
        <v>9.33333333333333</v>
      </c>
      <c r="P69" s="116">
        <v>3</v>
      </c>
      <c r="Q69" s="117">
        <f>Q17</f>
        <v>9.33333333333333</v>
      </c>
      <c r="R69" s="309"/>
      <c r="S69" s="27"/>
      <c r="T69" s="28"/>
      <c r="U69" s="2"/>
      <c r="V69" s="117" t="s">
        <v>101</v>
      </c>
      <c r="W69" s="199">
        <f>L69</f>
        <v>60</v>
      </c>
      <c r="X69" s="62">
        <f>N69</f>
        <v>166.666666666667</v>
      </c>
      <c r="Y69" s="87">
        <f>Q69</f>
        <v>9.33333333333333</v>
      </c>
      <c r="Z69" s="212">
        <v>0</v>
      </c>
      <c r="AA69" s="89">
        <f>[4]RECEITAS!$AH$89</f>
        <v>-4.16666666666669</v>
      </c>
      <c r="AB69" s="83">
        <f t="shared" ref="AB69:AB76" si="45">W69+X69+Y69+Z69+AA69</f>
        <v>231.833333333333</v>
      </c>
      <c r="AC69" s="125">
        <v>0</v>
      </c>
      <c r="AD69" s="213">
        <v>0</v>
      </c>
      <c r="AE69" s="213">
        <v>0</v>
      </c>
      <c r="AF69" s="214">
        <f t="shared" ref="AF69:AF76" si="46">AC69+AD69+AE69</f>
        <v>0</v>
      </c>
      <c r="AG69" s="218">
        <v>0</v>
      </c>
      <c r="AH69" s="125">
        <f t="shared" ref="AH69:AH72" si="47">AB69-AF69</f>
        <v>231.833333333333</v>
      </c>
      <c r="AI69" s="117" t="s">
        <v>101</v>
      </c>
      <c r="AJ69" s="2"/>
    </row>
    <row r="70" spans="9:36">
      <c r="I70" s="142"/>
      <c r="J70" s="143"/>
      <c r="K70" s="242" t="s">
        <v>91</v>
      </c>
      <c r="L70" s="243">
        <v>0</v>
      </c>
      <c r="M70" s="242" t="s">
        <v>91</v>
      </c>
      <c r="N70" s="243">
        <f>N15</f>
        <v>33.3333333333333</v>
      </c>
      <c r="O70" s="87">
        <f>Q70</f>
        <v>15.5555555555556</v>
      </c>
      <c r="P70" s="105">
        <v>3</v>
      </c>
      <c r="Q70" s="107">
        <f>Q14</f>
        <v>15.5555555555556</v>
      </c>
      <c r="R70" s="309"/>
      <c r="S70" s="27"/>
      <c r="T70" s="28"/>
      <c r="U70" s="2"/>
      <c r="V70" s="242" t="s">
        <v>91</v>
      </c>
      <c r="W70" s="199">
        <f>L70</f>
        <v>0</v>
      </c>
      <c r="X70" s="62">
        <f>N70</f>
        <v>33.3333333333333</v>
      </c>
      <c r="Y70" s="87">
        <f>Q70</f>
        <v>15.5555555555556</v>
      </c>
      <c r="Z70" s="212">
        <v>0</v>
      </c>
      <c r="AA70" s="333">
        <f>[4]RECEITAS!$AH$90</f>
        <v>0.00333333333327346</v>
      </c>
      <c r="AB70" s="83">
        <f t="shared" si="45"/>
        <v>48.8922222222222</v>
      </c>
      <c r="AC70" s="125">
        <v>0</v>
      </c>
      <c r="AD70" s="213">
        <v>0</v>
      </c>
      <c r="AE70" s="213">
        <v>0</v>
      </c>
      <c r="AF70" s="214">
        <f t="shared" si="46"/>
        <v>0</v>
      </c>
      <c r="AG70" s="218">
        <v>0</v>
      </c>
      <c r="AH70" s="95">
        <f t="shared" si="47"/>
        <v>48.8922222222222</v>
      </c>
      <c r="AI70" s="242" t="s">
        <v>91</v>
      </c>
      <c r="AJ70" s="2"/>
    </row>
    <row r="71" spans="9:36">
      <c r="I71" s="142"/>
      <c r="J71" s="143"/>
      <c r="K71" s="244" t="s">
        <v>49</v>
      </c>
      <c r="L71" s="245">
        <f>L5</f>
        <v>100</v>
      </c>
      <c r="M71" s="244" t="s">
        <v>49</v>
      </c>
      <c r="N71" s="245">
        <v>0</v>
      </c>
      <c r="O71" s="246">
        <v>0</v>
      </c>
      <c r="P71" s="247" t="s">
        <v>49</v>
      </c>
      <c r="Q71" s="310">
        <v>0</v>
      </c>
      <c r="R71" s="311" t="e">
        <f>#REF!*O78</f>
        <v>#REF!</v>
      </c>
      <c r="S71" s="27"/>
      <c r="T71" s="28"/>
      <c r="U71" s="2"/>
      <c r="V71" s="244" t="s">
        <v>49</v>
      </c>
      <c r="W71" s="199">
        <f>L71</f>
        <v>100</v>
      </c>
      <c r="X71" s="62">
        <v>0</v>
      </c>
      <c r="Y71" s="87">
        <v>0</v>
      </c>
      <c r="Z71" s="212">
        <v>0</v>
      </c>
      <c r="AA71" s="333">
        <f>[4]RECEITAS!$AH$91</f>
        <v>0.00222222222248547</v>
      </c>
      <c r="AB71" s="83">
        <f t="shared" si="45"/>
        <v>100.002222222222</v>
      </c>
      <c r="AC71" s="125">
        <v>0</v>
      </c>
      <c r="AD71" s="213">
        <v>0</v>
      </c>
      <c r="AE71" s="213">
        <v>0</v>
      </c>
      <c r="AF71" s="214">
        <f t="shared" si="46"/>
        <v>0</v>
      </c>
      <c r="AG71" s="218">
        <v>0</v>
      </c>
      <c r="AH71" s="95">
        <f t="shared" si="47"/>
        <v>100.002222222222</v>
      </c>
      <c r="AI71" s="244" t="s">
        <v>49</v>
      </c>
      <c r="AJ71" s="2"/>
    </row>
    <row r="72" spans="9:36">
      <c r="I72" s="142"/>
      <c r="J72" s="143"/>
      <c r="K72" s="248" t="s">
        <v>245</v>
      </c>
      <c r="L72" s="248">
        <v>0</v>
      </c>
      <c r="M72" s="248" t="s">
        <v>245</v>
      </c>
      <c r="N72" s="248">
        <v>0</v>
      </c>
      <c r="O72" s="146">
        <v>0</v>
      </c>
      <c r="P72" s="249" t="s">
        <v>245</v>
      </c>
      <c r="Q72" s="312">
        <v>0</v>
      </c>
      <c r="R72" s="27"/>
      <c r="S72" s="27"/>
      <c r="T72" s="28"/>
      <c r="U72" s="2"/>
      <c r="V72" s="256" t="s">
        <v>246</v>
      </c>
      <c r="W72" s="199">
        <f>L75</f>
        <v>0</v>
      </c>
      <c r="X72" s="62">
        <v>0</v>
      </c>
      <c r="Y72" s="87">
        <v>0</v>
      </c>
      <c r="Z72" s="212">
        <v>0</v>
      </c>
      <c r="AA72" s="333">
        <f>[4]RECEITAS!$AH$92</f>
        <v>0.00399999999990541</v>
      </c>
      <c r="AB72" s="83">
        <f t="shared" si="45"/>
        <v>0.00399999999990541</v>
      </c>
      <c r="AC72" s="125">
        <v>0</v>
      </c>
      <c r="AD72" s="213">
        <v>0</v>
      </c>
      <c r="AE72" s="213">
        <v>0</v>
      </c>
      <c r="AF72" s="214">
        <f t="shared" si="46"/>
        <v>0</v>
      </c>
      <c r="AG72" s="218">
        <v>0</v>
      </c>
      <c r="AH72" s="339">
        <f t="shared" si="47"/>
        <v>0.00399999999990541</v>
      </c>
      <c r="AI72" s="256" t="s">
        <v>246</v>
      </c>
      <c r="AJ72" s="2"/>
    </row>
    <row r="73" spans="9:36">
      <c r="I73" s="142"/>
      <c r="J73" s="143"/>
      <c r="K73" s="250" t="s">
        <v>247</v>
      </c>
      <c r="L73" s="251">
        <v>0</v>
      </c>
      <c r="M73" s="250" t="s">
        <v>247</v>
      </c>
      <c r="N73" s="251">
        <v>0</v>
      </c>
      <c r="O73" s="146">
        <v>0</v>
      </c>
      <c r="P73" s="250" t="s">
        <v>247</v>
      </c>
      <c r="Q73" s="251">
        <v>0</v>
      </c>
      <c r="R73" s="309"/>
      <c r="S73" s="27"/>
      <c r="T73" s="28"/>
      <c r="U73" s="2"/>
      <c r="V73" s="248" t="s">
        <v>245</v>
      </c>
      <c r="W73" s="199">
        <v>0</v>
      </c>
      <c r="X73" s="62">
        <v>0</v>
      </c>
      <c r="Y73" s="87">
        <v>0</v>
      </c>
      <c r="Z73" s="212">
        <v>0</v>
      </c>
      <c r="AA73" s="333">
        <f>[5]RECEITAS!$AH$90</f>
        <v>0</v>
      </c>
      <c r="AB73" s="83">
        <f t="shared" si="45"/>
        <v>0</v>
      </c>
      <c r="AC73" s="125">
        <v>0</v>
      </c>
      <c r="AD73" s="213">
        <v>0</v>
      </c>
      <c r="AE73" s="213">
        <v>0</v>
      </c>
      <c r="AF73" s="214">
        <f t="shared" si="46"/>
        <v>0</v>
      </c>
      <c r="AG73" s="340">
        <v>0</v>
      </c>
      <c r="AH73" s="341">
        <v>0</v>
      </c>
      <c r="AI73" s="248" t="s">
        <v>245</v>
      </c>
      <c r="AJ73" s="2"/>
    </row>
    <row r="74" spans="9:36">
      <c r="I74" s="142"/>
      <c r="J74" s="143"/>
      <c r="K74" s="252" t="s">
        <v>248</v>
      </c>
      <c r="L74" s="253">
        <v>0</v>
      </c>
      <c r="M74" s="252" t="str">
        <f>K74</f>
        <v>ALEXANDRE</v>
      </c>
      <c r="N74" s="254">
        <v>0</v>
      </c>
      <c r="O74" s="255">
        <v>0</v>
      </c>
      <c r="P74" s="252" t="str">
        <f>M74</f>
        <v>ALEXANDRE</v>
      </c>
      <c r="Q74" s="253">
        <f>Q73</f>
        <v>0</v>
      </c>
      <c r="R74" s="309"/>
      <c r="S74" s="27"/>
      <c r="T74" s="28"/>
      <c r="U74" s="2"/>
      <c r="V74" s="250" t="s">
        <v>247</v>
      </c>
      <c r="W74" s="199">
        <f>L73</f>
        <v>0</v>
      </c>
      <c r="X74" s="62">
        <v>0</v>
      </c>
      <c r="Y74" s="87">
        <f>Q73</f>
        <v>0</v>
      </c>
      <c r="Z74" s="212">
        <v>0</v>
      </c>
      <c r="AA74" s="333">
        <f>[4]RECEITAS!$AH$94</f>
        <v>0</v>
      </c>
      <c r="AB74" s="83">
        <f t="shared" si="45"/>
        <v>0</v>
      </c>
      <c r="AC74" s="125">
        <v>0</v>
      </c>
      <c r="AD74" s="213">
        <v>0</v>
      </c>
      <c r="AE74" s="213">
        <v>0</v>
      </c>
      <c r="AF74" s="214">
        <f t="shared" si="46"/>
        <v>0</v>
      </c>
      <c r="AG74" s="218">
        <v>0</v>
      </c>
      <c r="AH74" s="342">
        <f>AB74-AF74</f>
        <v>0</v>
      </c>
      <c r="AI74" s="250" t="s">
        <v>247</v>
      </c>
      <c r="AJ74" s="2"/>
    </row>
    <row r="75" spans="9:36">
      <c r="I75" s="142"/>
      <c r="J75" s="143"/>
      <c r="K75" s="256" t="s">
        <v>246</v>
      </c>
      <c r="L75" s="256">
        <v>0</v>
      </c>
      <c r="M75" s="256" t="s">
        <v>246</v>
      </c>
      <c r="N75" s="256">
        <v>0</v>
      </c>
      <c r="O75" s="255">
        <v>0</v>
      </c>
      <c r="P75" s="256" t="s">
        <v>246</v>
      </c>
      <c r="Q75" s="256">
        <v>0</v>
      </c>
      <c r="R75" s="309"/>
      <c r="S75" s="27"/>
      <c r="T75" s="28"/>
      <c r="U75" s="2"/>
      <c r="V75" s="252" t="s">
        <v>248</v>
      </c>
      <c r="W75" s="199">
        <v>0</v>
      </c>
      <c r="X75" s="62">
        <f>N74</f>
        <v>0</v>
      </c>
      <c r="Y75" s="87">
        <v>0</v>
      </c>
      <c r="Z75" s="212">
        <v>0</v>
      </c>
      <c r="AA75" s="333">
        <f>[5]RECEITAS!$AH$92</f>
        <v>15</v>
      </c>
      <c r="AB75" s="83">
        <f t="shared" si="45"/>
        <v>15</v>
      </c>
      <c r="AC75" s="125">
        <v>0</v>
      </c>
      <c r="AD75" s="213">
        <v>0</v>
      </c>
      <c r="AE75" s="213">
        <v>0</v>
      </c>
      <c r="AF75" s="214">
        <f t="shared" si="46"/>
        <v>0</v>
      </c>
      <c r="AG75" s="218">
        <v>0</v>
      </c>
      <c r="AH75" s="343">
        <f>AB75-AF75</f>
        <v>15</v>
      </c>
      <c r="AI75" s="252" t="s">
        <v>248</v>
      </c>
      <c r="AJ75" s="2"/>
    </row>
    <row r="76" spans="9:36">
      <c r="I76" s="142"/>
      <c r="J76" s="143"/>
      <c r="K76" s="257" t="s">
        <v>249</v>
      </c>
      <c r="L76" s="167">
        <v>0</v>
      </c>
      <c r="M76" s="257" t="s">
        <v>249</v>
      </c>
      <c r="N76" s="167">
        <v>0</v>
      </c>
      <c r="O76" s="255">
        <f>Q76</f>
        <v>0</v>
      </c>
      <c r="P76" s="257" t="s">
        <v>249</v>
      </c>
      <c r="Q76" s="167">
        <v>0</v>
      </c>
      <c r="R76" s="309"/>
      <c r="S76" s="27"/>
      <c r="T76" s="28"/>
      <c r="U76" s="2"/>
      <c r="V76" s="257" t="s">
        <v>249</v>
      </c>
      <c r="W76" s="199">
        <f>L76</f>
        <v>0</v>
      </c>
      <c r="X76" s="62">
        <f>N76</f>
        <v>0</v>
      </c>
      <c r="Y76" s="87">
        <f>O76</f>
        <v>0</v>
      </c>
      <c r="Z76" s="212">
        <f>SUM(Z69:Z74)</f>
        <v>0</v>
      </c>
      <c r="AA76" s="333">
        <v>0</v>
      </c>
      <c r="AB76" s="83">
        <f t="shared" si="45"/>
        <v>0</v>
      </c>
      <c r="AC76" s="125">
        <v>0</v>
      </c>
      <c r="AD76" s="213">
        <v>0</v>
      </c>
      <c r="AE76" s="213">
        <v>0</v>
      </c>
      <c r="AF76" s="214">
        <f t="shared" si="46"/>
        <v>0</v>
      </c>
      <c r="AG76" s="218">
        <f>SUM(AG69:AG74)</f>
        <v>0</v>
      </c>
      <c r="AH76" s="167">
        <f>AB76-AF76</f>
        <v>0</v>
      </c>
      <c r="AI76" s="257" t="s">
        <v>249</v>
      </c>
      <c r="AJ76" s="194"/>
    </row>
    <row r="77" spans="9:36">
      <c r="I77" s="142"/>
      <c r="J77" s="143"/>
      <c r="K77" s="240" t="s">
        <v>250</v>
      </c>
      <c r="L77" s="240">
        <f>L68+L69+L70+L71+L72+L73+L74+L75+L76</f>
        <v>1042.493</v>
      </c>
      <c r="M77" s="72" t="s">
        <v>251</v>
      </c>
      <c r="N77" s="258">
        <f>N68+N69+N70+N71+N72+N73+N74+N75+N76</f>
        <v>4141.64333333333</v>
      </c>
      <c r="O77" s="255">
        <f>O68+O69+O70+O71+O72+O73+O74+O75+O76</f>
        <v>944.605666666667</v>
      </c>
      <c r="P77" s="259" t="s">
        <v>252</v>
      </c>
      <c r="Q77" s="313">
        <f>Q68+Q69+Q70+Q71+Q72+Q73+Q74+Q75+Q76</f>
        <v>944.605666666667</v>
      </c>
      <c r="R77" s="27"/>
      <c r="S77" s="27"/>
      <c r="T77" s="28"/>
      <c r="U77" s="2"/>
      <c r="V77" s="301" t="s">
        <v>253</v>
      </c>
      <c r="W77" s="199">
        <f>SUM(W68:W76)</f>
        <v>1042.493</v>
      </c>
      <c r="X77" s="62">
        <f>SUM(X68:X76)</f>
        <v>4141.64333333333</v>
      </c>
      <c r="Y77" s="87">
        <f>Y68+Y69+Y70+Y71+Y72+Y73+Y74+Y75+Y76</f>
        <v>944.605666666667</v>
      </c>
      <c r="Z77" s="212">
        <f>Z66+Z76</f>
        <v>0</v>
      </c>
      <c r="AA77" s="333">
        <f>AA68+AA69+AA70+AA71+AA72+AA73+AA74+AA75+AA76</f>
        <v>6.67622222222229</v>
      </c>
      <c r="AB77" s="83">
        <f>AB68+AB69+AB70+AB71+AB72+AB73+AB74+AB75+AB76</f>
        <v>6135.41822222222</v>
      </c>
      <c r="AC77" s="125">
        <f>AC68+AC69+AC70+AC71+AC72+AC73+AC74+AC75+AC76</f>
        <v>4505.69</v>
      </c>
      <c r="AD77" s="213">
        <v>0</v>
      </c>
      <c r="AE77" s="213">
        <f>AE66+AE76</f>
        <v>0</v>
      </c>
      <c r="AF77" s="214">
        <v>0</v>
      </c>
      <c r="AG77" s="340">
        <f ca="1">AG66+AG76</f>
        <v>0</v>
      </c>
      <c r="AH77" s="95">
        <f>AH68+AH69+AH70+AH71+AH72+AH73+AH74+AH75+AH76</f>
        <v>1629.72822222222</v>
      </c>
      <c r="AI77" s="301" t="s">
        <v>253</v>
      </c>
      <c r="AJ77" s="2"/>
    </row>
    <row r="78" spans="9:36">
      <c r="I78" s="142"/>
      <c r="J78" s="143"/>
      <c r="K78" s="97" t="s">
        <v>253</v>
      </c>
      <c r="L78" s="238">
        <f>L67+L77</f>
        <v>3861.478</v>
      </c>
      <c r="M78" s="97" t="s">
        <v>253</v>
      </c>
      <c r="N78" s="238">
        <f>N67+N77</f>
        <v>12671.5933333333</v>
      </c>
      <c r="O78" s="146">
        <f>O67+O77</f>
        <v>8910.11516666667</v>
      </c>
      <c r="P78" s="260" t="s">
        <v>254</v>
      </c>
      <c r="Q78" s="146">
        <f>Q67+Q77</f>
        <v>8910.11516666667</v>
      </c>
      <c r="R78" s="27"/>
      <c r="S78" s="27"/>
      <c r="T78" s="28"/>
      <c r="U78" s="2"/>
      <c r="V78" s="301" t="s">
        <v>255</v>
      </c>
      <c r="W78" s="199">
        <f t="shared" ref="W78:AD78" si="48">W67+W77</f>
        <v>3861.478</v>
      </c>
      <c r="X78" s="62">
        <f t="shared" si="48"/>
        <v>12671.5933333333</v>
      </c>
      <c r="Y78" s="87">
        <f t="shared" si="48"/>
        <v>8910.11516666667</v>
      </c>
      <c r="Z78" s="212">
        <f t="shared" si="48"/>
        <v>99.9</v>
      </c>
      <c r="AA78" s="89">
        <f t="shared" si="48"/>
        <v>-97.4613981152789</v>
      </c>
      <c r="AB78" s="83">
        <f t="shared" si="48"/>
        <v>25538.8242642194</v>
      </c>
      <c r="AC78" s="125">
        <f t="shared" si="48"/>
        <v>17998.14</v>
      </c>
      <c r="AD78" s="213">
        <f t="shared" si="48"/>
        <v>0</v>
      </c>
      <c r="AE78" s="213">
        <v>0</v>
      </c>
      <c r="AF78" s="214">
        <f>AC78+AD78+AE78</f>
        <v>17998.14</v>
      </c>
      <c r="AG78" s="340">
        <v>0</v>
      </c>
      <c r="AH78" s="95">
        <f>AH67+AH77</f>
        <v>7540.68426421943</v>
      </c>
      <c r="AI78" s="301" t="s">
        <v>255</v>
      </c>
      <c r="AJ78" s="142">
        <f>AH78</f>
        <v>7540.68426421943</v>
      </c>
    </row>
    <row r="79" spans="9:36">
      <c r="I79" s="261">
        <f>I57-I68</f>
        <v>37072.287</v>
      </c>
      <c r="J79" s="262" t="s">
        <v>256</v>
      </c>
      <c r="K79" s="263" t="s">
        <v>18</v>
      </c>
      <c r="L79" s="264">
        <f>L57</f>
        <v>3861.478</v>
      </c>
      <c r="N79" s="146" t="str">
        <f>O63</f>
        <v>CASH BACK</v>
      </c>
      <c r="O79" s="146">
        <f>O57</f>
        <v>8910.11516666667</v>
      </c>
      <c r="P79" s="265" t="s">
        <v>257</v>
      </c>
      <c r="Q79" s="314">
        <f>O57</f>
        <v>8910.11516666667</v>
      </c>
      <c r="R79" s="315">
        <f>R57</f>
        <v>12671.5933333333</v>
      </c>
      <c r="S79" s="95">
        <f>S64</f>
        <v>38114.78</v>
      </c>
      <c r="T79" s="28"/>
      <c r="U79" s="2"/>
      <c r="V79" s="195" t="s">
        <v>6</v>
      </c>
      <c r="W79" s="199">
        <f>R79</f>
        <v>12671.5933333333</v>
      </c>
      <c r="X79" s="62">
        <v>0</v>
      </c>
      <c r="Y79" s="87">
        <v>0</v>
      </c>
      <c r="Z79" s="212">
        <v>0</v>
      </c>
      <c r="AA79" s="89">
        <f>[4]RECEITAS!$AH$100</f>
        <v>-0.00333333333946939</v>
      </c>
      <c r="AB79" s="83">
        <f>W79+X79+Y79+Z79+AA79</f>
        <v>12671.59</v>
      </c>
      <c r="AC79" s="125">
        <v>9100</v>
      </c>
      <c r="AD79" s="213">
        <v>0</v>
      </c>
      <c r="AE79" s="334">
        <f>AE77+AE78</f>
        <v>0</v>
      </c>
      <c r="AF79" s="335">
        <f>AC79+AD79+AE79</f>
        <v>9100</v>
      </c>
      <c r="AG79" s="218">
        <f ca="1">AG77+AG78</f>
        <v>0</v>
      </c>
      <c r="AH79" s="125">
        <f>AB79-AF79</f>
        <v>3571.58999999999</v>
      </c>
      <c r="AI79" s="195" t="s">
        <v>6</v>
      </c>
      <c r="AJ79" s="2"/>
    </row>
    <row r="80" spans="9:36">
      <c r="I80" s="266">
        <f>I57</f>
        <v>38114.78</v>
      </c>
      <c r="J80" s="267" t="s">
        <v>258</v>
      </c>
      <c r="M80" s="72" t="s">
        <v>19</v>
      </c>
      <c r="N80" s="268">
        <f>N67+N77</f>
        <v>12671.5933333333</v>
      </c>
      <c r="O80" s="269" t="s">
        <v>20</v>
      </c>
      <c r="P80" s="270" t="s">
        <v>259</v>
      </c>
      <c r="Q80" s="269" t="s">
        <v>20</v>
      </c>
      <c r="R80" s="269" t="s">
        <v>20</v>
      </c>
      <c r="S80" s="316" t="s">
        <v>7</v>
      </c>
      <c r="T80" s="154" t="s">
        <v>20</v>
      </c>
      <c r="U80" s="2"/>
      <c r="V80" s="301" t="s">
        <v>260</v>
      </c>
      <c r="W80" s="199">
        <f t="shared" ref="W80:AD80" si="49">W78+W79</f>
        <v>16533.0713333333</v>
      </c>
      <c r="X80" s="62">
        <f t="shared" si="49"/>
        <v>12671.5933333333</v>
      </c>
      <c r="Y80" s="87">
        <f t="shared" si="49"/>
        <v>8910.11516666667</v>
      </c>
      <c r="Z80" s="212">
        <f t="shared" si="49"/>
        <v>99.9</v>
      </c>
      <c r="AA80" s="89">
        <f t="shared" si="49"/>
        <v>-97.4647314486184</v>
      </c>
      <c r="AB80" s="83">
        <f t="shared" si="49"/>
        <v>38210.4142642194</v>
      </c>
      <c r="AC80" s="95">
        <f t="shared" si="49"/>
        <v>27098.14</v>
      </c>
      <c r="AD80" s="334">
        <f t="shared" si="49"/>
        <v>0</v>
      </c>
      <c r="AE80" s="334">
        <v>0</v>
      </c>
      <c r="AF80" s="335">
        <f>AF78+AF79</f>
        <v>27098.14</v>
      </c>
      <c r="AG80" s="28"/>
      <c r="AH80" s="95">
        <f>AH78+AH79</f>
        <v>11112.2742642194</v>
      </c>
      <c r="AI80" s="301" t="s">
        <v>260</v>
      </c>
      <c r="AJ80" s="2"/>
    </row>
    <row r="81" spans="9:36">
      <c r="I81" s="271">
        <f>I57-I80</f>
        <v>0</v>
      </c>
      <c r="J81" s="163" t="s">
        <v>20</v>
      </c>
      <c r="K81" s="163" t="s">
        <v>20</v>
      </c>
      <c r="L81" s="271">
        <f>L79-L78</f>
        <v>0</v>
      </c>
      <c r="M81" s="269" t="s">
        <v>20</v>
      </c>
      <c r="N81" s="271">
        <f>N57-N80</f>
        <v>0</v>
      </c>
      <c r="O81" s="271">
        <f>O79-O78</f>
        <v>0</v>
      </c>
      <c r="P81" s="166" t="s">
        <v>261</v>
      </c>
      <c r="Q81" s="271">
        <f>Q79-Q78</f>
        <v>0</v>
      </c>
      <c r="R81" s="271">
        <f>R64-R79</f>
        <v>0</v>
      </c>
      <c r="S81" s="271">
        <f>S64-S79</f>
        <v>0</v>
      </c>
      <c r="T81" s="271">
        <v>0</v>
      </c>
      <c r="U81" s="2"/>
      <c r="V81" s="154" t="s">
        <v>20</v>
      </c>
      <c r="W81" s="317">
        <f>L57+R57</f>
        <v>16533.0713333333</v>
      </c>
      <c r="X81" s="317">
        <f>N57</f>
        <v>12671.5933333333</v>
      </c>
      <c r="Y81" s="317">
        <f>O57</f>
        <v>8910.11516666667</v>
      </c>
      <c r="Z81" s="317">
        <f>Z80</f>
        <v>99.9</v>
      </c>
      <c r="AA81" s="317">
        <f>[4]RECEITAS!$AH$100</f>
        <v>-0.00333333333946939</v>
      </c>
      <c r="AB81" s="317">
        <f>W81+X81+Y81+Z81+AA81</f>
        <v>38214.6765</v>
      </c>
      <c r="AC81" s="317">
        <f>AB81-AC80</f>
        <v>11116.5365</v>
      </c>
      <c r="AD81" s="317">
        <f>AC81</f>
        <v>11116.5365</v>
      </c>
      <c r="AE81" s="317">
        <f>AD82</f>
        <v>11116.5365</v>
      </c>
      <c r="AF81" s="317">
        <f>AB81</f>
        <v>38214.6765</v>
      </c>
      <c r="AG81" s="317"/>
      <c r="AH81" s="317">
        <f>AF82</f>
        <v>11116.5365</v>
      </c>
      <c r="AI81" s="154" t="s">
        <v>20</v>
      </c>
      <c r="AJ81" s="2"/>
    </row>
    <row r="82" spans="9:36">
      <c r="I82" s="142"/>
      <c r="J82" s="143"/>
      <c r="M82" s="2"/>
      <c r="N82" s="143"/>
      <c r="O82" s="2"/>
      <c r="P82" s="2"/>
      <c r="Q82" s="143"/>
      <c r="R82" s="143"/>
      <c r="S82" s="2"/>
      <c r="T82" s="2"/>
      <c r="U82" s="2"/>
      <c r="V82" s="143"/>
      <c r="W82" s="318">
        <f>W80-W81</f>
        <v>0</v>
      </c>
      <c r="X82" s="318">
        <f>X81-X80</f>
        <v>0</v>
      </c>
      <c r="Y82" s="318">
        <f>Y81-Y78</f>
        <v>0</v>
      </c>
      <c r="Z82" s="318">
        <f>Z80-Z81</f>
        <v>0</v>
      </c>
      <c r="AA82" s="317">
        <f>AA80-AA81</f>
        <v>-97.4613981152789</v>
      </c>
      <c r="AB82" s="166">
        <f>AB80-AB81</f>
        <v>-4.26223578058125</v>
      </c>
      <c r="AC82" s="317">
        <v>0</v>
      </c>
      <c r="AD82" s="317">
        <f>AD81-AD80</f>
        <v>11116.5365</v>
      </c>
      <c r="AE82" s="317">
        <f>AD82-AE79</f>
        <v>11116.5365</v>
      </c>
      <c r="AF82" s="317">
        <f>AF81-AF80</f>
        <v>11116.5365</v>
      </c>
      <c r="AG82" s="317"/>
      <c r="AH82" s="199">
        <f>AH81-AH80</f>
        <v>4.26223578057943</v>
      </c>
      <c r="AI82" s="143"/>
      <c r="AJ82" s="2"/>
    </row>
    <row r="83" spans="9:36">
      <c r="I83" s="142"/>
      <c r="J83" s="143"/>
      <c r="K83" s="2"/>
      <c r="L83" s="2"/>
      <c r="M83" s="2"/>
      <c r="N83" s="143"/>
      <c r="O83" s="2"/>
      <c r="P83" s="2"/>
      <c r="Q83" s="143"/>
      <c r="R83" s="143"/>
      <c r="S83" s="194"/>
      <c r="T83" s="2"/>
      <c r="U83" s="2"/>
      <c r="V83" s="143"/>
      <c r="W83" s="143"/>
      <c r="X83" s="143"/>
      <c r="Y83" s="2"/>
      <c r="Z83" s="2"/>
      <c r="AA83" s="2"/>
      <c r="AB83" s="2"/>
      <c r="AC83" s="142"/>
      <c r="AD83" s="336">
        <f>AD64+AD66+AD69+AD70+AD71+AD72+AD76</f>
        <v>0</v>
      </c>
      <c r="AE83" s="2"/>
      <c r="AF83" s="2"/>
      <c r="AG83" s="2"/>
      <c r="AH83" s="2"/>
      <c r="AI83" s="2"/>
      <c r="AJ83" s="2"/>
    </row>
    <row r="84" spans="9:36">
      <c r="I84" s="272">
        <v>400000</v>
      </c>
      <c r="J84" s="33" t="s">
        <v>262</v>
      </c>
      <c r="K84" s="273">
        <v>1</v>
      </c>
      <c r="N84" s="274" t="str">
        <f>N86</f>
        <v>CASH BACK</v>
      </c>
      <c r="O84" s="275" t="s">
        <v>31</v>
      </c>
      <c r="P84" s="275">
        <v>2</v>
      </c>
      <c r="Q84" s="274">
        <f>Q94</f>
        <v>3757.39636111111</v>
      </c>
      <c r="R84" s="98">
        <f>Q84</f>
        <v>3757.39636111111</v>
      </c>
      <c r="S84" s="143"/>
      <c r="T84" s="2"/>
      <c r="U84" s="2"/>
      <c r="V84" s="143"/>
      <c r="W84" s="143"/>
      <c r="X84" s="143"/>
      <c r="Y84" s="2"/>
      <c r="Z84" s="2"/>
      <c r="AA84" s="142"/>
      <c r="AB84" s="142">
        <f>AB64+AB66+AB68</f>
        <v>19133.2956209986</v>
      </c>
      <c r="AC84" s="2"/>
      <c r="AD84" s="2"/>
      <c r="AE84" s="2"/>
      <c r="AF84" s="2"/>
      <c r="AG84" s="2"/>
      <c r="AH84" s="2"/>
      <c r="AI84" s="2"/>
      <c r="AJ84" s="2"/>
    </row>
    <row r="85" spans="9:36">
      <c r="I85" s="276">
        <f>I84/12</f>
        <v>33333.3333333333</v>
      </c>
      <c r="J85" s="277" t="s">
        <v>263</v>
      </c>
      <c r="K85" s="278">
        <v>1</v>
      </c>
      <c r="L85" s="143"/>
      <c r="N85" s="279" t="str">
        <f>N87</f>
        <v>CASH BACK</v>
      </c>
      <c r="O85" s="280" t="s">
        <v>58</v>
      </c>
      <c r="P85" s="280">
        <v>2</v>
      </c>
      <c r="Q85" s="279">
        <f>Q84</f>
        <v>3757.39636111111</v>
      </c>
      <c r="R85" s="96">
        <f>R84</f>
        <v>3757.39636111111</v>
      </c>
      <c r="S85" s="194"/>
      <c r="T85" s="142"/>
      <c r="U85" s="2"/>
      <c r="V85" s="143"/>
      <c r="W85" s="143"/>
      <c r="X85" s="143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</row>
    <row r="86" spans="9:36">
      <c r="I86" s="281">
        <f>I80</f>
        <v>38114.78</v>
      </c>
      <c r="J86" s="281" t="str">
        <f>J80</f>
        <v>VALOR BRUTO RECEBIDO</v>
      </c>
      <c r="K86" s="282">
        <f>I86/I85</f>
        <v>1.1434434</v>
      </c>
      <c r="L86" s="143"/>
      <c r="N86" s="283" t="str">
        <f>N79</f>
        <v>CASH BACK</v>
      </c>
      <c r="O86" s="284" t="s">
        <v>217</v>
      </c>
      <c r="P86" s="285">
        <v>3</v>
      </c>
      <c r="Q86" s="283">
        <f>Q68</f>
        <v>919.716777777778</v>
      </c>
      <c r="R86" s="283">
        <f>Q86</f>
        <v>919.716777777778</v>
      </c>
      <c r="S86" s="194"/>
      <c r="T86" s="2"/>
      <c r="U86" s="2"/>
      <c r="V86" s="143"/>
      <c r="W86" s="143"/>
      <c r="X86" s="143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</row>
    <row r="87" spans="9:35">
      <c r="I87" s="286">
        <f>I86-I85</f>
        <v>4781.44666666666</v>
      </c>
      <c r="J87" s="287" t="s">
        <v>264</v>
      </c>
      <c r="K87" s="287" t="s">
        <v>265</v>
      </c>
      <c r="L87" s="2"/>
      <c r="M87" s="143"/>
      <c r="N87" s="288" t="str">
        <f>N79</f>
        <v>CASH BACK</v>
      </c>
      <c r="O87" s="289" t="str">
        <f>M66</f>
        <v>SIMONE</v>
      </c>
      <c r="P87" s="290">
        <v>3</v>
      </c>
      <c r="Q87" s="289">
        <f>Q66</f>
        <v>450.716777777778</v>
      </c>
      <c r="R87" s="288">
        <f>Q87</f>
        <v>450.716777777778</v>
      </c>
      <c r="S87" s="194"/>
      <c r="T87" s="2"/>
      <c r="U87" s="2"/>
      <c r="V87" s="143"/>
      <c r="W87" s="143"/>
      <c r="X87" s="143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</row>
    <row r="88" spans="9:35">
      <c r="I88" s="142"/>
      <c r="J88" s="143"/>
      <c r="K88" s="2"/>
      <c r="L88" s="2"/>
      <c r="M88" s="143"/>
      <c r="N88" s="241" t="str">
        <f>N79</f>
        <v>CASH BACK</v>
      </c>
      <c r="O88" s="241" t="str">
        <f>M69</f>
        <v>EDUARDO</v>
      </c>
      <c r="P88" s="291">
        <v>3</v>
      </c>
      <c r="Q88" s="319">
        <f>Q69</f>
        <v>9.33333333333333</v>
      </c>
      <c r="R88" s="117">
        <f>Q88</f>
        <v>9.33333333333333</v>
      </c>
      <c r="S88" s="194"/>
      <c r="T88" s="2"/>
      <c r="U88" s="2"/>
      <c r="V88" s="143"/>
      <c r="W88" s="143"/>
      <c r="X88" s="143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</row>
    <row r="89" spans="9:35">
      <c r="I89" s="142"/>
      <c r="J89" s="143"/>
      <c r="K89" s="2"/>
      <c r="L89" s="2"/>
      <c r="M89" s="143"/>
      <c r="N89" s="243" t="str">
        <f>N79</f>
        <v>CASH BACK</v>
      </c>
      <c r="O89" s="243" t="str">
        <f>M70</f>
        <v>CRISTIANO</v>
      </c>
      <c r="P89" s="292">
        <v>3</v>
      </c>
      <c r="Q89" s="320">
        <f>Q70</f>
        <v>15.5555555555556</v>
      </c>
      <c r="R89" s="107">
        <f>Q89</f>
        <v>15.5555555555556</v>
      </c>
      <c r="S89" s="194"/>
      <c r="T89" s="2"/>
      <c r="U89" s="2"/>
      <c r="V89" s="143"/>
      <c r="W89" s="143"/>
      <c r="X89" s="143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</row>
    <row r="90" spans="9:35">
      <c r="I90" s="142"/>
      <c r="J90" s="143"/>
      <c r="K90" s="2"/>
      <c r="L90" s="2"/>
      <c r="M90" s="143"/>
      <c r="N90" s="293" t="str">
        <f>N89</f>
        <v>CASH BACK</v>
      </c>
      <c r="O90" s="293" t="str">
        <f>P76</f>
        <v>DANIELA</v>
      </c>
      <c r="P90" s="294">
        <v>3</v>
      </c>
      <c r="Q90" s="321">
        <f>Q76</f>
        <v>0</v>
      </c>
      <c r="R90" s="322">
        <f>Q90</f>
        <v>0</v>
      </c>
      <c r="S90" s="194"/>
      <c r="T90" s="2"/>
      <c r="U90" s="2"/>
      <c r="V90" s="143"/>
      <c r="W90" s="143"/>
      <c r="X90" s="143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</row>
    <row r="91" spans="9:36">
      <c r="I91" s="142"/>
      <c r="J91" s="143"/>
      <c r="K91" s="2"/>
      <c r="L91" s="2"/>
      <c r="M91" s="143"/>
      <c r="Q91" s="194">
        <f>Q86+Q87+Q88+Q89+Q90</f>
        <v>1395.32244444444</v>
      </c>
      <c r="R91" s="194">
        <f>SUM(R84:R90)</f>
        <v>8910.11516666667</v>
      </c>
      <c r="S91" s="2"/>
      <c r="V91" s="143"/>
      <c r="W91" s="143"/>
      <c r="X91" s="143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</row>
    <row r="92" spans="9:36">
      <c r="I92" s="142"/>
      <c r="J92" s="143"/>
      <c r="K92" s="2"/>
      <c r="L92" s="2"/>
      <c r="M92" s="143"/>
      <c r="Q92" s="194">
        <f>O57</f>
        <v>8910.11516666667</v>
      </c>
      <c r="R92" s="194"/>
      <c r="S92" s="2"/>
      <c r="V92" s="143"/>
      <c r="W92" s="143"/>
      <c r="X92" s="143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</row>
    <row r="93" spans="9:35">
      <c r="I93" s="142"/>
      <c r="J93" s="143"/>
      <c r="K93" s="2"/>
      <c r="L93" s="2"/>
      <c r="M93" s="2"/>
      <c r="Q93" s="194">
        <f>Q92-Q91</f>
        <v>7514.79272222222</v>
      </c>
      <c r="R93" s="143"/>
      <c r="S93" s="2"/>
      <c r="V93" s="143"/>
      <c r="W93" s="143"/>
      <c r="X93" s="143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</row>
    <row r="94" spans="9:35">
      <c r="I94" s="142"/>
      <c r="J94" s="143"/>
      <c r="K94" s="2"/>
      <c r="L94" s="2"/>
      <c r="M94" s="2"/>
      <c r="Q94" s="194">
        <f>Q93/2</f>
        <v>3757.39636111111</v>
      </c>
      <c r="R94" s="143"/>
      <c r="S94" s="2"/>
      <c r="V94" s="143"/>
      <c r="W94" s="143"/>
      <c r="X94" s="143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</row>
    <row r="95" spans="9:35">
      <c r="I95" s="142"/>
      <c r="J95" s="143"/>
      <c r="K95" s="2"/>
      <c r="L95" s="2"/>
      <c r="M95" s="2"/>
      <c r="Q95" s="194">
        <f>O57</f>
        <v>8910.11516666667</v>
      </c>
      <c r="R95" s="143"/>
      <c r="S95" s="2"/>
      <c r="V95" s="143"/>
      <c r="W95" s="143"/>
      <c r="X95" s="143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</row>
    <row r="96" spans="9:24">
      <c r="I96" s="142"/>
      <c r="J96" s="143"/>
      <c r="K96" s="2"/>
      <c r="L96" s="2"/>
      <c r="M96" s="2"/>
      <c r="N96" s="143"/>
      <c r="O96" s="2"/>
      <c r="P96" s="2"/>
      <c r="Q96" s="194">
        <f>R91</f>
        <v>8910.11516666667</v>
      </c>
      <c r="R96" s="143"/>
      <c r="S96" s="2"/>
      <c r="V96" s="143"/>
      <c r="W96" s="143"/>
      <c r="X96" s="143"/>
    </row>
    <row r="97" spans="17:17">
      <c r="Q97" s="141">
        <f>Q95-Q96</f>
        <v>0</v>
      </c>
    </row>
    <row r="100" spans="2:39">
      <c r="B100" s="10" t="s">
        <v>1</v>
      </c>
      <c r="C100" s="220"/>
      <c r="D100" s="221" t="s">
        <v>266</v>
      </c>
      <c r="E100" s="202"/>
      <c r="F100" s="222"/>
      <c r="G100" s="223"/>
      <c r="H100" s="220"/>
      <c r="I100" s="223"/>
      <c r="J100" s="220"/>
      <c r="K100" s="220"/>
      <c r="L100" s="220"/>
      <c r="M100" s="220"/>
      <c r="N100" s="220"/>
      <c r="O100" s="146" t="s">
        <v>3</v>
      </c>
      <c r="P100" s="259" t="s">
        <v>4</v>
      </c>
      <c r="Q100" s="313" t="s">
        <v>5</v>
      </c>
      <c r="R100" s="195" t="s">
        <v>6</v>
      </c>
      <c r="S100" s="316" t="s">
        <v>7</v>
      </c>
      <c r="T100" s="202"/>
      <c r="U100" s="220"/>
      <c r="V100" s="220"/>
      <c r="W100" s="223"/>
      <c r="X100" s="226" t="s">
        <v>24</v>
      </c>
      <c r="Y100" s="30"/>
      <c r="Z100" s="194"/>
      <c r="AA100" s="194"/>
      <c r="AB100" s="143"/>
      <c r="AC100" s="194"/>
      <c r="AD100" s="194"/>
      <c r="AE100" s="143"/>
      <c r="AF100" s="143"/>
      <c r="AG100" s="2"/>
      <c r="AH100" s="2"/>
      <c r="AI100" s="2"/>
      <c r="AJ100" s="2"/>
      <c r="AK100" s="2"/>
      <c r="AL100" s="2"/>
      <c r="AM100" s="2"/>
    </row>
    <row r="101" spans="1:39">
      <c r="A101" s="224" t="s">
        <v>8</v>
      </c>
      <c r="B101" s="221" t="s">
        <v>9</v>
      </c>
      <c r="C101" s="221" t="s">
        <v>10</v>
      </c>
      <c r="D101" s="225" t="s">
        <v>11</v>
      </c>
      <c r="E101" s="226" t="s">
        <v>12</v>
      </c>
      <c r="F101" s="227" t="s">
        <v>13</v>
      </c>
      <c r="G101" s="226" t="s">
        <v>14</v>
      </c>
      <c r="H101" s="226" t="s">
        <v>15</v>
      </c>
      <c r="I101" s="295" t="s">
        <v>16</v>
      </c>
      <c r="J101" s="226" t="s">
        <v>17</v>
      </c>
      <c r="K101" s="296" t="s">
        <v>18</v>
      </c>
      <c r="L101" s="297">
        <v>0.1</v>
      </c>
      <c r="M101" s="298" t="s">
        <v>19</v>
      </c>
      <c r="N101" s="297">
        <v>0.33333333</v>
      </c>
      <c r="O101" s="299">
        <v>0.2333</v>
      </c>
      <c r="P101" s="300"/>
      <c r="Q101" s="323"/>
      <c r="R101" s="324">
        <f>N101</f>
        <v>0.33333333</v>
      </c>
      <c r="S101" s="325">
        <v>1</v>
      </c>
      <c r="T101" s="326" t="s">
        <v>20</v>
      </c>
      <c r="U101" s="226" t="s">
        <v>21</v>
      </c>
      <c r="V101" s="226" t="s">
        <v>22</v>
      </c>
      <c r="W101" s="226" t="s">
        <v>23</v>
      </c>
      <c r="X101" s="30"/>
      <c r="Y101" s="30"/>
      <c r="Z101" s="194"/>
      <c r="AA101" s="194"/>
      <c r="AB101" s="194"/>
      <c r="AC101" s="194"/>
      <c r="AD101" s="194"/>
      <c r="AE101" s="143"/>
      <c r="AF101" s="143"/>
      <c r="AG101" s="2"/>
      <c r="AH101" s="2"/>
      <c r="AI101" s="2"/>
      <c r="AJ101" s="2"/>
      <c r="AK101" s="2"/>
      <c r="AL101" s="2"/>
      <c r="AM101" s="2"/>
    </row>
    <row r="102" spans="1:40">
      <c r="A102" s="228" t="s">
        <v>265</v>
      </c>
      <c r="B102" s="27">
        <v>1</v>
      </c>
      <c r="C102" s="228" t="s">
        <v>265</v>
      </c>
      <c r="D102" s="32" t="s">
        <v>53</v>
      </c>
      <c r="E102" s="33" t="s">
        <v>54</v>
      </c>
      <c r="F102" s="34" t="s">
        <v>55</v>
      </c>
      <c r="G102" s="30">
        <v>3000</v>
      </c>
      <c r="H102" s="27" t="s">
        <v>56</v>
      </c>
      <c r="I102" s="94">
        <v>200</v>
      </c>
      <c r="J102" s="95" t="s">
        <v>57</v>
      </c>
      <c r="K102" s="85" t="str">
        <f>M102</f>
        <v>JS</v>
      </c>
      <c r="L102" s="85">
        <f>I102*10/100</f>
        <v>20</v>
      </c>
      <c r="M102" s="96" t="s">
        <v>58</v>
      </c>
      <c r="N102" s="96">
        <f>I102/3/2</f>
        <v>33.3333333333333</v>
      </c>
      <c r="O102" s="87">
        <f>I102/3-L102</f>
        <v>46.6666666666667</v>
      </c>
      <c r="P102" s="82">
        <v>2</v>
      </c>
      <c r="Q102" s="157">
        <f>O102/P102</f>
        <v>23.3333333333333</v>
      </c>
      <c r="R102" s="165">
        <f>I102/3</f>
        <v>66.6666666666667</v>
      </c>
      <c r="S102" s="125">
        <f>L102+N102+N103+O102+R102</f>
        <v>200</v>
      </c>
      <c r="T102" s="166">
        <f>I102-S102</f>
        <v>0</v>
      </c>
      <c r="U102" s="167">
        <f>I102*7</f>
        <v>1400</v>
      </c>
      <c r="V102" s="27" t="s">
        <v>267</v>
      </c>
      <c r="W102" s="30" t="s">
        <v>60</v>
      </c>
      <c r="X102" s="30"/>
      <c r="Y102" s="141"/>
      <c r="Z102" s="141"/>
      <c r="AA102" s="141"/>
      <c r="AB102" s="8"/>
      <c r="AD102" s="141"/>
      <c r="AE102" s="8"/>
      <c r="AF102" s="8"/>
      <c r="AJ102" s="2"/>
      <c r="AK102" s="2"/>
      <c r="AL102" s="2"/>
      <c r="AM102" s="2"/>
      <c r="AN102" s="2"/>
    </row>
    <row r="103" spans="1:40">
      <c r="A103" s="35"/>
      <c r="B103" s="27"/>
      <c r="C103" s="35"/>
      <c r="D103" s="28"/>
      <c r="E103" s="28"/>
      <c r="F103" s="36"/>
      <c r="G103" s="30"/>
      <c r="H103" s="30"/>
      <c r="I103" s="30"/>
      <c r="J103" s="30"/>
      <c r="K103" s="27"/>
      <c r="L103" s="97"/>
      <c r="M103" s="92" t="s">
        <v>31</v>
      </c>
      <c r="N103" s="98">
        <f>I102/3/2</f>
        <v>33.3333333333333</v>
      </c>
      <c r="O103" s="27"/>
      <c r="P103" s="82"/>
      <c r="Q103" s="157"/>
      <c r="R103" s="27"/>
      <c r="S103" s="27"/>
      <c r="T103" s="27"/>
      <c r="U103" s="27"/>
      <c r="V103" s="27"/>
      <c r="W103" s="30"/>
      <c r="X103" s="30"/>
      <c r="Y103" s="141"/>
      <c r="Z103" s="141"/>
      <c r="AA103" s="141"/>
      <c r="AB103" s="8"/>
      <c r="AD103" s="141"/>
      <c r="AE103" s="8"/>
      <c r="AF103" s="8"/>
      <c r="AJ103" s="2"/>
      <c r="AK103" s="2"/>
      <c r="AL103" s="2"/>
      <c r="AM103" s="2"/>
      <c r="AN103" s="2"/>
    </row>
    <row r="104" spans="1:35">
      <c r="A104" s="228" t="s">
        <v>265</v>
      </c>
      <c r="B104" s="27">
        <f>B102+1</f>
        <v>2</v>
      </c>
      <c r="C104" s="228" t="s">
        <v>265</v>
      </c>
      <c r="D104" s="28" t="s">
        <v>268</v>
      </c>
      <c r="E104" s="229" t="s">
        <v>36</v>
      </c>
      <c r="F104" s="34" t="s">
        <v>269</v>
      </c>
      <c r="G104" s="30">
        <f>5*1412</f>
        <v>7060</v>
      </c>
      <c r="H104" s="27" t="s">
        <v>270</v>
      </c>
      <c r="I104" s="83">
        <v>1000</v>
      </c>
      <c r="J104" s="301" t="s">
        <v>48</v>
      </c>
      <c r="K104" s="100" t="s">
        <v>31</v>
      </c>
      <c r="L104" s="100">
        <f t="shared" ref="L104:L105" si="50">I104*10/100</f>
        <v>100</v>
      </c>
      <c r="M104" s="302" t="s">
        <v>30</v>
      </c>
      <c r="N104" s="85">
        <f t="shared" ref="N104:N107" si="51">I104/3</f>
        <v>333.333333333333</v>
      </c>
      <c r="O104" s="87">
        <f t="shared" ref="O104:O107" si="52">I104/3-L104</f>
        <v>233.333333333333</v>
      </c>
      <c r="P104" s="82">
        <v>2</v>
      </c>
      <c r="Q104" s="157">
        <f>O104/P104</f>
        <v>116.666666666667</v>
      </c>
      <c r="R104" s="165">
        <f t="shared" ref="R104:R107" si="53">I104/3</f>
        <v>333.333333333333</v>
      </c>
      <c r="S104" s="95">
        <f t="shared" ref="S104:S107" si="54">L104+N104+O104+R104</f>
        <v>1000</v>
      </c>
      <c r="T104" s="317">
        <f t="shared" ref="T104:T105" si="55">I104-S104</f>
        <v>0</v>
      </c>
      <c r="U104" s="167">
        <f>G104-1412-1412-1412-1000-1000</f>
        <v>824</v>
      </c>
      <c r="V104" s="27" t="s">
        <v>271</v>
      </c>
      <c r="W104" s="27" t="s">
        <v>272</v>
      </c>
      <c r="X104" s="143"/>
      <c r="Y104" s="194"/>
      <c r="Z104" s="194"/>
      <c r="AA104" s="194"/>
      <c r="AB104" s="2"/>
      <c r="AC104" s="2"/>
      <c r="AD104" s="194"/>
      <c r="AE104" s="143"/>
      <c r="AF104" s="143"/>
      <c r="AG104" s="2"/>
      <c r="AH104" s="2"/>
      <c r="AI104" s="2"/>
    </row>
    <row r="105" spans="1:32">
      <c r="A105" s="228" t="s">
        <v>265</v>
      </c>
      <c r="B105" s="27">
        <f>B104+1</f>
        <v>3</v>
      </c>
      <c r="C105" s="228" t="s">
        <v>265</v>
      </c>
      <c r="D105" s="2" t="s">
        <v>273</v>
      </c>
      <c r="E105" s="230" t="s">
        <v>274</v>
      </c>
      <c r="F105" s="231" t="s">
        <v>275</v>
      </c>
      <c r="G105" s="30">
        <v>2000</v>
      </c>
      <c r="H105" s="143" t="s">
        <v>276</v>
      </c>
      <c r="I105" s="303">
        <v>500</v>
      </c>
      <c r="J105" s="114" t="e">
        <f>#REF!</f>
        <v>#REF!</v>
      </c>
      <c r="K105" s="86" t="s">
        <v>40</v>
      </c>
      <c r="L105" s="86">
        <f t="shared" si="50"/>
        <v>50</v>
      </c>
      <c r="M105" s="193" t="s">
        <v>277</v>
      </c>
      <c r="N105" s="193">
        <f t="shared" si="51"/>
        <v>166.666666666667</v>
      </c>
      <c r="O105" s="87">
        <f t="shared" si="52"/>
        <v>116.666666666667</v>
      </c>
      <c r="P105" s="129">
        <v>4</v>
      </c>
      <c r="Q105" s="86">
        <f>O105/4</f>
        <v>29.1666666666667</v>
      </c>
      <c r="R105" s="170">
        <f t="shared" si="53"/>
        <v>166.666666666667</v>
      </c>
      <c r="S105" s="125">
        <f t="shared" si="54"/>
        <v>500</v>
      </c>
      <c r="T105" s="174">
        <f t="shared" si="55"/>
        <v>0</v>
      </c>
      <c r="U105" s="168">
        <f>I105*0</f>
        <v>0</v>
      </c>
      <c r="V105" s="59" t="s">
        <v>278</v>
      </c>
      <c r="W105" s="30" t="s">
        <v>51</v>
      </c>
      <c r="X105" s="194"/>
      <c r="Y105" s="141"/>
      <c r="Z105" s="141"/>
      <c r="AA105" s="141"/>
      <c r="AB105" s="8"/>
      <c r="AD105" s="141"/>
      <c r="AE105" s="8"/>
      <c r="AF105" s="8"/>
    </row>
    <row r="106" spans="1:35">
      <c r="A106" s="228" t="s">
        <v>265</v>
      </c>
      <c r="B106" s="39">
        <f>B105+1</f>
        <v>4</v>
      </c>
      <c r="C106" s="228" t="s">
        <v>265</v>
      </c>
      <c r="D106" s="232" t="s">
        <v>279</v>
      </c>
      <c r="E106" s="31" t="s">
        <v>45</v>
      </c>
      <c r="F106" s="233" t="s">
        <v>280</v>
      </c>
      <c r="G106" s="234">
        <v>4500</v>
      </c>
      <c r="H106" s="235" t="s">
        <v>281</v>
      </c>
      <c r="I106" s="304">
        <v>500</v>
      </c>
      <c r="J106" s="305" t="str">
        <f>J40</f>
        <v>DEPÓSITO JUDICIAL</v>
      </c>
      <c r="K106" s="85" t="s">
        <v>58</v>
      </c>
      <c r="L106" s="85">
        <f t="shared" ref="L106:L107" si="56">I106*10/100</f>
        <v>50</v>
      </c>
      <c r="M106" s="92" t="s">
        <v>31</v>
      </c>
      <c r="N106" s="93">
        <f t="shared" si="51"/>
        <v>166.666666666667</v>
      </c>
      <c r="O106" s="306">
        <f t="shared" si="52"/>
        <v>116.666666666667</v>
      </c>
      <c r="P106" s="82">
        <v>2</v>
      </c>
      <c r="Q106" s="157">
        <f>O106/P106</f>
        <v>58.3333333333333</v>
      </c>
      <c r="R106" s="327">
        <f t="shared" si="53"/>
        <v>166.666666666667</v>
      </c>
      <c r="S106" s="328">
        <f t="shared" si="54"/>
        <v>500</v>
      </c>
      <c r="T106" s="329">
        <v>0</v>
      </c>
      <c r="U106" s="330">
        <f>I106*5</f>
        <v>2500</v>
      </c>
      <c r="V106" s="234" t="s">
        <v>282</v>
      </c>
      <c r="W106" s="234" t="s">
        <v>79</v>
      </c>
      <c r="X106" s="234"/>
      <c r="Y106" s="30"/>
      <c r="Z106" s="194"/>
      <c r="AA106" s="194"/>
      <c r="AB106" s="143"/>
      <c r="AC106" s="2"/>
      <c r="AD106" s="194"/>
      <c r="AE106" s="143"/>
      <c r="AF106" s="143"/>
      <c r="AG106" s="2"/>
      <c r="AH106" s="2"/>
      <c r="AI106" s="2"/>
    </row>
    <row r="107" spans="1:37">
      <c r="A107" s="228" t="s">
        <v>265</v>
      </c>
      <c r="B107" s="39">
        <f t="shared" ref="B107:B150" si="57">B106+1</f>
        <v>5</v>
      </c>
      <c r="C107" s="228" t="s">
        <v>265</v>
      </c>
      <c r="D107" s="236" t="s">
        <v>283</v>
      </c>
      <c r="E107" s="31" t="s">
        <v>45</v>
      </c>
      <c r="F107" s="58" t="s">
        <v>284</v>
      </c>
      <c r="G107" s="59">
        <v>150</v>
      </c>
      <c r="H107" s="60" t="s">
        <v>176</v>
      </c>
      <c r="I107" s="304">
        <v>150</v>
      </c>
      <c r="J107" s="125" t="s">
        <v>285</v>
      </c>
      <c r="K107" s="92" t="s">
        <v>31</v>
      </c>
      <c r="L107" s="92">
        <f t="shared" si="56"/>
        <v>15</v>
      </c>
      <c r="M107" s="98" t="s">
        <v>31</v>
      </c>
      <c r="N107" s="98">
        <f t="shared" si="51"/>
        <v>50</v>
      </c>
      <c r="O107" s="87">
        <f t="shared" si="52"/>
        <v>35</v>
      </c>
      <c r="P107" s="82">
        <v>2</v>
      </c>
      <c r="Q107" s="157">
        <f>O107/2</f>
        <v>17.5</v>
      </c>
      <c r="R107" s="179">
        <f t="shared" si="53"/>
        <v>50</v>
      </c>
      <c r="S107" s="125">
        <f t="shared" si="54"/>
        <v>150</v>
      </c>
      <c r="T107" s="331">
        <f>I107-S107</f>
        <v>0</v>
      </c>
      <c r="U107" s="186">
        <f>I107*0</f>
        <v>0</v>
      </c>
      <c r="V107" s="60" t="s">
        <v>176</v>
      </c>
      <c r="W107" s="59"/>
      <c r="X107" s="59"/>
      <c r="Y107" s="141"/>
      <c r="Z107" s="141"/>
      <c r="AA107" s="141"/>
      <c r="AB107" s="8"/>
      <c r="AD107" s="141"/>
      <c r="AE107" s="8"/>
      <c r="AF107" s="8"/>
      <c r="AJ107" s="2"/>
      <c r="AK107" s="2"/>
    </row>
    <row r="108" spans="1:37">
      <c r="A108" s="228" t="s">
        <v>265</v>
      </c>
      <c r="B108" s="39">
        <f t="shared" si="57"/>
        <v>6</v>
      </c>
      <c r="C108" s="228" t="s">
        <v>265</v>
      </c>
      <c r="D108" s="28" t="s">
        <v>286</v>
      </c>
      <c r="E108" s="29" t="s">
        <v>36</v>
      </c>
      <c r="F108" s="28" t="s">
        <v>287</v>
      </c>
      <c r="G108" s="30">
        <v>5000</v>
      </c>
      <c r="H108" s="27" t="s">
        <v>288</v>
      </c>
      <c r="I108" s="83">
        <v>500</v>
      </c>
      <c r="J108" s="84" t="str">
        <f>J107</f>
        <v>BOLETO PJ ITAÚ</v>
      </c>
      <c r="K108" s="92" t="s">
        <v>31</v>
      </c>
      <c r="L108" s="92">
        <f t="shared" ref="L108:L109" si="58">I108*10/100</f>
        <v>50</v>
      </c>
      <c r="M108" s="92" t="s">
        <v>31</v>
      </c>
      <c r="N108" s="93">
        <f t="shared" ref="N108" si="59">I108/3</f>
        <v>166.666666666667</v>
      </c>
      <c r="O108" s="87">
        <f t="shared" ref="O108:O109" si="60">I108/3-L108</f>
        <v>116.666666666667</v>
      </c>
      <c r="P108" s="82">
        <v>2</v>
      </c>
      <c r="Q108" s="157">
        <f>O108/P108</f>
        <v>58.3333333333333</v>
      </c>
      <c r="R108" s="162">
        <f t="shared" ref="R108:R109" si="61">I108/3</f>
        <v>166.666666666667</v>
      </c>
      <c r="S108" s="125">
        <f t="shared" ref="S108" si="62">L108+N108+O108+R108</f>
        <v>500</v>
      </c>
      <c r="T108" s="163">
        <v>0</v>
      </c>
      <c r="U108" s="164">
        <f>I108*8</f>
        <v>4000</v>
      </c>
      <c r="V108" s="53" t="s">
        <v>289</v>
      </c>
      <c r="W108" s="30" t="s">
        <v>149</v>
      </c>
      <c r="X108" s="30"/>
      <c r="Y108" s="337"/>
      <c r="Z108" s="337"/>
      <c r="AA108" s="337"/>
      <c r="AB108" s="337"/>
      <c r="AC108" s="337"/>
      <c r="AD108" s="337"/>
      <c r="AE108" s="8"/>
      <c r="AF108" s="8"/>
      <c r="AJ108" s="2"/>
      <c r="AK108" s="2"/>
    </row>
    <row r="109" spans="1:37">
      <c r="A109" s="228" t="s">
        <v>265</v>
      </c>
      <c r="B109" s="39">
        <f t="shared" si="57"/>
        <v>7</v>
      </c>
      <c r="C109" s="228" t="s">
        <v>265</v>
      </c>
      <c r="D109" s="28" t="s">
        <v>290</v>
      </c>
      <c r="E109" s="33" t="s">
        <v>54</v>
      </c>
      <c r="F109" s="34" t="s">
        <v>55</v>
      </c>
      <c r="G109" s="30">
        <v>3000</v>
      </c>
      <c r="H109" s="27" t="s">
        <v>56</v>
      </c>
      <c r="I109" s="94">
        <v>200</v>
      </c>
      <c r="J109" s="95" t="s">
        <v>57</v>
      </c>
      <c r="K109" s="85" t="str">
        <f>M109</f>
        <v>JS</v>
      </c>
      <c r="L109" s="85">
        <f t="shared" si="58"/>
        <v>20</v>
      </c>
      <c r="M109" s="96" t="s">
        <v>58</v>
      </c>
      <c r="N109" s="96">
        <f>I109/3/2</f>
        <v>33.3333333333333</v>
      </c>
      <c r="O109" s="87">
        <f t="shared" si="60"/>
        <v>46.6666666666667</v>
      </c>
      <c r="P109" s="82">
        <v>2</v>
      </c>
      <c r="Q109" s="157">
        <f>O109/2</f>
        <v>23.3333333333333</v>
      </c>
      <c r="R109" s="165">
        <f t="shared" si="61"/>
        <v>66.6666666666667</v>
      </c>
      <c r="S109" s="125">
        <f>L109+N109+N110+O109+R109</f>
        <v>200</v>
      </c>
      <c r="T109" s="180">
        <f>I109-S109</f>
        <v>0</v>
      </c>
      <c r="U109" s="167">
        <f>I109*6</f>
        <v>1200</v>
      </c>
      <c r="V109" s="27" t="e">
        <f>#REF!</f>
        <v>#REF!</v>
      </c>
      <c r="W109" s="30" t="s">
        <v>60</v>
      </c>
      <c r="X109" s="30"/>
      <c r="Y109" s="194"/>
      <c r="Z109" s="194"/>
      <c r="AA109" s="143"/>
      <c r="AB109" s="2"/>
      <c r="AC109" s="194"/>
      <c r="AD109" s="143"/>
      <c r="AE109" s="143"/>
      <c r="AF109" s="2"/>
      <c r="AG109" s="2"/>
      <c r="AH109" s="2"/>
      <c r="AI109" s="2"/>
      <c r="AJ109" s="2"/>
      <c r="AK109" s="2"/>
    </row>
    <row r="110" spans="1:37">
      <c r="A110" s="28"/>
      <c r="B110" s="39"/>
      <c r="C110" s="28"/>
      <c r="D110" s="28"/>
      <c r="E110" s="28"/>
      <c r="F110" s="36"/>
      <c r="G110" s="30"/>
      <c r="H110" s="30"/>
      <c r="I110" s="30"/>
      <c r="J110" s="30"/>
      <c r="K110" s="27"/>
      <c r="L110" s="97"/>
      <c r="M110" s="92" t="s">
        <v>31</v>
      </c>
      <c r="N110" s="98">
        <f>I109/3/2</f>
        <v>33.3333333333333</v>
      </c>
      <c r="O110" s="27"/>
      <c r="P110" s="28"/>
      <c r="Q110" s="27"/>
      <c r="R110" s="27"/>
      <c r="S110" s="27"/>
      <c r="T110" s="27"/>
      <c r="U110" s="27"/>
      <c r="V110" s="27"/>
      <c r="W110" s="30"/>
      <c r="X110" s="30"/>
      <c r="Y110" s="337"/>
      <c r="Z110" s="337"/>
      <c r="AA110" s="337"/>
      <c r="AB110" s="338"/>
      <c r="AC110" s="337"/>
      <c r="AD110" s="337"/>
      <c r="AE110" s="8"/>
      <c r="AF110" s="8"/>
      <c r="AJ110" s="2"/>
      <c r="AK110" s="2"/>
    </row>
    <row r="111" spans="1:37">
      <c r="A111" s="228" t="s">
        <v>265</v>
      </c>
      <c r="B111" s="39">
        <f>B109+1</f>
        <v>8</v>
      </c>
      <c r="C111" s="228" t="s">
        <v>265</v>
      </c>
      <c r="D111" s="2" t="s">
        <v>291</v>
      </c>
      <c r="E111" s="29" t="s">
        <v>36</v>
      </c>
      <c r="F111" s="2" t="s">
        <v>292</v>
      </c>
      <c r="G111" s="30">
        <v>4000</v>
      </c>
      <c r="H111" s="27" t="s">
        <v>293</v>
      </c>
      <c r="I111" s="83">
        <v>400</v>
      </c>
      <c r="J111" s="95" t="s">
        <v>48</v>
      </c>
      <c r="K111" s="85" t="s">
        <v>30</v>
      </c>
      <c r="L111" s="85">
        <f>I111*10/100</f>
        <v>40</v>
      </c>
      <c r="M111" s="112" t="s">
        <v>40</v>
      </c>
      <c r="N111" s="112">
        <f>I111/3</f>
        <v>133.333333333333</v>
      </c>
      <c r="O111" s="87">
        <f>I111/3-L111</f>
        <v>93.3333333333333</v>
      </c>
      <c r="P111" s="88">
        <v>3</v>
      </c>
      <c r="Q111" s="86">
        <f>O111/3</f>
        <v>31.1111111111111</v>
      </c>
      <c r="R111" s="162">
        <f>I111/3</f>
        <v>133.333333333333</v>
      </c>
      <c r="S111" s="125">
        <f>L111+N111+O111+R111</f>
        <v>400</v>
      </c>
      <c r="T111" s="163">
        <v>0</v>
      </c>
      <c r="U111" s="164">
        <f>I111*7</f>
        <v>2800</v>
      </c>
      <c r="V111" s="53" t="s">
        <v>294</v>
      </c>
      <c r="W111" s="30" t="s">
        <v>33</v>
      </c>
      <c r="X111" s="30"/>
      <c r="AB111" s="337"/>
      <c r="AC111" s="337"/>
      <c r="AD111" s="337"/>
      <c r="AE111" s="8"/>
      <c r="AF111" s="8"/>
      <c r="AJ111" s="2"/>
      <c r="AK111" s="2"/>
    </row>
    <row r="112" spans="1:37">
      <c r="A112" s="228" t="s">
        <v>265</v>
      </c>
      <c r="B112" s="39">
        <f t="shared" si="57"/>
        <v>9</v>
      </c>
      <c r="C112" s="228" t="s">
        <v>265</v>
      </c>
      <c r="D112" s="32" t="s">
        <v>295</v>
      </c>
      <c r="E112" s="33" t="s">
        <v>54</v>
      </c>
      <c r="F112" s="34" t="s">
        <v>55</v>
      </c>
      <c r="G112" s="30">
        <v>3000</v>
      </c>
      <c r="H112" s="27" t="s">
        <v>56</v>
      </c>
      <c r="I112" s="94">
        <v>200</v>
      </c>
      <c r="J112" s="95" t="s">
        <v>285</v>
      </c>
      <c r="K112" s="85" t="str">
        <f>M112</f>
        <v>JS</v>
      </c>
      <c r="L112" s="85">
        <f>I112*10/100</f>
        <v>20</v>
      </c>
      <c r="M112" s="96" t="s">
        <v>58</v>
      </c>
      <c r="N112" s="96">
        <f>I112/3/2</f>
        <v>33.3333333333333</v>
      </c>
      <c r="O112" s="87">
        <f>I112/3-L112</f>
        <v>46.6666666666667</v>
      </c>
      <c r="P112" s="82">
        <v>3</v>
      </c>
      <c r="Q112" s="157">
        <f>O112/3</f>
        <v>15.5555555555556</v>
      </c>
      <c r="R112" s="165">
        <f>I112/3</f>
        <v>66.6666666666667</v>
      </c>
      <c r="S112" s="125">
        <f>L112+N112+N113+O112+R112</f>
        <v>200</v>
      </c>
      <c r="T112" s="332">
        <f>I112-S112</f>
        <v>0</v>
      </c>
      <c r="U112" s="167">
        <f>I112*8</f>
        <v>1600</v>
      </c>
      <c r="V112" s="27" t="s">
        <v>296</v>
      </c>
      <c r="W112" s="30" t="s">
        <v>60</v>
      </c>
      <c r="X112" s="30"/>
      <c r="Y112" s="141"/>
      <c r="Z112" s="141"/>
      <c r="AA112" s="141"/>
      <c r="AB112" s="8"/>
      <c r="AD112" s="141"/>
      <c r="AE112" s="8"/>
      <c r="AF112" s="8"/>
      <c r="AK112" s="2"/>
    </row>
    <row r="113" spans="1:39">
      <c r="A113" s="28"/>
      <c r="B113" s="39"/>
      <c r="C113" s="28"/>
      <c r="D113" s="28"/>
      <c r="E113" s="28"/>
      <c r="F113" s="36"/>
      <c r="G113" s="106"/>
      <c r="H113" s="30"/>
      <c r="I113" s="30"/>
      <c r="J113" s="30"/>
      <c r="K113" s="27"/>
      <c r="L113" s="97"/>
      <c r="M113" s="92" t="s">
        <v>31</v>
      </c>
      <c r="N113" s="98">
        <f>I112/3/2</f>
        <v>33.3333333333333</v>
      </c>
      <c r="O113" s="27"/>
      <c r="P113" s="82"/>
      <c r="Q113" s="157"/>
      <c r="R113" s="27"/>
      <c r="S113" s="27"/>
      <c r="T113" s="27"/>
      <c r="U113" s="27"/>
      <c r="V113" s="28"/>
      <c r="W113" s="30"/>
      <c r="X113" s="30" t="s">
        <v>297</v>
      </c>
      <c r="Y113" s="141"/>
      <c r="Z113" s="141"/>
      <c r="AA113" s="141"/>
      <c r="AB113" s="8"/>
      <c r="AD113" s="141"/>
      <c r="AE113" s="8"/>
      <c r="AF113" s="8"/>
      <c r="AJ113" s="2"/>
      <c r="AK113" s="2"/>
      <c r="AL113" s="2"/>
      <c r="AM113" s="2"/>
    </row>
    <row r="114" spans="1:37">
      <c r="A114" s="228" t="s">
        <v>265</v>
      </c>
      <c r="B114" s="39">
        <f>B112+1</f>
        <v>10</v>
      </c>
      <c r="C114" s="228" t="s">
        <v>265</v>
      </c>
      <c r="D114" s="28" t="s">
        <v>298</v>
      </c>
      <c r="E114" s="33" t="s">
        <v>54</v>
      </c>
      <c r="F114" s="34" t="s">
        <v>55</v>
      </c>
      <c r="G114" s="30">
        <v>3000</v>
      </c>
      <c r="H114" s="27" t="s">
        <v>56</v>
      </c>
      <c r="I114" s="94">
        <v>200</v>
      </c>
      <c r="J114" s="95" t="s">
        <v>285</v>
      </c>
      <c r="K114" s="85" t="str">
        <f>M114</f>
        <v>JS</v>
      </c>
      <c r="L114" s="85">
        <f>I114*10/100</f>
        <v>20</v>
      </c>
      <c r="M114" s="96" t="s">
        <v>58</v>
      </c>
      <c r="N114" s="96">
        <f>I114/3/2</f>
        <v>33.3333333333333</v>
      </c>
      <c r="O114" s="87">
        <f>I114/3-L114</f>
        <v>46.6666666666667</v>
      </c>
      <c r="P114" s="82">
        <v>3</v>
      </c>
      <c r="Q114" s="157">
        <f>O114/3</f>
        <v>15.5555555555556</v>
      </c>
      <c r="R114" s="165">
        <f>I114/3</f>
        <v>66.6666666666667</v>
      </c>
      <c r="S114" s="125">
        <f>L114+N114+N115+O114+R114</f>
        <v>200</v>
      </c>
      <c r="T114" s="180">
        <f>I114-S114</f>
        <v>0</v>
      </c>
      <c r="U114" s="167">
        <f>I114*8</f>
        <v>1600</v>
      </c>
      <c r="V114" s="27" t="s">
        <v>296</v>
      </c>
      <c r="W114" s="30" t="s">
        <v>60</v>
      </c>
      <c r="X114" s="30"/>
      <c r="Y114" s="106" t="e">
        <f>#REF!-#REF!</f>
        <v>#REF!</v>
      </c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K114" s="2"/>
    </row>
    <row r="115" spans="1:37">
      <c r="A115" s="28"/>
      <c r="B115" s="39"/>
      <c r="C115" s="28"/>
      <c r="D115" s="28"/>
      <c r="E115" s="28"/>
      <c r="F115" s="36"/>
      <c r="G115" s="30"/>
      <c r="H115" s="30"/>
      <c r="I115" s="30"/>
      <c r="J115" s="30"/>
      <c r="K115" s="27"/>
      <c r="L115" s="97"/>
      <c r="M115" s="92" t="s">
        <v>31</v>
      </c>
      <c r="N115" s="98">
        <f>I114/3/2</f>
        <v>33.3333333333333</v>
      </c>
      <c r="O115" s="27"/>
      <c r="P115" s="28"/>
      <c r="Q115" s="27"/>
      <c r="R115" s="27"/>
      <c r="S115" s="27"/>
      <c r="T115" s="27"/>
      <c r="U115" s="27"/>
      <c r="V115" s="27"/>
      <c r="W115" s="30"/>
      <c r="X115" s="192" t="s">
        <v>97</v>
      </c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K115" s="2"/>
    </row>
    <row r="116" spans="1:37">
      <c r="A116" s="228" t="s">
        <v>265</v>
      </c>
      <c r="B116" s="39">
        <v>14</v>
      </c>
      <c r="C116" s="228" t="s">
        <v>265</v>
      </c>
      <c r="D116" s="32" t="s">
        <v>53</v>
      </c>
      <c r="E116" s="33" t="s">
        <v>54</v>
      </c>
      <c r="F116" s="34" t="s">
        <v>55</v>
      </c>
      <c r="G116" s="30">
        <v>3000</v>
      </c>
      <c r="H116" s="27" t="s">
        <v>56</v>
      </c>
      <c r="I116" s="94">
        <v>200</v>
      </c>
      <c r="J116" s="95" t="s">
        <v>57</v>
      </c>
      <c r="K116" s="85" t="str">
        <f>M116</f>
        <v>JS</v>
      </c>
      <c r="L116" s="85">
        <f>I116*10/100</f>
        <v>20</v>
      </c>
      <c r="M116" s="96" t="s">
        <v>58</v>
      </c>
      <c r="N116" s="96">
        <f>I116/3/2</f>
        <v>33.3333333333333</v>
      </c>
      <c r="O116" s="87">
        <f>I116/3-L116</f>
        <v>46.6666666666667</v>
      </c>
      <c r="P116" s="82">
        <v>2</v>
      </c>
      <c r="Q116" s="157">
        <f>O116/P116</f>
        <v>23.3333333333333</v>
      </c>
      <c r="R116" s="165">
        <f>I116/3</f>
        <v>66.6666666666667</v>
      </c>
      <c r="S116" s="125">
        <f>L116+N116+N117+O116+R116</f>
        <v>200</v>
      </c>
      <c r="T116" s="166">
        <f>I116-S116</f>
        <v>0</v>
      </c>
      <c r="U116" s="167">
        <f>I116*5</f>
        <v>1000</v>
      </c>
      <c r="V116" s="27" t="s">
        <v>129</v>
      </c>
      <c r="W116" s="30" t="s">
        <v>60</v>
      </c>
      <c r="X116" s="30"/>
      <c r="Y116" s="30"/>
      <c r="Z116" s="194"/>
      <c r="AA116" s="194"/>
      <c r="AB116" s="143"/>
      <c r="AC116" s="194"/>
      <c r="AD116" s="194"/>
      <c r="AE116" s="143"/>
      <c r="AF116" s="143"/>
      <c r="AG116" s="2"/>
      <c r="AH116" s="2"/>
      <c r="AI116" s="2"/>
      <c r="AJ116" s="2"/>
      <c r="AK116" s="2"/>
    </row>
    <row r="117" spans="1:37">
      <c r="A117" s="35"/>
      <c r="B117" s="39"/>
      <c r="C117" s="35"/>
      <c r="D117" s="28"/>
      <c r="E117" s="28"/>
      <c r="F117" s="36"/>
      <c r="G117" s="30"/>
      <c r="H117" s="30"/>
      <c r="I117" s="30"/>
      <c r="J117" s="30"/>
      <c r="K117" s="27"/>
      <c r="L117" s="97"/>
      <c r="M117" s="92" t="s">
        <v>31</v>
      </c>
      <c r="N117" s="98">
        <f>I116/3/2</f>
        <v>33.3333333333333</v>
      </c>
      <c r="O117" s="27"/>
      <c r="P117" s="82"/>
      <c r="Q117" s="157"/>
      <c r="R117" s="27"/>
      <c r="S117" s="27"/>
      <c r="T117" s="27"/>
      <c r="U117" s="27"/>
      <c r="V117" s="27"/>
      <c r="W117" s="30"/>
      <c r="X117" s="30"/>
      <c r="Y117" s="30"/>
      <c r="Z117" s="194"/>
      <c r="AA117" s="194"/>
      <c r="AB117" s="194"/>
      <c r="AC117" s="194"/>
      <c r="AD117" s="194"/>
      <c r="AE117" s="143"/>
      <c r="AF117" s="143"/>
      <c r="AG117" s="2"/>
      <c r="AH117" s="2"/>
      <c r="AI117" s="2"/>
      <c r="AJ117" s="2"/>
      <c r="AK117" s="2"/>
    </row>
    <row r="118" spans="1:35">
      <c r="A118" s="228" t="s">
        <v>265</v>
      </c>
      <c r="B118" s="39">
        <v>15</v>
      </c>
      <c r="C118" s="228" t="s">
        <v>265</v>
      </c>
      <c r="D118" s="28" t="s">
        <v>290</v>
      </c>
      <c r="E118" s="33" t="s">
        <v>54</v>
      </c>
      <c r="F118" s="34" t="s">
        <v>55</v>
      </c>
      <c r="G118" s="30">
        <v>3000</v>
      </c>
      <c r="H118" s="27" t="s">
        <v>56</v>
      </c>
      <c r="I118" s="94">
        <v>200</v>
      </c>
      <c r="J118" s="95" t="s">
        <v>57</v>
      </c>
      <c r="K118" s="85" t="str">
        <f>M118</f>
        <v>JS</v>
      </c>
      <c r="L118" s="85">
        <f>I118*10/100</f>
        <v>20</v>
      </c>
      <c r="M118" s="96" t="s">
        <v>58</v>
      </c>
      <c r="N118" s="96">
        <f>I118/3/2</f>
        <v>33.3333333333333</v>
      </c>
      <c r="O118" s="87">
        <f>I118/3-L118</f>
        <v>46.6666666666667</v>
      </c>
      <c r="P118" s="82">
        <v>2</v>
      </c>
      <c r="Q118" s="157">
        <f>O118/2</f>
        <v>23.3333333333333</v>
      </c>
      <c r="R118" s="165">
        <f>I118/3</f>
        <v>66.6666666666667</v>
      </c>
      <c r="S118" s="125">
        <f>L118+N118+N119+O118+R118</f>
        <v>200</v>
      </c>
      <c r="T118" s="180">
        <f>I118-S118</f>
        <v>0</v>
      </c>
      <c r="U118" s="167">
        <f>U24</f>
        <v>1000</v>
      </c>
      <c r="V118" s="27" t="str">
        <f>V116</f>
        <v>PARCELA 10 DE 15</v>
      </c>
      <c r="W118" s="30" t="s">
        <v>60</v>
      </c>
      <c r="X118" s="30"/>
      <c r="Y118" s="30"/>
      <c r="Z118" s="194"/>
      <c r="AA118" s="194"/>
      <c r="AB118" s="143"/>
      <c r="AC118" s="2"/>
      <c r="AD118" s="194"/>
      <c r="AE118" s="143"/>
      <c r="AF118" s="143"/>
      <c r="AG118" s="2"/>
      <c r="AH118" s="2"/>
      <c r="AI118" s="2"/>
    </row>
    <row r="119" spans="1:35">
      <c r="A119" s="28"/>
      <c r="B119" s="39"/>
      <c r="C119" s="28"/>
      <c r="D119" s="28"/>
      <c r="E119" s="28"/>
      <c r="F119" s="36"/>
      <c r="G119" s="30"/>
      <c r="H119" s="30"/>
      <c r="I119" s="30"/>
      <c r="J119" s="30"/>
      <c r="K119" s="27"/>
      <c r="L119" s="97"/>
      <c r="M119" s="92" t="s">
        <v>31</v>
      </c>
      <c r="N119" s="98">
        <f>I118/3/2</f>
        <v>33.3333333333333</v>
      </c>
      <c r="O119" s="27"/>
      <c r="P119" s="28"/>
      <c r="Q119" s="27"/>
      <c r="R119" s="27"/>
      <c r="S119" s="27"/>
      <c r="T119" s="27"/>
      <c r="U119" s="27"/>
      <c r="V119" s="27"/>
      <c r="W119" s="30"/>
      <c r="X119" s="30"/>
      <c r="Y119" s="30"/>
      <c r="Z119" s="194"/>
      <c r="AA119" s="194"/>
      <c r="AB119" s="194"/>
      <c r="AC119" s="194"/>
      <c r="AD119" s="194"/>
      <c r="AE119" s="143"/>
      <c r="AF119" s="143"/>
      <c r="AG119" s="2"/>
      <c r="AH119" s="2"/>
      <c r="AI119" s="2"/>
    </row>
    <row r="120" spans="1:35">
      <c r="A120" s="228" t="s">
        <v>265</v>
      </c>
      <c r="B120" s="39">
        <v>16</v>
      </c>
      <c r="C120" s="228" t="s">
        <v>265</v>
      </c>
      <c r="D120" s="28" t="s">
        <v>299</v>
      </c>
      <c r="E120" s="31" t="s">
        <v>45</v>
      </c>
      <c r="F120" s="28" t="s">
        <v>300</v>
      </c>
      <c r="G120" s="30">
        <v>6000</v>
      </c>
      <c r="H120" s="27" t="s">
        <v>228</v>
      </c>
      <c r="I120" s="89">
        <v>500</v>
      </c>
      <c r="J120" s="84" t="s">
        <v>48</v>
      </c>
      <c r="K120" s="92" t="s">
        <v>31</v>
      </c>
      <c r="L120" s="92">
        <f>I120*10/100</f>
        <v>50</v>
      </c>
      <c r="M120" s="307" t="s">
        <v>31</v>
      </c>
      <c r="N120" s="100">
        <f>I120/3</f>
        <v>166.666666666667</v>
      </c>
      <c r="O120" s="87">
        <f>N120-L120</f>
        <v>116.666666666667</v>
      </c>
      <c r="P120" s="82">
        <v>2</v>
      </c>
      <c r="Q120" s="157">
        <f>O120/P120</f>
        <v>58.3333333333333</v>
      </c>
      <c r="R120" s="162">
        <f>N120</f>
        <v>166.666666666667</v>
      </c>
      <c r="S120" s="125">
        <f>L120+N120+O120+R120</f>
        <v>500</v>
      </c>
      <c r="T120" s="163">
        <f>I120-S120</f>
        <v>0</v>
      </c>
      <c r="U120" s="164">
        <v>5000</v>
      </c>
      <c r="V120" s="53" t="s">
        <v>301</v>
      </c>
      <c r="W120" s="30" t="s">
        <v>302</v>
      </c>
      <c r="X120" s="30" t="s">
        <v>303</v>
      </c>
      <c r="Y120" s="30"/>
      <c r="Z120" s="194"/>
      <c r="AA120" s="143"/>
      <c r="AB120" s="143"/>
      <c r="AC120" s="2"/>
      <c r="AD120" s="2"/>
      <c r="AE120" s="2"/>
      <c r="AF120" s="2"/>
      <c r="AG120" s="2"/>
      <c r="AH120" s="2"/>
      <c r="AI120" s="2"/>
    </row>
    <row r="121" spans="1:39">
      <c r="A121" s="228" t="s">
        <v>265</v>
      </c>
      <c r="B121" s="39">
        <f t="shared" si="57"/>
        <v>17</v>
      </c>
      <c r="C121" s="228" t="s">
        <v>265</v>
      </c>
      <c r="D121" s="28" t="s">
        <v>304</v>
      </c>
      <c r="E121" s="51" t="s">
        <v>120</v>
      </c>
      <c r="F121" s="52" t="s">
        <v>121</v>
      </c>
      <c r="G121" s="53">
        <v>2224</v>
      </c>
      <c r="H121" s="53" t="s">
        <v>305</v>
      </c>
      <c r="I121" s="113">
        <v>400</v>
      </c>
      <c r="J121" s="114" t="s">
        <v>205</v>
      </c>
      <c r="K121" s="92" t="s">
        <v>31</v>
      </c>
      <c r="L121" s="92">
        <f>I121*10/100</f>
        <v>40</v>
      </c>
      <c r="M121" s="92" t="s">
        <v>31</v>
      </c>
      <c r="N121" s="93">
        <f>I121/3</f>
        <v>133.333333333333</v>
      </c>
      <c r="O121" s="87">
        <f>I121/3-L121</f>
        <v>93.3333333333333</v>
      </c>
      <c r="P121" s="82">
        <v>2</v>
      </c>
      <c r="Q121" s="157">
        <f>O121/P121</f>
        <v>46.6666666666667</v>
      </c>
      <c r="R121" s="170">
        <f>I121/3</f>
        <v>133.333333333333</v>
      </c>
      <c r="S121" s="125">
        <f>L121+N121+O121+R121</f>
        <v>400</v>
      </c>
      <c r="T121" s="174">
        <f>I121-S121</f>
        <v>0</v>
      </c>
      <c r="U121" s="168">
        <f>G121-1000-400</f>
        <v>824</v>
      </c>
      <c r="V121" s="59" t="s">
        <v>123</v>
      </c>
      <c r="W121" s="30" t="s">
        <v>306</v>
      </c>
      <c r="X121" s="30"/>
      <c r="Y121" s="30"/>
      <c r="Z121" s="194"/>
      <c r="AA121" s="194"/>
      <c r="AB121" s="194"/>
      <c r="AC121" s="194"/>
      <c r="AD121" s="194"/>
      <c r="AE121" s="143"/>
      <c r="AF121" s="143"/>
      <c r="AG121" s="2"/>
      <c r="AH121" s="2"/>
      <c r="AI121" s="2"/>
      <c r="AJ121" s="2"/>
      <c r="AK121" s="2"/>
      <c r="AL121" s="2"/>
      <c r="AM121" s="2"/>
    </row>
    <row r="122" spans="1:39">
      <c r="A122" s="228" t="s">
        <v>265</v>
      </c>
      <c r="B122" s="39">
        <f t="shared" si="57"/>
        <v>18</v>
      </c>
      <c r="C122" s="228" t="s">
        <v>265</v>
      </c>
      <c r="D122" s="28" t="s">
        <v>162</v>
      </c>
      <c r="E122" s="37" t="s">
        <v>62</v>
      </c>
      <c r="F122" s="34" t="s">
        <v>63</v>
      </c>
      <c r="G122" s="30">
        <v>5000</v>
      </c>
      <c r="H122" s="27" t="s">
        <v>64</v>
      </c>
      <c r="I122" s="99">
        <v>200</v>
      </c>
      <c r="J122" s="95" t="e">
        <f>J129</f>
        <v>#REF!</v>
      </c>
      <c r="K122" s="85" t="s">
        <v>30</v>
      </c>
      <c r="L122" s="85">
        <f>I122*10/100</f>
        <v>20</v>
      </c>
      <c r="M122" s="96" t="str">
        <f>K122</f>
        <v>J.S</v>
      </c>
      <c r="N122" s="96">
        <f>I122/3/2</f>
        <v>33.3333333333333</v>
      </c>
      <c r="O122" s="87">
        <f>I122/3-L122</f>
        <v>46.6666666666667</v>
      </c>
      <c r="P122" s="82">
        <v>2</v>
      </c>
      <c r="Q122" s="157">
        <f>O122/P122</f>
        <v>23.3333333333333</v>
      </c>
      <c r="R122" s="165">
        <f>I122/3</f>
        <v>66.6666666666667</v>
      </c>
      <c r="S122" s="125">
        <f>L122+N122+N123+O122+R122</f>
        <v>200</v>
      </c>
      <c r="T122" s="166">
        <f>I122-S122</f>
        <v>0</v>
      </c>
      <c r="U122" s="167">
        <f>200*8</f>
        <v>1600</v>
      </c>
      <c r="V122" s="27" t="s">
        <v>139</v>
      </c>
      <c r="W122" s="30" t="s">
        <v>140</v>
      </c>
      <c r="X122" s="27" t="s">
        <v>130</v>
      </c>
      <c r="Y122" s="27"/>
      <c r="Z122" s="143"/>
      <c r="AA122" s="2"/>
      <c r="AB122" s="194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</row>
    <row r="123" spans="1:39">
      <c r="A123" s="27"/>
      <c r="B123" s="39"/>
      <c r="C123" s="27"/>
      <c r="D123" s="28"/>
      <c r="E123" s="27"/>
      <c r="F123" s="34"/>
      <c r="G123" s="30"/>
      <c r="H123" s="28"/>
      <c r="I123" s="30"/>
      <c r="J123" s="27"/>
      <c r="K123" s="30"/>
      <c r="L123" s="27"/>
      <c r="M123" s="98" t="s">
        <v>67</v>
      </c>
      <c r="N123" s="98">
        <f>I122/3/2</f>
        <v>33.3333333333333</v>
      </c>
      <c r="O123" s="27"/>
      <c r="P123" s="82"/>
      <c r="Q123" s="157"/>
      <c r="R123" s="27"/>
      <c r="S123" s="27"/>
      <c r="T123" s="27"/>
      <c r="U123" s="27"/>
      <c r="V123" s="27"/>
      <c r="W123" s="30"/>
      <c r="X123" s="30"/>
      <c r="Y123" s="30"/>
      <c r="Z123" s="194"/>
      <c r="AA123" s="143"/>
      <c r="AB123" s="2"/>
      <c r="AC123" s="194"/>
      <c r="AD123" s="143"/>
      <c r="AE123" s="143"/>
      <c r="AF123" s="2"/>
      <c r="AG123" s="2"/>
      <c r="AH123" s="2"/>
      <c r="AI123" s="2"/>
      <c r="AJ123" s="2"/>
      <c r="AK123" s="2"/>
      <c r="AL123" s="2"/>
      <c r="AM123" s="2"/>
    </row>
    <row r="124" spans="1:37">
      <c r="A124" s="228" t="s">
        <v>265</v>
      </c>
      <c r="B124" s="39">
        <v>19</v>
      </c>
      <c r="C124" s="228" t="s">
        <v>265</v>
      </c>
      <c r="D124" s="28" t="s">
        <v>307</v>
      </c>
      <c r="E124" s="37" t="s">
        <v>62</v>
      </c>
      <c r="F124" s="28" t="s">
        <v>308</v>
      </c>
      <c r="G124" s="30">
        <v>3000</v>
      </c>
      <c r="H124" s="27" t="s">
        <v>38</v>
      </c>
      <c r="I124" s="99">
        <v>300</v>
      </c>
      <c r="J124" s="84" t="e">
        <f>#REF!</f>
        <v>#REF!</v>
      </c>
      <c r="K124" s="100" t="s">
        <v>67</v>
      </c>
      <c r="L124" s="100">
        <f t="shared" ref="L124:L125" si="63">I124*10/100</f>
        <v>30</v>
      </c>
      <c r="M124" s="86" t="s">
        <v>40</v>
      </c>
      <c r="N124" s="86">
        <f>I124/3</f>
        <v>100</v>
      </c>
      <c r="O124" s="87">
        <f t="shared" ref="O124:O125" si="64">I124/3-L124</f>
        <v>70</v>
      </c>
      <c r="P124" s="88">
        <v>3</v>
      </c>
      <c r="Q124" s="86">
        <f t="shared" ref="Q124:Q125" si="65">O124/P124</f>
        <v>23.3333333333333</v>
      </c>
      <c r="R124" s="165">
        <f t="shared" ref="R124:R125" si="66">I124/3</f>
        <v>100</v>
      </c>
      <c r="S124" s="125">
        <f>L124+N124+O124+R124</f>
        <v>300</v>
      </c>
      <c r="T124" s="166">
        <f>I124-S124</f>
        <v>0</v>
      </c>
      <c r="U124" s="168">
        <f>300*4</f>
        <v>1200</v>
      </c>
      <c r="V124" s="30" t="s">
        <v>309</v>
      </c>
      <c r="W124" s="30" t="s">
        <v>51</v>
      </c>
      <c r="X124" s="27" t="s">
        <v>132</v>
      </c>
      <c r="Y124" s="30"/>
      <c r="Z124" s="194"/>
      <c r="AA124" s="194"/>
      <c r="AB124" s="194"/>
      <c r="AC124" s="194"/>
      <c r="AD124" s="143"/>
      <c r="AE124" s="143"/>
      <c r="AF124" s="2"/>
      <c r="AG124" s="2"/>
      <c r="AH124" s="2"/>
      <c r="AI124" s="2"/>
      <c r="AJ124" s="2"/>
      <c r="AK124" s="2"/>
    </row>
    <row r="125" spans="1:37">
      <c r="A125" s="228" t="s">
        <v>265</v>
      </c>
      <c r="B125" s="39">
        <f>B46+1</f>
        <v>33</v>
      </c>
      <c r="C125" s="228" t="s">
        <v>265</v>
      </c>
      <c r="D125" s="48" t="s">
        <v>110</v>
      </c>
      <c r="E125" s="29" t="s">
        <v>36</v>
      </c>
      <c r="F125" s="28" t="s">
        <v>310</v>
      </c>
      <c r="G125" s="30">
        <v>5000</v>
      </c>
      <c r="H125" s="27" t="s">
        <v>311</v>
      </c>
      <c r="I125" s="83">
        <v>1000</v>
      </c>
      <c r="J125" s="84" t="e">
        <f>J124</f>
        <v>#REF!</v>
      </c>
      <c r="K125" s="85" t="s">
        <v>30</v>
      </c>
      <c r="L125" s="85">
        <f t="shared" si="63"/>
        <v>100</v>
      </c>
      <c r="M125" s="86" t="s">
        <v>40</v>
      </c>
      <c r="N125" s="86">
        <f>I125/3/2</f>
        <v>166.666666666667</v>
      </c>
      <c r="O125" s="87">
        <f t="shared" si="64"/>
        <v>233.333333333333</v>
      </c>
      <c r="P125" s="88">
        <v>3</v>
      </c>
      <c r="Q125" s="86">
        <f t="shared" si="65"/>
        <v>77.7777777777778</v>
      </c>
      <c r="R125" s="162">
        <f t="shared" si="66"/>
        <v>333.333333333333</v>
      </c>
      <c r="S125" s="125">
        <f>L125+N125+N126+O125+R125</f>
        <v>1000</v>
      </c>
      <c r="T125" s="163">
        <v>0</v>
      </c>
      <c r="U125" s="164">
        <f>I125*4</f>
        <v>4000</v>
      </c>
      <c r="V125" s="53" t="s">
        <v>312</v>
      </c>
      <c r="W125" s="30" t="s">
        <v>79</v>
      </c>
      <c r="X125" s="30"/>
      <c r="Y125" s="28"/>
      <c r="Z125" s="194"/>
      <c r="AA125" s="143"/>
      <c r="AB125" s="143"/>
      <c r="AC125" s="194"/>
      <c r="AD125" s="143"/>
      <c r="AE125" s="143"/>
      <c r="AF125" s="2"/>
      <c r="AG125" s="2"/>
      <c r="AH125" s="2"/>
      <c r="AI125" s="2"/>
      <c r="AJ125" s="2"/>
      <c r="AK125" s="2"/>
    </row>
    <row r="126" spans="1:37">
      <c r="A126" s="28"/>
      <c r="B126" s="39"/>
      <c r="C126" s="28"/>
      <c r="D126" s="28"/>
      <c r="E126" s="28"/>
      <c r="F126" s="28"/>
      <c r="G126" s="28"/>
      <c r="H126" s="28"/>
      <c r="I126" s="106"/>
      <c r="J126" s="27"/>
      <c r="K126" s="28"/>
      <c r="L126" s="28"/>
      <c r="M126" s="96" t="s">
        <v>58</v>
      </c>
      <c r="N126" s="96">
        <f>N125</f>
        <v>166.666666666667</v>
      </c>
      <c r="O126" s="28"/>
      <c r="P126" s="28"/>
      <c r="Q126" s="27"/>
      <c r="R126" s="27"/>
      <c r="S126" s="28"/>
      <c r="T126" s="28"/>
      <c r="U126" s="28"/>
      <c r="V126" s="27"/>
      <c r="W126" s="27"/>
      <c r="X126" s="27"/>
      <c r="Y126" s="28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</row>
    <row r="127" spans="1:37">
      <c r="A127" s="228" t="s">
        <v>265</v>
      </c>
      <c r="B127" s="39">
        <v>26</v>
      </c>
      <c r="C127" s="228" t="s">
        <v>265</v>
      </c>
      <c r="D127" s="28" t="s">
        <v>313</v>
      </c>
      <c r="E127" s="33" t="s">
        <v>54</v>
      </c>
      <c r="F127" s="34" t="s">
        <v>55</v>
      </c>
      <c r="G127" s="30">
        <v>3000</v>
      </c>
      <c r="H127" s="27" t="s">
        <v>56</v>
      </c>
      <c r="I127" s="94">
        <v>200</v>
      </c>
      <c r="J127" s="95" t="s">
        <v>314</v>
      </c>
      <c r="K127" s="85" t="str">
        <f>M127</f>
        <v>JS</v>
      </c>
      <c r="L127" s="85">
        <f>I127*10/100</f>
        <v>20</v>
      </c>
      <c r="M127" s="96" t="s">
        <v>58</v>
      </c>
      <c r="N127" s="96">
        <f>I127/3/2</f>
        <v>33.3333333333333</v>
      </c>
      <c r="O127" s="87">
        <f>I127/3-L127</f>
        <v>46.6666666666667</v>
      </c>
      <c r="P127" s="82">
        <v>2</v>
      </c>
      <c r="Q127" s="157">
        <f>O127/3</f>
        <v>15.5555555555556</v>
      </c>
      <c r="R127" s="165">
        <f>I127/3</f>
        <v>66.6666666666667</v>
      </c>
      <c r="S127" s="125">
        <f>L127+N127+N128+O127+R127</f>
        <v>200</v>
      </c>
      <c r="T127" s="180">
        <f>I127-S127</f>
        <v>0</v>
      </c>
      <c r="U127" s="167">
        <f>I127*6</f>
        <v>1200</v>
      </c>
      <c r="V127" s="27" t="s">
        <v>315</v>
      </c>
      <c r="W127" s="30" t="s">
        <v>60</v>
      </c>
      <c r="X127" s="30"/>
      <c r="Y127" s="30"/>
      <c r="Z127" s="194"/>
      <c r="AA127" s="194"/>
      <c r="AB127" s="143"/>
      <c r="AC127" s="2"/>
      <c r="AD127" s="194"/>
      <c r="AE127" s="143"/>
      <c r="AF127" s="143"/>
      <c r="AG127" s="2"/>
      <c r="AH127" s="2"/>
      <c r="AI127" s="2"/>
      <c r="AJ127" s="2"/>
      <c r="AK127" s="2"/>
    </row>
    <row r="128" spans="1:37">
      <c r="A128" s="28"/>
      <c r="B128" s="39"/>
      <c r="C128" s="28"/>
      <c r="D128" s="28"/>
      <c r="E128" s="28"/>
      <c r="F128" s="36"/>
      <c r="G128" s="30"/>
      <c r="H128" s="30"/>
      <c r="I128" s="30"/>
      <c r="J128" s="30"/>
      <c r="K128" s="27"/>
      <c r="L128" s="97"/>
      <c r="M128" s="92" t="s">
        <v>31</v>
      </c>
      <c r="N128" s="98">
        <f>I127/3/2</f>
        <v>33.3333333333333</v>
      </c>
      <c r="O128" s="27"/>
      <c r="P128" s="28"/>
      <c r="Q128" s="27"/>
      <c r="R128" s="27"/>
      <c r="S128" s="27"/>
      <c r="T128" s="27"/>
      <c r="U128" s="27"/>
      <c r="V128" s="27"/>
      <c r="W128" s="30"/>
      <c r="X128" s="30"/>
      <c r="Y128" s="30"/>
      <c r="Z128" s="194"/>
      <c r="AA128" s="194"/>
      <c r="AB128" s="143"/>
      <c r="AC128" s="2"/>
      <c r="AD128" s="194"/>
      <c r="AE128" s="143"/>
      <c r="AF128" s="143"/>
      <c r="AG128" s="2"/>
      <c r="AH128" s="2"/>
      <c r="AI128" s="2"/>
      <c r="AJ128" s="2"/>
      <c r="AK128" s="2"/>
    </row>
    <row r="129" s="5" customFormat="1" ht="12.75" spans="1:40">
      <c r="A129" s="228" t="s">
        <v>265</v>
      </c>
      <c r="B129" s="39">
        <v>29</v>
      </c>
      <c r="C129" s="228" t="s">
        <v>265</v>
      </c>
      <c r="D129" s="52" t="s">
        <v>163</v>
      </c>
      <c r="E129" s="57" t="str">
        <f>[2]RECEITAS!$E$36</f>
        <v>EMPRESARIAL</v>
      </c>
      <c r="F129" s="52" t="s">
        <v>164</v>
      </c>
      <c r="G129" s="53">
        <v>11880</v>
      </c>
      <c r="H129" s="53" t="s">
        <v>165</v>
      </c>
      <c r="I129" s="121">
        <v>378</v>
      </c>
      <c r="J129" s="122" t="e">
        <f>#REF!</f>
        <v>#REF!</v>
      </c>
      <c r="K129" s="108" t="s">
        <v>30</v>
      </c>
      <c r="L129" s="108">
        <f>I129*10/100</f>
        <v>37.8</v>
      </c>
      <c r="M129" s="108" t="s">
        <v>30</v>
      </c>
      <c r="N129" s="108">
        <f>I129/3</f>
        <v>126</v>
      </c>
      <c r="O129" s="87">
        <f>I129/3-L129</f>
        <v>88.2</v>
      </c>
      <c r="P129" s="82">
        <v>2</v>
      </c>
      <c r="Q129" s="157">
        <f>O129/P129</f>
        <v>44.1</v>
      </c>
      <c r="R129" s="162">
        <f>I129/3</f>
        <v>126</v>
      </c>
      <c r="S129" s="125">
        <f>L129+N129+O129+R129</f>
        <v>378</v>
      </c>
      <c r="T129" s="163">
        <f>I129-S129</f>
        <v>0</v>
      </c>
      <c r="U129" s="164">
        <f>I129*20</f>
        <v>7560</v>
      </c>
      <c r="V129" s="53" t="s">
        <v>316</v>
      </c>
      <c r="W129" s="53" t="s">
        <v>167</v>
      </c>
      <c r="X129" s="30" t="s">
        <v>317</v>
      </c>
      <c r="Y129" s="30"/>
      <c r="Z129" s="194"/>
      <c r="AA129" s="194"/>
      <c r="AB129" s="143"/>
      <c r="AC129" s="2"/>
      <c r="AD129" s="194"/>
      <c r="AE129" s="143"/>
      <c r="AF129" s="143"/>
      <c r="AG129" s="2"/>
      <c r="AH129" s="2"/>
      <c r="AI129" s="2"/>
      <c r="AJ129" s="2"/>
      <c r="AK129" s="2"/>
      <c r="AL129" s="2"/>
      <c r="AM129" s="2"/>
      <c r="AN129" s="2"/>
    </row>
    <row r="130" spans="1:40">
      <c r="A130" s="228" t="s">
        <v>265</v>
      </c>
      <c r="B130" s="39">
        <f>B54+1</f>
        <v>41</v>
      </c>
      <c r="C130" s="228" t="s">
        <v>265</v>
      </c>
      <c r="D130" s="28" t="s">
        <v>211</v>
      </c>
      <c r="E130" s="29" t="s">
        <v>36</v>
      </c>
      <c r="F130" s="28" t="s">
        <v>212</v>
      </c>
      <c r="G130" s="30">
        <v>4200</v>
      </c>
      <c r="H130" s="27" t="s">
        <v>213</v>
      </c>
      <c r="I130" s="83">
        <v>300</v>
      </c>
      <c r="J130" s="84" t="str">
        <f>J40</f>
        <v>DEPÓSITO JUDICIAL</v>
      </c>
      <c r="K130" s="92" t="s">
        <v>31</v>
      </c>
      <c r="L130" s="92">
        <f t="shared" ref="L130" si="67">I130*10/100</f>
        <v>30</v>
      </c>
      <c r="M130" s="92" t="s">
        <v>31</v>
      </c>
      <c r="N130" s="93">
        <f t="shared" ref="N130" si="68">I130/3</f>
        <v>100</v>
      </c>
      <c r="O130" s="87">
        <f t="shared" ref="O130" si="69">I130/3-L130</f>
        <v>70</v>
      </c>
      <c r="P130" s="82">
        <v>2</v>
      </c>
      <c r="Q130" s="157">
        <f t="shared" ref="Q130:Q133" si="70">O130/P130</f>
        <v>35</v>
      </c>
      <c r="R130" s="162">
        <f t="shared" ref="R130" si="71">I130/3</f>
        <v>100</v>
      </c>
      <c r="S130" s="125">
        <f t="shared" ref="S130" si="72">L130+N130+O130+R130</f>
        <v>300</v>
      </c>
      <c r="T130" s="163">
        <v>0</v>
      </c>
      <c r="U130" s="164">
        <f>I130*9</f>
        <v>2700</v>
      </c>
      <c r="V130" s="53" t="s">
        <v>214</v>
      </c>
      <c r="W130" s="30" t="s">
        <v>103</v>
      </c>
      <c r="X130" s="30"/>
      <c r="Y130" s="30"/>
      <c r="Z130" s="194"/>
      <c r="AA130" s="194"/>
      <c r="AB130" s="194"/>
      <c r="AC130" s="194"/>
      <c r="AD130" s="194"/>
      <c r="AE130" s="143"/>
      <c r="AF130" s="143"/>
      <c r="AG130" s="2"/>
      <c r="AH130" s="2"/>
      <c r="AI130" s="2"/>
      <c r="AJ130" s="2"/>
      <c r="AK130" s="2"/>
      <c r="AL130" s="2"/>
      <c r="AM130" s="2"/>
      <c r="AN130" s="2"/>
    </row>
    <row r="131" s="2" customFormat="1" ht="12.75" spans="1:29">
      <c r="A131" s="228" t="s">
        <v>265</v>
      </c>
      <c r="B131" s="39">
        <f>B48+1</f>
        <v>35</v>
      </c>
      <c r="C131" s="228" t="s">
        <v>265</v>
      </c>
      <c r="D131" s="28" t="s">
        <v>318</v>
      </c>
      <c r="E131" s="31" t="s">
        <v>45</v>
      </c>
      <c r="F131" s="28" t="s">
        <v>319</v>
      </c>
      <c r="G131" s="344">
        <v>4236</v>
      </c>
      <c r="H131" s="27" t="s">
        <v>320</v>
      </c>
      <c r="I131" s="89">
        <v>353</v>
      </c>
      <c r="J131" s="84" t="s">
        <v>48</v>
      </c>
      <c r="K131" s="256" t="s">
        <v>246</v>
      </c>
      <c r="L131" s="256">
        <f t="shared" ref="L131:L134" si="73">I131*10/100</f>
        <v>35.3</v>
      </c>
      <c r="M131" s="92" t="s">
        <v>31</v>
      </c>
      <c r="N131" s="93">
        <f t="shared" ref="N131:N132" si="74">I131/3</f>
        <v>117.666666666667</v>
      </c>
      <c r="O131" s="87">
        <f t="shared" ref="O131:O134" si="75">I131/3-L131</f>
        <v>82.3666666666667</v>
      </c>
      <c r="P131" s="82">
        <v>2</v>
      </c>
      <c r="Q131" s="157">
        <f t="shared" si="70"/>
        <v>41.1833333333333</v>
      </c>
      <c r="R131" s="165">
        <f t="shared" ref="R131:R132" si="76">I131/3</f>
        <v>117.666666666667</v>
      </c>
      <c r="S131" s="125">
        <f t="shared" ref="S131:S133" si="77">L131+N131+O131+R131</f>
        <v>353</v>
      </c>
      <c r="T131" s="166">
        <f>I131-S131</f>
        <v>0</v>
      </c>
      <c r="U131" s="167">
        <f>I131*10</f>
        <v>3530</v>
      </c>
      <c r="V131" s="27" t="s">
        <v>321</v>
      </c>
      <c r="W131" s="27" t="s">
        <v>90</v>
      </c>
      <c r="X131" s="30"/>
      <c r="Y131" s="28"/>
      <c r="AB131" s="143"/>
      <c r="AC131" s="143"/>
    </row>
    <row r="132" spans="1:39">
      <c r="A132" s="228" t="s">
        <v>265</v>
      </c>
      <c r="B132" s="39">
        <f t="shared" si="57"/>
        <v>36</v>
      </c>
      <c r="C132" s="228" t="s">
        <v>265</v>
      </c>
      <c r="D132" s="2" t="s">
        <v>322</v>
      </c>
      <c r="E132" s="29" t="s">
        <v>36</v>
      </c>
      <c r="F132" s="2" t="s">
        <v>323</v>
      </c>
      <c r="G132" s="30">
        <v>4500</v>
      </c>
      <c r="H132" s="27" t="s">
        <v>324</v>
      </c>
      <c r="I132" s="124">
        <v>200</v>
      </c>
      <c r="J132" s="125" t="s">
        <v>48</v>
      </c>
      <c r="K132" s="92" t="s">
        <v>31</v>
      </c>
      <c r="L132" s="92">
        <f t="shared" si="73"/>
        <v>20</v>
      </c>
      <c r="M132" s="100" t="e">
        <f>#REF!</f>
        <v>#REF!</v>
      </c>
      <c r="N132" s="100">
        <f t="shared" si="74"/>
        <v>66.6666666666667</v>
      </c>
      <c r="O132" s="87">
        <f t="shared" si="75"/>
        <v>46.6666666666667</v>
      </c>
      <c r="P132" s="82">
        <v>2</v>
      </c>
      <c r="Q132" s="157">
        <f t="shared" si="70"/>
        <v>23.3333333333333</v>
      </c>
      <c r="R132" s="179">
        <f t="shared" si="76"/>
        <v>66.6666666666667</v>
      </c>
      <c r="S132" s="125">
        <f t="shared" si="77"/>
        <v>200</v>
      </c>
      <c r="T132" s="166">
        <f>I132-S132</f>
        <v>0</v>
      </c>
      <c r="U132" s="168">
        <f>4*I132+1500</f>
        <v>2300</v>
      </c>
      <c r="V132" s="27" t="s">
        <v>325</v>
      </c>
      <c r="W132" s="30" t="s">
        <v>90</v>
      </c>
      <c r="X132" s="30"/>
      <c r="Y132" s="194"/>
      <c r="Z132" s="194"/>
      <c r="AA132" s="194"/>
      <c r="AB132" s="143"/>
      <c r="AC132" s="143"/>
      <c r="AD132" s="194"/>
      <c r="AE132" s="143"/>
      <c r="AF132" s="143"/>
      <c r="AG132" s="2"/>
      <c r="AH132" s="2"/>
      <c r="AI132" s="2"/>
      <c r="AJ132" s="2"/>
      <c r="AK132" s="2"/>
      <c r="AL132" s="2"/>
      <c r="AM132" s="2"/>
    </row>
    <row r="133" s="5" customFormat="1" ht="12.75" spans="1:40">
      <c r="A133" s="228" t="s">
        <v>265</v>
      </c>
      <c r="B133" s="39">
        <f t="shared" si="57"/>
        <v>37</v>
      </c>
      <c r="C133" s="228" t="s">
        <v>265</v>
      </c>
      <c r="D133" s="28" t="s">
        <v>286</v>
      </c>
      <c r="E133" s="29" t="s">
        <v>36</v>
      </c>
      <c r="F133" s="28" t="s">
        <v>287</v>
      </c>
      <c r="G133" s="30">
        <v>5000</v>
      </c>
      <c r="H133" s="27" t="s">
        <v>288</v>
      </c>
      <c r="I133" s="83">
        <v>500</v>
      </c>
      <c r="J133" s="84" t="str">
        <f>J48</f>
        <v>DINHEIRO</v>
      </c>
      <c r="K133" s="92" t="s">
        <v>31</v>
      </c>
      <c r="L133" s="92">
        <f t="shared" si="73"/>
        <v>50</v>
      </c>
      <c r="M133" s="92" t="s">
        <v>31</v>
      </c>
      <c r="N133" s="93">
        <f t="shared" ref="N133" si="78">I133/3</f>
        <v>166.666666666667</v>
      </c>
      <c r="O133" s="87">
        <f t="shared" si="75"/>
        <v>116.666666666667</v>
      </c>
      <c r="P133" s="82">
        <v>2</v>
      </c>
      <c r="Q133" s="157">
        <f t="shared" si="70"/>
        <v>58.3333333333333</v>
      </c>
      <c r="R133" s="162">
        <f t="shared" ref="R133:R134" si="79">I133/3</f>
        <v>166.666666666667</v>
      </c>
      <c r="S133" s="125">
        <f t="shared" si="77"/>
        <v>500</v>
      </c>
      <c r="T133" s="163">
        <v>0</v>
      </c>
      <c r="U133" s="164">
        <f>I133*6</f>
        <v>3000</v>
      </c>
      <c r="V133" s="53" t="s">
        <v>89</v>
      </c>
      <c r="W133" s="30" t="s">
        <v>149</v>
      </c>
      <c r="X133" s="30" t="s">
        <v>326</v>
      </c>
      <c r="Y133" s="30"/>
      <c r="Z133" s="194"/>
      <c r="AA133" s="194"/>
      <c r="AB133" s="143"/>
      <c r="AC133" s="2"/>
      <c r="AD133" s="194"/>
      <c r="AE133" s="143"/>
      <c r="AF133" s="143"/>
      <c r="AG133" s="2"/>
      <c r="AH133" s="2"/>
      <c r="AI133" s="2"/>
      <c r="AJ133" s="2"/>
      <c r="AK133" s="2"/>
      <c r="AL133" s="2"/>
      <c r="AM133" s="2"/>
      <c r="AN133" s="2"/>
    </row>
    <row r="134" spans="1:35">
      <c r="A134" s="228" t="s">
        <v>265</v>
      </c>
      <c r="B134" s="39">
        <f t="shared" si="57"/>
        <v>38</v>
      </c>
      <c r="C134" s="228" t="s">
        <v>265</v>
      </c>
      <c r="D134" s="32" t="s">
        <v>295</v>
      </c>
      <c r="E134" s="33" t="s">
        <v>54</v>
      </c>
      <c r="F134" s="34" t="s">
        <v>55</v>
      </c>
      <c r="G134" s="30">
        <v>3000</v>
      </c>
      <c r="H134" s="27" t="s">
        <v>56</v>
      </c>
      <c r="I134" s="94">
        <v>200</v>
      </c>
      <c r="J134" s="95" t="s">
        <v>285</v>
      </c>
      <c r="K134" s="85" t="str">
        <f>M134</f>
        <v>JS</v>
      </c>
      <c r="L134" s="85">
        <f t="shared" si="73"/>
        <v>20</v>
      </c>
      <c r="M134" s="96" t="s">
        <v>58</v>
      </c>
      <c r="N134" s="96">
        <f>I134/3/2</f>
        <v>33.3333333333333</v>
      </c>
      <c r="O134" s="87">
        <f t="shared" si="75"/>
        <v>46.6666666666667</v>
      </c>
      <c r="P134" s="82">
        <v>3</v>
      </c>
      <c r="Q134" s="157">
        <f>O134/3</f>
        <v>15.5555555555556</v>
      </c>
      <c r="R134" s="165">
        <f t="shared" si="79"/>
        <v>66.6666666666667</v>
      </c>
      <c r="S134" s="125">
        <f>L134+N134+N135+O134+R134</f>
        <v>200</v>
      </c>
      <c r="T134" s="332">
        <f>I134-S134</f>
        <v>0</v>
      </c>
      <c r="U134" s="167">
        <f>I134*8</f>
        <v>1600</v>
      </c>
      <c r="V134" s="27" t="s">
        <v>296</v>
      </c>
      <c r="W134" s="30" t="s">
        <v>60</v>
      </c>
      <c r="X134" s="30"/>
      <c r="Y134" s="194"/>
      <c r="Z134" s="194"/>
      <c r="AA134" s="194"/>
      <c r="AB134" s="143"/>
      <c r="AC134" s="194"/>
      <c r="AD134" s="194"/>
      <c r="AE134" s="143"/>
      <c r="AF134" s="143"/>
      <c r="AG134" s="2"/>
      <c r="AH134" s="2"/>
      <c r="AI134" s="2"/>
    </row>
    <row r="135" spans="1:35">
      <c r="A135" s="28"/>
      <c r="B135" s="39"/>
      <c r="C135" s="28"/>
      <c r="D135" s="28"/>
      <c r="E135" s="28"/>
      <c r="F135" s="36"/>
      <c r="G135" s="106"/>
      <c r="H135" s="30"/>
      <c r="I135" s="30"/>
      <c r="J135" s="30"/>
      <c r="K135" s="27"/>
      <c r="L135" s="97"/>
      <c r="M135" s="92" t="s">
        <v>31</v>
      </c>
      <c r="N135" s="98">
        <f>I134/3/2</f>
        <v>33.3333333333333</v>
      </c>
      <c r="O135" s="27"/>
      <c r="P135" s="82"/>
      <c r="Q135" s="157"/>
      <c r="R135" s="27"/>
      <c r="S135" s="27"/>
      <c r="T135" s="27"/>
      <c r="U135" s="27"/>
      <c r="V135" s="28"/>
      <c r="W135" s="30"/>
      <c r="X135" s="30"/>
      <c r="Y135" s="2"/>
      <c r="Z135" s="2"/>
      <c r="AA135" s="2"/>
      <c r="AB135" s="194"/>
      <c r="AC135" s="194"/>
      <c r="AD135" s="194"/>
      <c r="AE135" s="143"/>
      <c r="AF135" s="143"/>
      <c r="AG135" s="2"/>
      <c r="AH135" s="2"/>
      <c r="AI135" s="2"/>
    </row>
    <row r="136" spans="1:39">
      <c r="A136" s="228" t="s">
        <v>265</v>
      </c>
      <c r="B136" s="39">
        <v>40</v>
      </c>
      <c r="C136" s="228" t="s">
        <v>265</v>
      </c>
      <c r="D136" s="2" t="s">
        <v>291</v>
      </c>
      <c r="E136" s="29" t="s">
        <v>36</v>
      </c>
      <c r="F136" s="2" t="s">
        <v>292</v>
      </c>
      <c r="G136" s="30">
        <v>4000</v>
      </c>
      <c r="H136" s="27" t="s">
        <v>293</v>
      </c>
      <c r="I136" s="83">
        <v>400</v>
      </c>
      <c r="J136" s="95" t="s">
        <v>48</v>
      </c>
      <c r="K136" s="85" t="s">
        <v>30</v>
      </c>
      <c r="L136" s="85">
        <f>I136*10/100</f>
        <v>40</v>
      </c>
      <c r="M136" s="112" t="s">
        <v>40</v>
      </c>
      <c r="N136" s="112">
        <f>I136/3</f>
        <v>133.333333333333</v>
      </c>
      <c r="O136" s="87">
        <f>I136/3-L136</f>
        <v>93.3333333333333</v>
      </c>
      <c r="P136" s="88">
        <v>3</v>
      </c>
      <c r="Q136" s="86">
        <f>O136/3</f>
        <v>31.1111111111111</v>
      </c>
      <c r="R136" s="162">
        <f>I136/3</f>
        <v>133.333333333333</v>
      </c>
      <c r="S136" s="125">
        <f>L136+N136+O136+R136</f>
        <v>400</v>
      </c>
      <c r="T136" s="163">
        <v>0</v>
      </c>
      <c r="U136" s="164">
        <f>I136*6</f>
        <v>2400</v>
      </c>
      <c r="V136" s="53" t="s">
        <v>89</v>
      </c>
      <c r="W136" s="30" t="s">
        <v>33</v>
      </c>
      <c r="X136" s="30"/>
      <c r="Y136" s="194"/>
      <c r="Z136" s="194"/>
      <c r="AA136" s="143"/>
      <c r="AB136" s="2"/>
      <c r="AC136" s="194"/>
      <c r="AD136" s="143"/>
      <c r="AE136" s="143"/>
      <c r="AF136" s="2"/>
      <c r="AG136" s="2"/>
      <c r="AH136" s="2"/>
      <c r="AI136" s="2"/>
      <c r="AJ136" s="2"/>
      <c r="AK136" s="2"/>
      <c r="AL136" s="2"/>
      <c r="AM136" s="2"/>
    </row>
    <row r="137" spans="1:35">
      <c r="A137" s="228" t="s">
        <v>265</v>
      </c>
      <c r="B137" s="39">
        <f t="shared" si="57"/>
        <v>41</v>
      </c>
      <c r="C137" s="228" t="s">
        <v>265</v>
      </c>
      <c r="D137" s="32" t="s">
        <v>295</v>
      </c>
      <c r="E137" s="33" t="s">
        <v>54</v>
      </c>
      <c r="F137" s="34" t="s">
        <v>55</v>
      </c>
      <c r="G137" s="30">
        <v>3000</v>
      </c>
      <c r="H137" s="27" t="s">
        <v>56</v>
      </c>
      <c r="I137" s="94">
        <v>200</v>
      </c>
      <c r="J137" s="95" t="s">
        <v>285</v>
      </c>
      <c r="K137" s="85" t="str">
        <f>M137</f>
        <v>JS</v>
      </c>
      <c r="L137" s="85">
        <f>I137*10/100</f>
        <v>20</v>
      </c>
      <c r="M137" s="96" t="s">
        <v>58</v>
      </c>
      <c r="N137" s="96">
        <f>I137/3/2</f>
        <v>33.3333333333333</v>
      </c>
      <c r="O137" s="87">
        <f>I137/3-L137</f>
        <v>46.6666666666667</v>
      </c>
      <c r="P137" s="82">
        <v>3</v>
      </c>
      <c r="Q137" s="157">
        <f>O137/3</f>
        <v>15.5555555555556</v>
      </c>
      <c r="R137" s="165">
        <f>I137/3</f>
        <v>66.6666666666667</v>
      </c>
      <c r="S137" s="125">
        <f>L137+N137+N138+O137+R137</f>
        <v>200</v>
      </c>
      <c r="T137" s="332">
        <f>I137-S137</f>
        <v>0</v>
      </c>
      <c r="U137" s="167">
        <f>I137*7</f>
        <v>1400</v>
      </c>
      <c r="V137" s="27" t="s">
        <v>267</v>
      </c>
      <c r="W137" s="30" t="s">
        <v>60</v>
      </c>
      <c r="X137" s="30" t="s">
        <v>327</v>
      </c>
      <c r="Y137" s="194"/>
      <c r="Z137" s="194"/>
      <c r="AA137" s="194"/>
      <c r="AB137" s="143"/>
      <c r="AC137" s="194"/>
      <c r="AD137" s="194"/>
      <c r="AE137" s="143"/>
      <c r="AF137" s="143"/>
      <c r="AG137" s="2"/>
      <c r="AH137" s="2"/>
      <c r="AI137" s="2"/>
    </row>
    <row r="138" spans="1:35">
      <c r="A138" s="28"/>
      <c r="B138" s="39"/>
      <c r="C138" s="28"/>
      <c r="D138" s="28"/>
      <c r="E138" s="28"/>
      <c r="F138" s="36"/>
      <c r="G138" s="106"/>
      <c r="H138" s="30"/>
      <c r="I138" s="30"/>
      <c r="J138" s="30"/>
      <c r="K138" s="27"/>
      <c r="L138" s="97"/>
      <c r="M138" s="92" t="s">
        <v>31</v>
      </c>
      <c r="N138" s="98">
        <f>I137/3/2</f>
        <v>33.3333333333333</v>
      </c>
      <c r="O138" s="27"/>
      <c r="P138" s="82"/>
      <c r="Q138" s="157"/>
      <c r="R138" s="27"/>
      <c r="S138" s="27"/>
      <c r="T138" s="27"/>
      <c r="U138" s="27"/>
      <c r="V138" s="28"/>
      <c r="W138" s="30"/>
      <c r="X138" s="30"/>
      <c r="Y138" s="2"/>
      <c r="Z138" s="2"/>
      <c r="AA138" s="2"/>
      <c r="AB138" s="194"/>
      <c r="AC138" s="194"/>
      <c r="AD138" s="194"/>
      <c r="AE138" s="143"/>
      <c r="AF138" s="143"/>
      <c r="AG138" s="2"/>
      <c r="AH138" s="2"/>
      <c r="AI138" s="2"/>
    </row>
    <row r="139" spans="1:35">
      <c r="A139" s="228" t="s">
        <v>265</v>
      </c>
      <c r="B139" s="39">
        <v>42</v>
      </c>
      <c r="C139" s="228" t="s">
        <v>265</v>
      </c>
      <c r="D139" s="32" t="s">
        <v>295</v>
      </c>
      <c r="E139" s="33" t="s">
        <v>54</v>
      </c>
      <c r="F139" s="34" t="s">
        <v>55</v>
      </c>
      <c r="G139" s="30">
        <v>3000</v>
      </c>
      <c r="H139" s="27" t="s">
        <v>56</v>
      </c>
      <c r="I139" s="94">
        <v>200</v>
      </c>
      <c r="J139" s="95" t="s">
        <v>285</v>
      </c>
      <c r="K139" s="85" t="str">
        <f>M139</f>
        <v>JS</v>
      </c>
      <c r="L139" s="85">
        <f>I139*10/100</f>
        <v>20</v>
      </c>
      <c r="M139" s="96" t="s">
        <v>58</v>
      </c>
      <c r="N139" s="96">
        <f>I139/3/2</f>
        <v>33.3333333333333</v>
      </c>
      <c r="O139" s="87">
        <f>I139/3-L139</f>
        <v>46.6666666666667</v>
      </c>
      <c r="P139" s="82">
        <v>3</v>
      </c>
      <c r="Q139" s="157">
        <f>O139/3</f>
        <v>15.5555555555556</v>
      </c>
      <c r="R139" s="165">
        <f>I139/3</f>
        <v>66.6666666666667</v>
      </c>
      <c r="S139" s="125">
        <f>L139+N139+N140+O139+R139</f>
        <v>200</v>
      </c>
      <c r="T139" s="332">
        <f>I139-S139</f>
        <v>0</v>
      </c>
      <c r="U139" s="167">
        <f>I139*6</f>
        <v>1200</v>
      </c>
      <c r="V139" s="27" t="s">
        <v>315</v>
      </c>
      <c r="W139" s="30" t="s">
        <v>60</v>
      </c>
      <c r="X139" s="30" t="s">
        <v>328</v>
      </c>
      <c r="Y139" s="194"/>
      <c r="Z139" s="194"/>
      <c r="AA139" s="194"/>
      <c r="AB139" s="143"/>
      <c r="AC139" s="194"/>
      <c r="AD139" s="194"/>
      <c r="AE139" s="143"/>
      <c r="AF139" s="143"/>
      <c r="AG139" s="2"/>
      <c r="AH139" s="2"/>
      <c r="AI139" s="2"/>
    </row>
    <row r="140" spans="1:35">
      <c r="A140" s="28"/>
      <c r="B140" s="39"/>
      <c r="C140" s="28"/>
      <c r="D140" s="28"/>
      <c r="E140" s="28"/>
      <c r="F140" s="36"/>
      <c r="G140" s="106"/>
      <c r="H140" s="30"/>
      <c r="I140" s="30"/>
      <c r="J140" s="30"/>
      <c r="K140" s="27"/>
      <c r="L140" s="97"/>
      <c r="M140" s="92" t="s">
        <v>31</v>
      </c>
      <c r="N140" s="98">
        <f>I139/3/2</f>
        <v>33.3333333333333</v>
      </c>
      <c r="O140" s="27"/>
      <c r="P140" s="82"/>
      <c r="Q140" s="157"/>
      <c r="R140" s="27"/>
      <c r="S140" s="27"/>
      <c r="T140" s="27"/>
      <c r="U140" s="27"/>
      <c r="V140" s="28"/>
      <c r="W140" s="30"/>
      <c r="X140" s="30"/>
      <c r="Y140" s="2"/>
      <c r="Z140" s="2"/>
      <c r="AA140" s="2"/>
      <c r="AB140" s="194"/>
      <c r="AC140" s="194"/>
      <c r="AD140" s="194"/>
      <c r="AE140" s="143"/>
      <c r="AF140" s="143"/>
      <c r="AG140" s="2"/>
      <c r="AH140" s="2"/>
      <c r="AI140" s="2"/>
    </row>
    <row r="141" spans="1:39">
      <c r="A141" s="228" t="s">
        <v>265</v>
      </c>
      <c r="B141" s="39">
        <v>43</v>
      </c>
      <c r="C141" s="228" t="s">
        <v>265</v>
      </c>
      <c r="D141" s="32" t="s">
        <v>329</v>
      </c>
      <c r="E141" s="33" t="s">
        <v>54</v>
      </c>
      <c r="F141" s="34" t="s">
        <v>330</v>
      </c>
      <c r="G141" s="30">
        <v>3000</v>
      </c>
      <c r="H141" s="27" t="s">
        <v>56</v>
      </c>
      <c r="I141" s="94">
        <v>200</v>
      </c>
      <c r="J141" s="95" t="s">
        <v>57</v>
      </c>
      <c r="K141" s="85" t="str">
        <f>M141</f>
        <v>JS</v>
      </c>
      <c r="L141" s="85">
        <f>I141*10/100</f>
        <v>20</v>
      </c>
      <c r="M141" s="96" t="s">
        <v>58</v>
      </c>
      <c r="N141" s="96">
        <f>I141/3/2</f>
        <v>33.3333333333333</v>
      </c>
      <c r="O141" s="87">
        <f>I141/3-L141</f>
        <v>46.6666666666667</v>
      </c>
      <c r="P141" s="82">
        <v>2</v>
      </c>
      <c r="Q141" s="157">
        <f>O141/P141</f>
        <v>23.3333333333333</v>
      </c>
      <c r="R141" s="165">
        <f>I141/3</f>
        <v>66.6666666666667</v>
      </c>
      <c r="S141" s="125">
        <f>L141+N141+N142+O141+R141</f>
        <v>200</v>
      </c>
      <c r="T141" s="166">
        <f>I141-S141</f>
        <v>0</v>
      </c>
      <c r="U141" s="167">
        <f>I141*5</f>
        <v>1000</v>
      </c>
      <c r="V141" s="27" t="s">
        <v>129</v>
      </c>
      <c r="W141" s="30" t="s">
        <v>60</v>
      </c>
      <c r="X141" s="30" t="s">
        <v>331</v>
      </c>
      <c r="Y141" s="194"/>
      <c r="Z141" s="194"/>
      <c r="AA141" s="143"/>
      <c r="AB141" s="194"/>
      <c r="AC141" s="194"/>
      <c r="AD141" s="143"/>
      <c r="AE141" s="143"/>
      <c r="AF141" s="2"/>
      <c r="AG141" s="2"/>
      <c r="AH141" s="2"/>
      <c r="AI141" s="2"/>
      <c r="AJ141" s="2"/>
      <c r="AK141" s="2"/>
      <c r="AL141" s="2"/>
      <c r="AM141" s="2"/>
    </row>
    <row r="142" spans="1:39">
      <c r="A142" s="28"/>
      <c r="B142" s="39"/>
      <c r="C142" s="28"/>
      <c r="D142" s="28"/>
      <c r="E142" s="28"/>
      <c r="F142" s="36"/>
      <c r="G142" s="30"/>
      <c r="H142" s="30"/>
      <c r="I142" s="30"/>
      <c r="J142" s="30"/>
      <c r="K142" s="27"/>
      <c r="L142" s="97"/>
      <c r="M142" s="92" t="s">
        <v>31</v>
      </c>
      <c r="N142" s="98">
        <f>I141/3/2</f>
        <v>33.3333333333333</v>
      </c>
      <c r="O142" s="27"/>
      <c r="P142" s="82"/>
      <c r="Q142" s="157"/>
      <c r="R142" s="27"/>
      <c r="S142" s="27"/>
      <c r="T142" s="27"/>
      <c r="U142" s="27"/>
      <c r="V142" s="27"/>
      <c r="W142" s="30"/>
      <c r="X142" s="30"/>
      <c r="Y142" s="194"/>
      <c r="Z142" s="194"/>
      <c r="AA142" s="194"/>
      <c r="AB142" s="194"/>
      <c r="AC142" s="194"/>
      <c r="AD142" s="143"/>
      <c r="AE142" s="143"/>
      <c r="AF142" s="2"/>
      <c r="AG142" s="2"/>
      <c r="AH142" s="2"/>
      <c r="AI142" s="2"/>
      <c r="AJ142" s="2"/>
      <c r="AK142" s="2"/>
      <c r="AL142" s="2"/>
      <c r="AM142" s="2"/>
    </row>
    <row r="143" spans="1:40">
      <c r="A143" s="228" t="s">
        <v>265</v>
      </c>
      <c r="B143" s="39">
        <v>44</v>
      </c>
      <c r="C143" s="228" t="s">
        <v>265</v>
      </c>
      <c r="D143" s="32" t="s">
        <v>332</v>
      </c>
      <c r="E143" s="33" t="s">
        <v>54</v>
      </c>
      <c r="F143" s="34" t="s">
        <v>330</v>
      </c>
      <c r="G143" s="30">
        <v>3000</v>
      </c>
      <c r="H143" s="27" t="s">
        <v>56</v>
      </c>
      <c r="I143" s="94">
        <v>200</v>
      </c>
      <c r="J143" s="95" t="str">
        <f>J141</f>
        <v>BOLETO ITAU</v>
      </c>
      <c r="K143" s="85" t="str">
        <f>M143</f>
        <v>JS</v>
      </c>
      <c r="L143" s="85">
        <f>I143*10/100</f>
        <v>20</v>
      </c>
      <c r="M143" s="96" t="s">
        <v>58</v>
      </c>
      <c r="N143" s="96">
        <f>I143/3/2</f>
        <v>33.3333333333333</v>
      </c>
      <c r="O143" s="87">
        <f>I143/3-L143</f>
        <v>46.6666666666667</v>
      </c>
      <c r="P143" s="82">
        <v>2</v>
      </c>
      <c r="Q143" s="157">
        <f>O143/P143</f>
        <v>23.3333333333333</v>
      </c>
      <c r="R143" s="165">
        <f>I143/3</f>
        <v>66.6666666666667</v>
      </c>
      <c r="S143" s="125">
        <f>L143+N143+N144+O143+R143</f>
        <v>200</v>
      </c>
      <c r="T143" s="332">
        <f>I143-S143</f>
        <v>0</v>
      </c>
      <c r="U143" s="167">
        <f>I143*4</f>
        <v>800</v>
      </c>
      <c r="V143" s="27" t="s">
        <v>333</v>
      </c>
      <c r="W143" s="30" t="s">
        <v>60</v>
      </c>
      <c r="X143" s="30"/>
      <c r="Y143" s="30"/>
      <c r="Z143" s="194"/>
      <c r="AA143" s="194"/>
      <c r="AB143" s="143"/>
      <c r="AC143" s="194"/>
      <c r="AD143" s="194"/>
      <c r="AE143" s="143"/>
      <c r="AF143" s="143"/>
      <c r="AG143" s="2"/>
      <c r="AH143" s="2"/>
      <c r="AI143" s="2"/>
      <c r="AJ143" s="2"/>
      <c r="AK143" s="2"/>
      <c r="AL143" s="2"/>
      <c r="AM143" s="2"/>
      <c r="AN143" s="2"/>
    </row>
    <row r="144" spans="1:40">
      <c r="A144" s="28"/>
      <c r="B144" s="39"/>
      <c r="C144" s="28"/>
      <c r="D144" s="28"/>
      <c r="E144" s="28"/>
      <c r="F144" s="36"/>
      <c r="G144" s="106"/>
      <c r="H144" s="30"/>
      <c r="I144" s="30"/>
      <c r="J144" s="30"/>
      <c r="K144" s="27"/>
      <c r="L144" s="97"/>
      <c r="M144" s="92" t="s">
        <v>31</v>
      </c>
      <c r="N144" s="98">
        <f>I143/3/2</f>
        <v>33.3333333333333</v>
      </c>
      <c r="O144" s="27"/>
      <c r="P144" s="82"/>
      <c r="Q144" s="157"/>
      <c r="R144" s="27"/>
      <c r="S144" s="27"/>
      <c r="T144" s="27"/>
      <c r="U144" s="27"/>
      <c r="V144" s="28"/>
      <c r="W144" s="30"/>
      <c r="X144" s="30"/>
      <c r="Y144" s="30"/>
      <c r="Z144" s="194"/>
      <c r="AA144" s="194"/>
      <c r="AB144" s="194"/>
      <c r="AC144" s="194"/>
      <c r="AD144" s="194"/>
      <c r="AE144" s="143"/>
      <c r="AF144" s="143"/>
      <c r="AG144" s="2"/>
      <c r="AH144" s="2"/>
      <c r="AI144" s="2"/>
      <c r="AJ144" s="2"/>
      <c r="AK144" s="2"/>
      <c r="AL144" s="2"/>
      <c r="AM144" s="2"/>
      <c r="AN144" s="2"/>
    </row>
    <row r="145" spans="1:40">
      <c r="A145" s="228" t="s">
        <v>265</v>
      </c>
      <c r="B145" s="39">
        <v>45</v>
      </c>
      <c r="C145" s="228" t="s">
        <v>265</v>
      </c>
      <c r="D145" s="28" t="s">
        <v>334</v>
      </c>
      <c r="E145" s="61" t="s">
        <v>188</v>
      </c>
      <c r="F145" s="34" t="s">
        <v>335</v>
      </c>
      <c r="G145" s="30">
        <v>7760</v>
      </c>
      <c r="H145" s="345" t="s">
        <v>336</v>
      </c>
      <c r="I145" s="90">
        <v>776</v>
      </c>
      <c r="J145" s="95" t="str">
        <f>J141</f>
        <v>BOLETO ITAU</v>
      </c>
      <c r="K145" s="98" t="s">
        <v>67</v>
      </c>
      <c r="L145" s="98">
        <f>I145*10/100</f>
        <v>77.6</v>
      </c>
      <c r="M145" s="86" t="s">
        <v>40</v>
      </c>
      <c r="N145" s="86">
        <f>I145/3/2</f>
        <v>129.333333333333</v>
      </c>
      <c r="O145" s="353">
        <f>I145/3-L145</f>
        <v>181.066666666667</v>
      </c>
      <c r="P145" s="105">
        <v>4</v>
      </c>
      <c r="Q145" s="107">
        <f>O145/4</f>
        <v>45.2666666666667</v>
      </c>
      <c r="R145" s="360">
        <f>N145+N146</f>
        <v>258.666666666667</v>
      </c>
      <c r="S145" s="84">
        <f>L145+N145+N146+O145+R145</f>
        <v>776</v>
      </c>
      <c r="T145" s="361">
        <f>I145-S145</f>
        <v>0</v>
      </c>
      <c r="U145" s="362">
        <f>I145*3</f>
        <v>2328</v>
      </c>
      <c r="V145" s="363" t="s">
        <v>136</v>
      </c>
      <c r="W145" s="30" t="s">
        <v>337</v>
      </c>
      <c r="X145" s="30" t="s">
        <v>132</v>
      </c>
      <c r="Y145" s="30"/>
      <c r="Z145" s="194"/>
      <c r="AA145" s="194"/>
      <c r="AB145" s="143"/>
      <c r="AC145" s="2"/>
      <c r="AD145" s="194"/>
      <c r="AE145" s="143"/>
      <c r="AF145" s="143"/>
      <c r="AG145" s="2"/>
      <c r="AH145" s="2"/>
      <c r="AI145" s="2"/>
      <c r="AJ145" s="2"/>
      <c r="AK145" s="2"/>
      <c r="AL145" s="2"/>
      <c r="AM145" s="2"/>
      <c r="AN145" s="2"/>
    </row>
    <row r="146" spans="1:40">
      <c r="A146" s="27"/>
      <c r="B146" s="39"/>
      <c r="C146" s="27"/>
      <c r="D146" s="28"/>
      <c r="E146" s="27"/>
      <c r="F146" s="34"/>
      <c r="G146" s="30"/>
      <c r="H146" s="28"/>
      <c r="I146" s="106"/>
      <c r="J146" s="30"/>
      <c r="K146" s="106"/>
      <c r="L146" s="30"/>
      <c r="M146" s="107" t="s">
        <v>91</v>
      </c>
      <c r="N146" s="107">
        <f>N145</f>
        <v>129.333333333333</v>
      </c>
      <c r="O146" s="27"/>
      <c r="P146" s="2"/>
      <c r="Q146" s="2"/>
      <c r="R146" s="27"/>
      <c r="S146" s="27"/>
      <c r="T146" s="27"/>
      <c r="U146" s="27"/>
      <c r="V146" s="27"/>
      <c r="W146" s="30"/>
      <c r="X146" s="30"/>
      <c r="Y146" s="30"/>
      <c r="Z146" s="194"/>
      <c r="AA146" s="194"/>
      <c r="AB146" s="143"/>
      <c r="AC146" s="2"/>
      <c r="AD146" s="194"/>
      <c r="AE146" s="143"/>
      <c r="AF146" s="143"/>
      <c r="AG146" s="2"/>
      <c r="AH146" s="2"/>
      <c r="AI146" s="2"/>
      <c r="AJ146" s="2"/>
      <c r="AK146" s="2"/>
      <c r="AL146" s="2"/>
      <c r="AM146" s="2"/>
      <c r="AN146" s="2"/>
    </row>
    <row r="147" spans="1:39">
      <c r="A147" s="228" t="s">
        <v>265</v>
      </c>
      <c r="B147" s="39">
        <v>47</v>
      </c>
      <c r="C147" s="228" t="s">
        <v>265</v>
      </c>
      <c r="D147" s="34" t="s">
        <v>338</v>
      </c>
      <c r="E147" s="33" t="s">
        <v>54</v>
      </c>
      <c r="F147" s="34" t="s">
        <v>55</v>
      </c>
      <c r="G147" s="30">
        <v>3000</v>
      </c>
      <c r="H147" s="27" t="s">
        <v>56</v>
      </c>
      <c r="I147" s="94">
        <v>200</v>
      </c>
      <c r="J147" s="95" t="s">
        <v>57</v>
      </c>
      <c r="K147" s="85" t="s">
        <v>58</v>
      </c>
      <c r="L147" s="85">
        <v>20</v>
      </c>
      <c r="M147" s="96" t="s">
        <v>58</v>
      </c>
      <c r="N147" s="96">
        <v>33.3333333333333</v>
      </c>
      <c r="O147" s="87">
        <v>46.6666666666667</v>
      </c>
      <c r="P147" s="82">
        <v>2</v>
      </c>
      <c r="Q147" s="157">
        <f>O147/2</f>
        <v>23.3333333333333</v>
      </c>
      <c r="R147" s="165">
        <v>66.6666666666667</v>
      </c>
      <c r="S147" s="125">
        <v>200</v>
      </c>
      <c r="T147" s="175">
        <v>0</v>
      </c>
      <c r="U147" s="167">
        <f>I147*5</f>
        <v>1000</v>
      </c>
      <c r="V147" s="27" t="s">
        <v>129</v>
      </c>
      <c r="W147" s="30" t="s">
        <v>60</v>
      </c>
      <c r="X147" s="30"/>
      <c r="Y147" s="194"/>
      <c r="Z147" s="194"/>
      <c r="AA147" s="143"/>
      <c r="AB147" s="194"/>
      <c r="AC147" s="194"/>
      <c r="AD147" s="2"/>
      <c r="AE147" s="2"/>
      <c r="AF147" s="2"/>
      <c r="AG147" s="2"/>
      <c r="AH147" s="2"/>
      <c r="AI147" s="2"/>
      <c r="AJ147" s="2"/>
      <c r="AK147" s="2"/>
      <c r="AL147" s="2"/>
      <c r="AM147" s="2"/>
    </row>
    <row r="148" spans="1:39">
      <c r="A148" s="28"/>
      <c r="B148" s="39"/>
      <c r="C148" s="28"/>
      <c r="D148" s="28"/>
      <c r="E148" s="28"/>
      <c r="F148" s="36"/>
      <c r="G148" s="30"/>
      <c r="H148" s="30"/>
      <c r="I148" s="30"/>
      <c r="J148" s="30"/>
      <c r="K148" s="27"/>
      <c r="L148" s="97"/>
      <c r="M148" s="92" t="s">
        <v>31</v>
      </c>
      <c r="N148" s="98">
        <v>33.3333333333333</v>
      </c>
      <c r="O148" s="27"/>
      <c r="P148" s="82"/>
      <c r="Q148" s="157"/>
      <c r="R148" s="27"/>
      <c r="S148" s="27"/>
      <c r="T148" s="27"/>
      <c r="U148" s="27"/>
      <c r="V148" s="27"/>
      <c r="W148" s="30"/>
      <c r="X148" s="30"/>
      <c r="Y148" s="194"/>
      <c r="Z148" s="194"/>
      <c r="AA148" s="194"/>
      <c r="AB148" s="194"/>
      <c r="AC148" s="194"/>
      <c r="AD148" s="2"/>
      <c r="AE148" s="2"/>
      <c r="AF148" s="2"/>
      <c r="AG148" s="2"/>
      <c r="AH148" s="2"/>
      <c r="AI148" s="2"/>
      <c r="AJ148" s="2"/>
      <c r="AK148" s="2"/>
      <c r="AL148" s="2"/>
      <c r="AM148" s="2"/>
    </row>
    <row r="149" spans="1:39">
      <c r="A149" s="228" t="s">
        <v>265</v>
      </c>
      <c r="B149" s="39">
        <v>49</v>
      </c>
      <c r="C149" s="228" t="s">
        <v>265</v>
      </c>
      <c r="D149" s="58" t="s">
        <v>339</v>
      </c>
      <c r="E149" s="61" t="s">
        <v>188</v>
      </c>
      <c r="F149" s="58" t="s">
        <v>340</v>
      </c>
      <c r="G149" s="59">
        <v>2700</v>
      </c>
      <c r="H149" s="60" t="s">
        <v>341</v>
      </c>
      <c r="I149" s="90">
        <v>450</v>
      </c>
      <c r="J149" s="125" t="s">
        <v>342</v>
      </c>
      <c r="K149" s="244" t="s">
        <v>49</v>
      </c>
      <c r="L149" s="245">
        <f>I149*20/100</f>
        <v>90</v>
      </c>
      <c r="M149" s="257" t="s">
        <v>249</v>
      </c>
      <c r="N149" s="257">
        <f>I149/3</f>
        <v>150</v>
      </c>
      <c r="O149" s="87">
        <f>I149/3-L149</f>
        <v>60</v>
      </c>
      <c r="P149" s="354">
        <v>3</v>
      </c>
      <c r="Q149" s="257">
        <f>O149/P149</f>
        <v>20</v>
      </c>
      <c r="R149" s="162">
        <f>I149/3</f>
        <v>150</v>
      </c>
      <c r="S149" s="125">
        <f>L149+N149+O149+R149</f>
        <v>450</v>
      </c>
      <c r="T149" s="163">
        <v>0</v>
      </c>
      <c r="U149" s="164">
        <f>I149*5</f>
        <v>2250</v>
      </c>
      <c r="V149" s="53" t="s">
        <v>343</v>
      </c>
      <c r="W149" s="30" t="s">
        <v>344</v>
      </c>
      <c r="X149" s="30" t="s">
        <v>345</v>
      </c>
      <c r="Y149" s="30" t="s">
        <v>346</v>
      </c>
      <c r="Z149" s="194"/>
      <c r="AA149" s="194"/>
      <c r="AB149" s="143"/>
      <c r="AC149" s="2"/>
      <c r="AD149" s="194"/>
      <c r="AE149" s="143"/>
      <c r="AF149" s="143"/>
      <c r="AG149" s="2"/>
      <c r="AH149" s="2"/>
      <c r="AI149" s="2"/>
      <c r="AJ149" s="2"/>
      <c r="AK149" s="2"/>
      <c r="AL149" s="2"/>
      <c r="AM149" s="2"/>
    </row>
    <row r="150" spans="1:39">
      <c r="A150" s="228" t="s">
        <v>265</v>
      </c>
      <c r="B150" s="39">
        <f t="shared" si="57"/>
        <v>50</v>
      </c>
      <c r="C150" s="228" t="s">
        <v>265</v>
      </c>
      <c r="D150" s="34" t="s">
        <v>347</v>
      </c>
      <c r="E150" s="61" t="s">
        <v>188</v>
      </c>
      <c r="F150" s="34" t="s">
        <v>348</v>
      </c>
      <c r="G150" s="344">
        <v>2400</v>
      </c>
      <c r="H150" s="345" t="s">
        <v>349</v>
      </c>
      <c r="I150" s="355">
        <v>240</v>
      </c>
      <c r="J150" s="95" t="s">
        <v>48</v>
      </c>
      <c r="K150" s="107" t="s">
        <v>91</v>
      </c>
      <c r="L150" s="107">
        <v>24</v>
      </c>
      <c r="M150" s="107" t="s">
        <v>91</v>
      </c>
      <c r="N150" s="107">
        <v>80</v>
      </c>
      <c r="O150" s="353">
        <v>56</v>
      </c>
      <c r="P150" s="105">
        <v>3</v>
      </c>
      <c r="Q150" s="107">
        <f>O150/3</f>
        <v>18.6666666666667</v>
      </c>
      <c r="R150" s="360">
        <v>80</v>
      </c>
      <c r="S150" s="84">
        <v>240</v>
      </c>
      <c r="T150" s="361">
        <v>0</v>
      </c>
      <c r="U150" s="362">
        <f>I150*3</f>
        <v>720</v>
      </c>
      <c r="V150" s="363" t="s">
        <v>136</v>
      </c>
      <c r="W150" s="30" t="s">
        <v>350</v>
      </c>
      <c r="X150" s="30" t="s">
        <v>351</v>
      </c>
      <c r="Y150" s="194"/>
      <c r="Z150" s="2"/>
      <c r="AA150" s="194">
        <v>560</v>
      </c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</row>
    <row r="151" spans="1:39">
      <c r="A151" s="228" t="s">
        <v>265</v>
      </c>
      <c r="B151" s="39">
        <f t="shared" ref="B151:B157" si="80">B150+1</f>
        <v>51</v>
      </c>
      <c r="C151" s="228" t="s">
        <v>265</v>
      </c>
      <c r="D151" s="232" t="s">
        <v>279</v>
      </c>
      <c r="E151" s="31" t="s">
        <v>45</v>
      </c>
      <c r="F151" s="346" t="s">
        <v>280</v>
      </c>
      <c r="G151" s="234">
        <v>4500</v>
      </c>
      <c r="H151" s="235" t="s">
        <v>281</v>
      </c>
      <c r="I151" s="304">
        <v>500</v>
      </c>
      <c r="J151" s="305" t="str">
        <f>[5]RECEITAS!J52</f>
        <v>PIX JS PJ</v>
      </c>
      <c r="K151" s="85" t="s">
        <v>58</v>
      </c>
      <c r="L151" s="85">
        <f>I151*10/100</f>
        <v>50</v>
      </c>
      <c r="M151" s="92" t="s">
        <v>31</v>
      </c>
      <c r="N151" s="93">
        <f>I151/3</f>
        <v>166.666666666667</v>
      </c>
      <c r="O151" s="306">
        <f>I151/3-L151</f>
        <v>116.666666666667</v>
      </c>
      <c r="P151" s="82">
        <v>2</v>
      </c>
      <c r="Q151" s="157">
        <f>O151/P151</f>
        <v>58.3333333333333</v>
      </c>
      <c r="R151" s="327">
        <f>I151/3</f>
        <v>166.666666666667</v>
      </c>
      <c r="S151" s="328">
        <f>L151+N151+O151+R151</f>
        <v>500</v>
      </c>
      <c r="T151" s="329">
        <v>0</v>
      </c>
      <c r="U151" s="330">
        <f>I151*5</f>
        <v>2500</v>
      </c>
      <c r="V151" s="234" t="s">
        <v>352</v>
      </c>
      <c r="W151" s="234" t="s">
        <v>79</v>
      </c>
      <c r="X151" s="234" t="str">
        <f>X141</f>
        <v>REF. PARCELA JANEIRO 2025</v>
      </c>
      <c r="Y151" s="194"/>
      <c r="Z151" s="194"/>
      <c r="AA151" s="194"/>
      <c r="AB151" s="2"/>
      <c r="AC151" s="2"/>
      <c r="AD151" s="194"/>
      <c r="AE151" s="143"/>
      <c r="AF151" s="143"/>
      <c r="AG151" s="2"/>
      <c r="AH151" s="2"/>
      <c r="AI151" s="2"/>
      <c r="AJ151" s="2"/>
      <c r="AK151" s="2"/>
      <c r="AL151" s="2"/>
      <c r="AM151" s="2"/>
    </row>
    <row r="152" spans="1:39">
      <c r="A152" s="347" t="s">
        <v>265</v>
      </c>
      <c r="B152" s="39">
        <f t="shared" si="80"/>
        <v>52</v>
      </c>
      <c r="C152" s="347" t="s">
        <v>265</v>
      </c>
      <c r="D152" s="52" t="s">
        <v>163</v>
      </c>
      <c r="E152" s="57" t="str">
        <f>E129</f>
        <v>EMPRESARIAL</v>
      </c>
      <c r="F152" s="52" t="s">
        <v>353</v>
      </c>
      <c r="G152" s="53">
        <v>10920</v>
      </c>
      <c r="H152" s="53" t="s">
        <v>354</v>
      </c>
      <c r="I152" s="121">
        <v>910</v>
      </c>
      <c r="J152" s="122" t="str">
        <f>J141</f>
        <v>BOLETO ITAU</v>
      </c>
      <c r="K152" s="108" t="s">
        <v>30</v>
      </c>
      <c r="L152" s="108">
        <f>I152*10/100</f>
        <v>91</v>
      </c>
      <c r="M152" s="112" t="s">
        <v>40</v>
      </c>
      <c r="N152" s="112">
        <f>I152/3</f>
        <v>303.333333333333</v>
      </c>
      <c r="O152" s="87">
        <f>I152/3-L152</f>
        <v>212.333333333333</v>
      </c>
      <c r="P152" s="88">
        <v>3</v>
      </c>
      <c r="Q152" s="86">
        <f>O152/3</f>
        <v>70.7777777777778</v>
      </c>
      <c r="R152" s="162">
        <f>I152/3</f>
        <v>303.333333333333</v>
      </c>
      <c r="S152" s="125">
        <f>L152+N152+O152+R152</f>
        <v>910</v>
      </c>
      <c r="T152" s="364">
        <f>I152-S152</f>
        <v>0</v>
      </c>
      <c r="U152" s="164">
        <f>I152*7</f>
        <v>6370</v>
      </c>
      <c r="V152" s="53" t="s">
        <v>355</v>
      </c>
      <c r="W152" s="53" t="s">
        <v>356</v>
      </c>
      <c r="X152" s="30"/>
      <c r="Y152" s="194"/>
      <c r="Z152" s="194"/>
      <c r="AA152" s="143"/>
      <c r="AB152" s="2"/>
      <c r="AC152" s="194"/>
      <c r="AD152" s="143"/>
      <c r="AE152" s="143"/>
      <c r="AF152" s="2"/>
      <c r="AG152" s="2"/>
      <c r="AH152" s="2"/>
      <c r="AI152" s="2"/>
      <c r="AJ152" s="2"/>
      <c r="AK152" s="2"/>
      <c r="AL152" s="2"/>
      <c r="AM152" s="2"/>
    </row>
    <row r="153" spans="1:39">
      <c r="A153" s="228" t="s">
        <v>265</v>
      </c>
      <c r="B153" s="39">
        <f t="shared" si="80"/>
        <v>53</v>
      </c>
      <c r="C153" s="228" t="s">
        <v>265</v>
      </c>
      <c r="D153" s="32" t="s">
        <v>357</v>
      </c>
      <c r="E153" s="33" t="s">
        <v>54</v>
      </c>
      <c r="F153" s="34" t="s">
        <v>55</v>
      </c>
      <c r="G153" s="30">
        <v>3000</v>
      </c>
      <c r="H153" s="27" t="s">
        <v>56</v>
      </c>
      <c r="I153" s="94">
        <v>200</v>
      </c>
      <c r="J153" s="95" t="str">
        <f>J141</f>
        <v>BOLETO ITAU</v>
      </c>
      <c r="K153" s="85" t="s">
        <v>58</v>
      </c>
      <c r="L153" s="85">
        <v>20</v>
      </c>
      <c r="M153" s="96" t="s">
        <v>58</v>
      </c>
      <c r="N153" s="96">
        <v>33.3333333333333</v>
      </c>
      <c r="O153" s="87">
        <v>46.6666666666667</v>
      </c>
      <c r="P153" s="82">
        <v>2</v>
      </c>
      <c r="Q153" s="157">
        <f>O153/2</f>
        <v>23.3333333333333</v>
      </c>
      <c r="R153" s="165">
        <f>I153/3</f>
        <v>66.6666666666667</v>
      </c>
      <c r="S153" s="125">
        <v>200</v>
      </c>
      <c r="T153" s="175">
        <v>0</v>
      </c>
      <c r="U153" s="167">
        <f>U143</f>
        <v>800</v>
      </c>
      <c r="V153" s="27" t="str">
        <f>V143</f>
        <v>PARCELA 11 DE 15</v>
      </c>
      <c r="W153" s="30" t="s">
        <v>60</v>
      </c>
      <c r="X153" s="30"/>
      <c r="Y153" s="194"/>
      <c r="Z153" s="194"/>
      <c r="AA153" s="143"/>
      <c r="AB153" s="194"/>
      <c r="AC153" s="194"/>
      <c r="AD153" s="2"/>
      <c r="AE153" s="2"/>
      <c r="AF153" s="2"/>
      <c r="AG153" s="2"/>
      <c r="AH153" s="2"/>
      <c r="AI153" s="2"/>
      <c r="AJ153" s="2"/>
      <c r="AK153" s="2"/>
      <c r="AL153" s="2"/>
      <c r="AM153" s="2"/>
    </row>
    <row r="154" spans="1:39">
      <c r="A154" s="28"/>
      <c r="B154" s="39"/>
      <c r="C154" s="28"/>
      <c r="D154" s="28"/>
      <c r="E154" s="28"/>
      <c r="F154" s="36"/>
      <c r="G154" s="30"/>
      <c r="H154" s="30"/>
      <c r="I154" s="30"/>
      <c r="J154" s="30"/>
      <c r="K154" s="27"/>
      <c r="L154" s="97"/>
      <c r="M154" s="92" t="s">
        <v>31</v>
      </c>
      <c r="N154" s="98">
        <v>33.3333333333333</v>
      </c>
      <c r="O154" s="27"/>
      <c r="P154" s="82"/>
      <c r="Q154" s="157"/>
      <c r="R154" s="27"/>
      <c r="S154" s="27"/>
      <c r="T154" s="27"/>
      <c r="U154" s="27"/>
      <c r="V154" s="27"/>
      <c r="W154" s="30"/>
      <c r="X154" s="30"/>
      <c r="Y154" s="194"/>
      <c r="Z154" s="194"/>
      <c r="AA154" s="194"/>
      <c r="AB154" s="194"/>
      <c r="AC154" s="194"/>
      <c r="AD154" s="2"/>
      <c r="AE154" s="2"/>
      <c r="AF154" s="2"/>
      <c r="AG154" s="2"/>
      <c r="AH154" s="2"/>
      <c r="AI154" s="2"/>
      <c r="AJ154" s="2"/>
      <c r="AK154" s="2"/>
      <c r="AL154" s="2"/>
      <c r="AM154" s="2"/>
    </row>
    <row r="155" spans="1:39">
      <c r="A155" s="228" t="s">
        <v>265</v>
      </c>
      <c r="B155" s="39">
        <v>54</v>
      </c>
      <c r="C155" s="228" t="s">
        <v>265</v>
      </c>
      <c r="D155" s="28" t="s">
        <v>358</v>
      </c>
      <c r="E155" s="83" t="s">
        <v>93</v>
      </c>
      <c r="F155" s="50" t="s">
        <v>359</v>
      </c>
      <c r="G155" s="30">
        <v>4200</v>
      </c>
      <c r="H155" s="27" t="s">
        <v>95</v>
      </c>
      <c r="I155" s="83">
        <v>300</v>
      </c>
      <c r="J155" s="95" t="str">
        <f>J150</f>
        <v>PIX JS PJ</v>
      </c>
      <c r="K155" s="92" t="s">
        <v>31</v>
      </c>
      <c r="L155" s="92">
        <f>I155*10/100</f>
        <v>30</v>
      </c>
      <c r="M155" s="307" t="s">
        <v>31</v>
      </c>
      <c r="N155" s="100">
        <f>I155/3</f>
        <v>100</v>
      </c>
      <c r="O155" s="87">
        <f>I155/3-L155</f>
        <v>70</v>
      </c>
      <c r="P155" s="82">
        <v>2</v>
      </c>
      <c r="Q155" s="157">
        <f>O155/2</f>
        <v>35</v>
      </c>
      <c r="R155" s="165">
        <f>N155</f>
        <v>100</v>
      </c>
      <c r="S155" s="95">
        <f>L155+N155+O155+R155</f>
        <v>300</v>
      </c>
      <c r="T155" s="175">
        <f>I155-S155</f>
        <v>0</v>
      </c>
      <c r="U155" s="167">
        <f>I155*3</f>
        <v>900</v>
      </c>
      <c r="V155" s="27" t="s">
        <v>96</v>
      </c>
      <c r="W155" s="30" t="s">
        <v>360</v>
      </c>
      <c r="X155" s="30"/>
      <c r="Y155" s="194"/>
      <c r="Z155" s="194"/>
      <c r="AA155" s="143"/>
      <c r="AB155" s="2"/>
      <c r="AC155" s="194"/>
      <c r="AD155" s="143"/>
      <c r="AE155" s="143"/>
      <c r="AF155" s="2"/>
      <c r="AG155" s="2"/>
      <c r="AH155" s="2"/>
      <c r="AI155" s="2"/>
      <c r="AJ155" s="2"/>
      <c r="AK155" s="2"/>
      <c r="AL155" s="2"/>
      <c r="AM155" s="2"/>
    </row>
    <row r="156" spans="1:39">
      <c r="A156" s="228" t="s">
        <v>265</v>
      </c>
      <c r="B156" s="39">
        <f t="shared" si="80"/>
        <v>55</v>
      </c>
      <c r="C156" s="228" t="s">
        <v>265</v>
      </c>
      <c r="D156" s="28" t="s">
        <v>361</v>
      </c>
      <c r="E156" s="29" t="s">
        <v>36</v>
      </c>
      <c r="F156" s="34" t="s">
        <v>362</v>
      </c>
      <c r="G156" s="30">
        <v>2070</v>
      </c>
      <c r="H156" s="27" t="s">
        <v>100</v>
      </c>
      <c r="I156" s="83">
        <v>57.39</v>
      </c>
      <c r="J156" s="95" t="str">
        <f>J155</f>
        <v>PIX JS PJ</v>
      </c>
      <c r="K156" s="92" t="s">
        <v>31</v>
      </c>
      <c r="L156" s="92">
        <f>I156*10/100</f>
        <v>5.739</v>
      </c>
      <c r="M156" s="100" t="str">
        <f>K156</f>
        <v>JÉTER</v>
      </c>
      <c r="N156" s="100">
        <f>I156/3</f>
        <v>19.13</v>
      </c>
      <c r="O156" s="87">
        <f>I156/3-L156</f>
        <v>13.391</v>
      </c>
      <c r="P156" s="82">
        <v>2</v>
      </c>
      <c r="Q156" s="157">
        <f>O156/P156</f>
        <v>6.6955</v>
      </c>
      <c r="R156" s="179">
        <f>I156/3</f>
        <v>19.13</v>
      </c>
      <c r="S156" s="125">
        <f>L156+N156+O156+R156</f>
        <v>57.39</v>
      </c>
      <c r="T156" s="166">
        <f t="shared" ref="T156:T157" si="81">I156-S156</f>
        <v>0</v>
      </c>
      <c r="U156" s="168">
        <f>I156*5</f>
        <v>286.95</v>
      </c>
      <c r="V156" s="27" t="s">
        <v>309</v>
      </c>
      <c r="W156" s="30" t="s">
        <v>337</v>
      </c>
      <c r="X156" s="30"/>
      <c r="Y156" s="194"/>
      <c r="Z156" s="194"/>
      <c r="AA156" s="143"/>
      <c r="AB156" s="2"/>
      <c r="AC156" s="194"/>
      <c r="AD156" s="143"/>
      <c r="AE156" s="143"/>
      <c r="AF156" s="2"/>
      <c r="AG156" s="2"/>
      <c r="AH156" s="2"/>
      <c r="AI156" s="2"/>
      <c r="AJ156" s="2"/>
      <c r="AK156" s="2"/>
      <c r="AL156" s="2"/>
      <c r="AM156" s="2"/>
    </row>
    <row r="157" spans="1:32">
      <c r="A157" s="228" t="s">
        <v>265</v>
      </c>
      <c r="B157" s="39">
        <f t="shared" si="80"/>
        <v>56</v>
      </c>
      <c r="C157" s="228" t="s">
        <v>265</v>
      </c>
      <c r="D157" s="348" t="s">
        <v>363</v>
      </c>
      <c r="E157" s="57" t="str">
        <f>E152</f>
        <v>EMPRESARIAL</v>
      </c>
      <c r="F157" s="348" t="s">
        <v>353</v>
      </c>
      <c r="G157" s="184">
        <v>25200</v>
      </c>
      <c r="H157" s="184" t="s">
        <v>364</v>
      </c>
      <c r="I157" s="356">
        <v>2100</v>
      </c>
      <c r="J157" s="114" t="str">
        <f>J152</f>
        <v>BOLETO ITAU</v>
      </c>
      <c r="K157" s="123" t="s">
        <v>30</v>
      </c>
      <c r="L157" s="123">
        <f>I157*10/100</f>
        <v>210</v>
      </c>
      <c r="M157" s="112" t="s">
        <v>40</v>
      </c>
      <c r="N157" s="112">
        <f>I157/3</f>
        <v>700</v>
      </c>
      <c r="O157" s="87">
        <f>I157/3-L157</f>
        <v>490</v>
      </c>
      <c r="P157" s="88">
        <v>3</v>
      </c>
      <c r="Q157" s="86">
        <f>O157/3</f>
        <v>163.333333333333</v>
      </c>
      <c r="R157" s="181">
        <f>I157/3</f>
        <v>700</v>
      </c>
      <c r="S157" s="125">
        <f>L157+N157+O157+R157</f>
        <v>2100</v>
      </c>
      <c r="T157" s="182">
        <f t="shared" si="81"/>
        <v>0</v>
      </c>
      <c r="U157" s="183">
        <f>I157*10</f>
        <v>21000</v>
      </c>
      <c r="V157" s="184" t="s">
        <v>365</v>
      </c>
      <c r="W157" s="53" t="s">
        <v>366</v>
      </c>
      <c r="X157" s="30"/>
      <c r="Z157" s="337"/>
      <c r="AA157" s="337"/>
      <c r="AB157" s="338"/>
      <c r="AC157" s="337"/>
      <c r="AD157" s="337"/>
      <c r="AE157" s="8"/>
      <c r="AF157" s="8"/>
    </row>
    <row r="158" s="6" customFormat="1" ht="12.75" spans="1:29">
      <c r="A158" s="349"/>
      <c r="B158" s="350"/>
      <c r="C158" s="349"/>
      <c r="E158" s="350"/>
      <c r="F158" s="351"/>
      <c r="G158" s="352"/>
      <c r="H158" s="350"/>
      <c r="I158" s="352"/>
      <c r="J158" s="352"/>
      <c r="K158" s="357"/>
      <c r="L158" s="357"/>
      <c r="M158" s="352"/>
      <c r="N158" s="352"/>
      <c r="O158" s="358"/>
      <c r="P158" s="359"/>
      <c r="Q158" s="365"/>
      <c r="R158" s="358"/>
      <c r="S158" s="365"/>
      <c r="T158" s="352"/>
      <c r="U158" s="352"/>
      <c r="V158" s="350"/>
      <c r="W158" s="352"/>
      <c r="X158" s="352"/>
      <c r="AB158" s="350"/>
      <c r="AC158" s="350"/>
    </row>
    <row r="159" spans="1:35">
      <c r="A159" s="2"/>
      <c r="B159" s="2"/>
      <c r="C159" s="2"/>
      <c r="D159" s="2"/>
      <c r="E159" s="2"/>
      <c r="F159" s="2"/>
      <c r="G159" s="2"/>
      <c r="H159" s="2"/>
      <c r="I159" s="194">
        <f>SUM(I18:I158)</f>
        <v>641043.07</v>
      </c>
      <c r="J159" s="143"/>
      <c r="K159" s="2"/>
      <c r="L159" s="194">
        <f>SUM(L18:L158)</f>
        <v>24399.507</v>
      </c>
      <c r="M159" s="2"/>
      <c r="N159" s="194">
        <f>SUM(N18:N158)</f>
        <v>80181.6899999932</v>
      </c>
      <c r="O159" s="194">
        <f>SUM(O18:O158)</f>
        <v>56281.9486333333</v>
      </c>
      <c r="P159" s="2"/>
      <c r="Q159" s="194">
        <f>SUM(Q18:Q158)</f>
        <v>88712.6303611111</v>
      </c>
      <c r="R159" s="194" t="e">
        <f>SUM(R18:R158)</f>
        <v>#REF!</v>
      </c>
      <c r="S159" s="194">
        <f>SUM(S18:S158)</f>
        <v>202929.2895</v>
      </c>
      <c r="T159" s="194">
        <f>SUM(T18:T158)</f>
        <v>0</v>
      </c>
      <c r="U159" s="194">
        <f>SUM(U18:U158)</f>
        <v>212937.91</v>
      </c>
      <c r="V159" s="143"/>
      <c r="W159" s="143"/>
      <c r="X159" s="143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</row>
    <row r="160" spans="1:35">
      <c r="A160" s="2"/>
      <c r="B160" s="2"/>
      <c r="C160" s="2"/>
      <c r="D160" s="2" t="s">
        <v>367</v>
      </c>
      <c r="E160" s="2"/>
      <c r="F160" s="2"/>
      <c r="G160" s="2"/>
      <c r="H160" s="2"/>
      <c r="I160" s="142"/>
      <c r="J160" s="143"/>
      <c r="K160" s="2"/>
      <c r="L160" s="2"/>
      <c r="M160" s="2"/>
      <c r="N160" s="143"/>
      <c r="O160" s="2"/>
      <c r="P160" s="2"/>
      <c r="Q160" s="143"/>
      <c r="R160" s="143"/>
      <c r="S160" s="2"/>
      <c r="T160" s="2"/>
      <c r="U160" s="2"/>
      <c r="V160" s="143"/>
      <c r="W160" s="143"/>
      <c r="X160" s="143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</row>
    <row r="161" spans="1:36">
      <c r="A161" s="2"/>
      <c r="B161" s="2"/>
      <c r="C161" s="2"/>
      <c r="D161" s="2"/>
      <c r="E161" s="2"/>
      <c r="F161" s="2"/>
      <c r="G161" s="2"/>
      <c r="H161" s="2"/>
      <c r="I161" s="142"/>
      <c r="J161" s="143"/>
      <c r="K161" s="2"/>
      <c r="L161" s="2"/>
      <c r="M161" s="143"/>
      <c r="N161" s="143"/>
      <c r="O161" s="2"/>
      <c r="P161" s="2"/>
      <c r="Q161" s="194"/>
      <c r="R161" s="143"/>
      <c r="S161" s="194"/>
      <c r="T161" s="2"/>
      <c r="U161" s="2"/>
      <c r="V161" s="366" t="s">
        <v>368</v>
      </c>
      <c r="W161" s="199" t="str">
        <f>[6]DEZEMBRO!$H$128</f>
        <v>CAPTAÇÃO  </v>
      </c>
      <c r="X161" s="62" t="str">
        <f>[6]DEZEMBRO!$I$128</f>
        <v>ATUAÇÃO TÉCNICA</v>
      </c>
      <c r="Y161" s="87" t="str">
        <f>O63</f>
        <v>CASH BACK</v>
      </c>
      <c r="Z161" s="30"/>
      <c r="AA161" s="30"/>
      <c r="AB161" s="30"/>
      <c r="AC161" s="367" t="s">
        <v>369</v>
      </c>
      <c r="AD161" s="261" t="s">
        <v>370</v>
      </c>
      <c r="AE161" s="95" t="s">
        <v>371</v>
      </c>
      <c r="AF161" s="30"/>
      <c r="AG161" s="30"/>
      <c r="AH161" s="27"/>
      <c r="AI161" s="28"/>
      <c r="AJ161" s="2"/>
    </row>
    <row r="162" spans="1:8">
      <c r="A162" s="2"/>
      <c r="B162" s="2"/>
      <c r="C162" s="2"/>
      <c r="D162" s="2"/>
      <c r="E162" s="2"/>
      <c r="F162" s="2"/>
      <c r="G162" s="2"/>
      <c r="H162" s="2"/>
    </row>
    <row r="163" spans="1:8">
      <c r="A163" s="2"/>
      <c r="B163" s="2"/>
      <c r="C163" s="2"/>
      <c r="D163" s="2"/>
      <c r="E163" s="2"/>
      <c r="F163" s="2"/>
      <c r="G163" s="2"/>
      <c r="H163" s="2"/>
    </row>
    <row r="164" spans="1:8">
      <c r="A164" s="2"/>
      <c r="B164" s="2"/>
      <c r="C164" s="2"/>
      <c r="D164" s="2"/>
      <c r="E164" s="2"/>
      <c r="F164" s="2"/>
      <c r="G164" s="2"/>
      <c r="H164" s="2"/>
    </row>
    <row r="165" spans="1:8">
      <c r="A165" s="2"/>
      <c r="B165" s="2"/>
      <c r="C165" s="2"/>
      <c r="D165" s="2"/>
      <c r="E165" s="2"/>
      <c r="F165" s="2"/>
      <c r="G165" s="2"/>
      <c r="H165" s="2"/>
    </row>
    <row r="166" spans="1:8">
      <c r="A166" s="2"/>
      <c r="B166" s="2"/>
      <c r="C166" s="2"/>
      <c r="D166" s="2"/>
      <c r="E166" s="2"/>
      <c r="F166" s="2"/>
      <c r="G166" s="2"/>
      <c r="H166" s="2"/>
    </row>
    <row r="167" spans="1:8">
      <c r="A167" s="2"/>
      <c r="B167" s="2"/>
      <c r="C167" s="2"/>
      <c r="D167" s="2"/>
      <c r="E167" s="2"/>
      <c r="F167" s="2"/>
      <c r="G167" s="2"/>
      <c r="H167" s="2"/>
    </row>
    <row r="168" spans="1:8">
      <c r="A168" s="2"/>
      <c r="B168" s="2"/>
      <c r="C168" s="2"/>
      <c r="D168" s="2"/>
      <c r="E168" s="2"/>
      <c r="F168" s="2"/>
      <c r="G168" s="2"/>
      <c r="H168" s="2"/>
    </row>
    <row r="169" spans="1:8">
      <c r="A169" s="2"/>
      <c r="B169" s="2"/>
      <c r="C169" s="2"/>
      <c r="D169" s="2"/>
      <c r="E169" s="2"/>
      <c r="F169" s="2"/>
      <c r="G169" s="2"/>
      <c r="H169" s="2"/>
    </row>
    <row r="170" spans="1:8">
      <c r="A170" s="2"/>
      <c r="B170" s="2"/>
      <c r="C170" s="2"/>
      <c r="D170" s="2"/>
      <c r="E170" s="2"/>
      <c r="F170" s="2"/>
      <c r="G170" s="2"/>
      <c r="H170" s="2"/>
    </row>
    <row r="171" spans="1:8">
      <c r="A171" s="2"/>
      <c r="B171" s="2"/>
      <c r="C171" s="2"/>
      <c r="D171" s="2"/>
      <c r="E171" s="2"/>
      <c r="F171" s="2"/>
      <c r="G171" s="2"/>
      <c r="H171" s="2"/>
    </row>
    <row r="172" spans="1:8">
      <c r="A172" s="2"/>
      <c r="B172" s="2"/>
      <c r="C172" s="2"/>
      <c r="D172" s="2"/>
      <c r="E172" s="2"/>
      <c r="F172" s="2"/>
      <c r="G172" s="2"/>
      <c r="H172" s="2"/>
    </row>
    <row r="173" spans="1:8">
      <c r="A173" s="2"/>
      <c r="B173" s="2"/>
      <c r="C173" s="2"/>
      <c r="D173" s="2"/>
      <c r="E173" s="2"/>
      <c r="F173" s="2"/>
      <c r="G173" s="2"/>
      <c r="H173" s="2"/>
    </row>
    <row r="174" spans="1:8">
      <c r="A174" s="2"/>
      <c r="B174" s="2"/>
      <c r="C174" s="2"/>
      <c r="D174" s="2"/>
      <c r="E174" s="2"/>
      <c r="F174" s="2"/>
      <c r="G174" s="2"/>
      <c r="H174" s="2"/>
    </row>
    <row r="175" spans="1:8">
      <c r="A175" s="2"/>
      <c r="B175" s="2"/>
      <c r="C175" s="2"/>
      <c r="D175" s="2"/>
      <c r="E175" s="2"/>
      <c r="F175" s="2"/>
      <c r="G175" s="2"/>
      <c r="H175" s="2"/>
    </row>
    <row r="176" spans="1:8">
      <c r="A176" s="2"/>
      <c r="B176" s="2"/>
      <c r="C176" s="2"/>
      <c r="D176" s="2"/>
      <c r="E176" s="2"/>
      <c r="F176" s="2"/>
      <c r="G176" s="2"/>
      <c r="H176" s="2"/>
    </row>
    <row r="177" spans="1:37">
      <c r="A177" s="2"/>
      <c r="B177" s="2"/>
      <c r="C177" s="2"/>
      <c r="D177" s="2"/>
      <c r="E177" s="2"/>
      <c r="F177" s="2"/>
      <c r="G177" s="2"/>
      <c r="H177" s="2"/>
      <c r="AK177" s="368">
        <f>AH64+AH66+AH69+AH70+AH71</f>
        <v>4631.88695433191</v>
      </c>
    </row>
    <row r="178" spans="1:8">
      <c r="A178" s="2"/>
      <c r="B178" s="2"/>
      <c r="C178" s="2"/>
      <c r="D178" s="2"/>
      <c r="E178" s="2"/>
      <c r="F178" s="2"/>
      <c r="G178" s="2"/>
      <c r="H178" s="2"/>
    </row>
    <row r="179" spans="1:8">
      <c r="A179" s="2"/>
      <c r="B179" s="2"/>
      <c r="C179" s="2"/>
      <c r="D179" s="2"/>
      <c r="E179" s="2"/>
      <c r="F179" s="2"/>
      <c r="G179" s="2"/>
      <c r="H179" s="2"/>
    </row>
    <row r="180" spans="1:8">
      <c r="A180" s="2"/>
      <c r="B180" s="2"/>
      <c r="C180" s="2"/>
      <c r="D180" s="2"/>
      <c r="E180" s="2"/>
      <c r="F180" s="2"/>
      <c r="G180" s="2"/>
      <c r="H180" s="2"/>
    </row>
    <row r="181" spans="1:8">
      <c r="A181" s="2"/>
      <c r="B181" s="2"/>
      <c r="C181" s="2"/>
      <c r="D181" s="2"/>
      <c r="E181" s="2"/>
      <c r="F181" s="2"/>
      <c r="G181" s="2"/>
      <c r="H181" s="2"/>
    </row>
    <row r="182" spans="1:8">
      <c r="A182" s="2"/>
      <c r="B182" s="2"/>
      <c r="C182" s="2"/>
      <c r="D182" s="2"/>
      <c r="E182" s="2"/>
      <c r="F182" s="2"/>
      <c r="G182" s="2"/>
      <c r="H182" s="2"/>
    </row>
    <row r="183" spans="1:8">
      <c r="A183" s="2"/>
      <c r="B183" s="2"/>
      <c r="C183" s="2"/>
      <c r="D183" s="2"/>
      <c r="E183" s="2"/>
      <c r="F183" s="2"/>
      <c r="G183" s="2"/>
      <c r="H183" s="2"/>
    </row>
    <row r="184" spans="1:8">
      <c r="A184" s="2"/>
      <c r="B184" s="2"/>
      <c r="C184" s="2"/>
      <c r="D184" s="2"/>
      <c r="E184" s="2"/>
      <c r="F184" s="2"/>
      <c r="G184" s="2"/>
      <c r="H184" s="2"/>
    </row>
    <row r="185" spans="1:8">
      <c r="A185" s="2"/>
      <c r="B185" s="2"/>
      <c r="C185" s="2"/>
      <c r="D185" s="2"/>
      <c r="E185" s="2"/>
      <c r="F185" s="2"/>
      <c r="G185" s="2"/>
      <c r="H185" s="2"/>
    </row>
    <row r="186" spans="1:8">
      <c r="A186" s="2"/>
      <c r="B186" s="2"/>
      <c r="C186" s="2"/>
      <c r="D186" s="2"/>
      <c r="E186" s="2"/>
      <c r="F186" s="2"/>
      <c r="G186" s="2"/>
      <c r="H186" s="2"/>
    </row>
    <row r="187" spans="1:8">
      <c r="A187" s="2"/>
      <c r="B187" s="2"/>
      <c r="C187" s="2"/>
      <c r="D187" s="2"/>
      <c r="E187" s="2"/>
      <c r="F187" s="2"/>
      <c r="G187" s="2"/>
      <c r="H187" s="2"/>
    </row>
    <row r="188" spans="1:8">
      <c r="A188" s="2"/>
      <c r="B188" s="2"/>
      <c r="C188" s="2"/>
      <c r="D188" s="2"/>
      <c r="E188" s="2"/>
      <c r="F188" s="2"/>
      <c r="G188" s="2"/>
      <c r="H188" s="2"/>
    </row>
    <row r="189" spans="1:8">
      <c r="A189" s="2"/>
      <c r="B189" s="2"/>
      <c r="C189" s="2"/>
      <c r="D189" s="2"/>
      <c r="E189" s="2"/>
      <c r="F189" s="2"/>
      <c r="G189" s="2"/>
      <c r="H189" s="2"/>
    </row>
    <row r="190" spans="1:8">
      <c r="A190" s="2"/>
      <c r="B190" s="2"/>
      <c r="C190" s="2"/>
      <c r="D190" s="2"/>
      <c r="E190" s="2"/>
      <c r="F190" s="2"/>
      <c r="G190" s="2"/>
      <c r="H190" s="2"/>
    </row>
    <row r="191" spans="1:37">
      <c r="A191" s="2"/>
      <c r="B191" s="2"/>
      <c r="C191" s="2"/>
      <c r="D191" s="2"/>
      <c r="E191" s="2"/>
      <c r="F191" s="2"/>
      <c r="G191" s="2"/>
      <c r="H191" s="2"/>
      <c r="AK191" s="2"/>
    </row>
    <row r="192" spans="1:37">
      <c r="A192" s="2"/>
      <c r="B192" s="2"/>
      <c r="C192" s="2"/>
      <c r="D192" s="2"/>
      <c r="E192" s="2"/>
      <c r="F192" s="2"/>
      <c r="G192" s="2"/>
      <c r="H192" s="2"/>
      <c r="AK192" s="2"/>
    </row>
    <row r="193" spans="1:37">
      <c r="A193" s="2"/>
      <c r="B193" s="2"/>
      <c r="C193" s="2"/>
      <c r="D193" s="2"/>
      <c r="E193" s="2"/>
      <c r="F193" s="2"/>
      <c r="G193" s="2"/>
      <c r="H193" s="2"/>
      <c r="AK193" s="2"/>
    </row>
    <row r="194" spans="1:37">
      <c r="A194" s="2"/>
      <c r="B194" s="2"/>
      <c r="C194" s="2"/>
      <c r="D194" s="2"/>
      <c r="E194" s="2"/>
      <c r="F194" s="2"/>
      <c r="G194" s="2"/>
      <c r="H194" s="2"/>
      <c r="AK194" s="2"/>
    </row>
    <row r="195" spans="37:37">
      <c r="AK195" s="2"/>
    </row>
    <row r="196" spans="1:37">
      <c r="A196" s="2"/>
      <c r="B196" s="2"/>
      <c r="C196" s="2"/>
      <c r="D196" s="2"/>
      <c r="E196" s="2"/>
      <c r="F196" s="2"/>
      <c r="G196" s="2"/>
      <c r="H196" s="2"/>
      <c r="AK196" s="2"/>
    </row>
    <row r="197" spans="1:37">
      <c r="A197" s="2"/>
      <c r="B197" s="2"/>
      <c r="C197" s="2"/>
      <c r="D197" s="2"/>
      <c r="E197" s="2"/>
      <c r="F197" s="2"/>
      <c r="G197" s="2"/>
      <c r="H197" s="2"/>
      <c r="AJ197" s="200"/>
      <c r="AK197" s="2"/>
    </row>
    <row r="198" spans="1:39">
      <c r="A198" s="2"/>
      <c r="B198" s="2"/>
      <c r="C198" s="2"/>
      <c r="D198" s="2"/>
      <c r="E198" s="2"/>
      <c r="F198" s="2"/>
      <c r="G198" s="142">
        <f>G149/3</f>
        <v>900</v>
      </c>
      <c r="H198" s="2" t="s">
        <v>372</v>
      </c>
      <c r="N198" s="141">
        <f>N149+Q149+R149+Q149</f>
        <v>340</v>
      </c>
      <c r="AJ198" s="2"/>
      <c r="AK198" s="2"/>
      <c r="AL198" s="2"/>
      <c r="AM198" s="2"/>
    </row>
    <row r="199" s="2" customFormat="1" spans="7:35">
      <c r="G199" s="142">
        <f>G198</f>
        <v>900</v>
      </c>
      <c r="H199" s="2" t="s">
        <v>373</v>
      </c>
      <c r="I199" s="7"/>
      <c r="J199" s="8"/>
      <c r="K199"/>
      <c r="L199"/>
      <c r="M199"/>
      <c r="N199" s="141">
        <f>N198*3</f>
        <v>1020</v>
      </c>
      <c r="O199"/>
      <c r="P199"/>
      <c r="Q199" s="8"/>
      <c r="R199" s="8"/>
      <c r="S199"/>
      <c r="T199"/>
      <c r="U199"/>
      <c r="V199" s="8"/>
      <c r="W199" s="8"/>
      <c r="X199" s="8"/>
      <c r="Y199"/>
      <c r="Z199"/>
      <c r="AA199"/>
      <c r="AB199"/>
      <c r="AC199"/>
      <c r="AD199"/>
      <c r="AE199"/>
      <c r="AF199"/>
      <c r="AG199"/>
      <c r="AH199"/>
      <c r="AI199"/>
    </row>
    <row r="200" spans="1:39">
      <c r="A200" s="2"/>
      <c r="B200" s="2"/>
      <c r="C200" s="2"/>
      <c r="D200" s="2"/>
      <c r="E200" s="2"/>
      <c r="F200" s="2"/>
      <c r="G200" s="142">
        <f>G149*20/100</f>
        <v>540</v>
      </c>
      <c r="H200" s="2" t="s">
        <v>374</v>
      </c>
      <c r="AJ200" s="2"/>
      <c r="AK200" s="2"/>
      <c r="AL200" s="2"/>
      <c r="AM200" s="2"/>
    </row>
    <row r="201" spans="1:39">
      <c r="A201" s="2"/>
      <c r="B201" s="2"/>
      <c r="C201" s="2"/>
      <c r="D201" s="2"/>
      <c r="E201" s="2"/>
      <c r="F201" s="2"/>
      <c r="G201" s="142">
        <f>G149-G198-G199-G200</f>
        <v>360</v>
      </c>
      <c r="H201" s="369" t="s">
        <v>375</v>
      </c>
      <c r="AJ201" s="2"/>
      <c r="AK201" s="2"/>
      <c r="AL201" s="2"/>
      <c r="AM201" s="2"/>
    </row>
    <row r="202" spans="1:39">
      <c r="A202" s="2"/>
      <c r="B202" s="2"/>
      <c r="C202" s="2"/>
      <c r="D202" s="2"/>
      <c r="E202" s="2"/>
      <c r="F202" s="2"/>
      <c r="G202" s="2"/>
      <c r="H202" s="2"/>
      <c r="AJ202" s="2"/>
      <c r="AK202" s="2"/>
      <c r="AL202" s="2"/>
      <c r="AM202" s="2"/>
    </row>
    <row r="203" spans="1:39">
      <c r="A203" s="2"/>
      <c r="B203" s="2"/>
      <c r="C203" s="2"/>
      <c r="D203" s="2"/>
      <c r="E203" s="2"/>
      <c r="F203" s="2"/>
      <c r="G203" s="2"/>
      <c r="H203" s="2"/>
      <c r="AJ203" s="2"/>
      <c r="AK203" s="2"/>
      <c r="AL203" s="2"/>
      <c r="AM203" s="2"/>
    </row>
    <row r="204" spans="1:39">
      <c r="A204" s="2"/>
      <c r="B204" s="2"/>
      <c r="C204" s="2"/>
      <c r="D204" s="2"/>
      <c r="E204" s="2"/>
      <c r="F204" s="2"/>
      <c r="G204" s="2"/>
      <c r="H204" s="2"/>
      <c r="AJ204" s="2"/>
      <c r="AK204" s="2"/>
      <c r="AL204" s="2"/>
      <c r="AM204" s="2"/>
    </row>
    <row r="205" spans="1:39">
      <c r="A205" s="2"/>
      <c r="B205" s="2"/>
      <c r="C205" s="2"/>
      <c r="D205" s="2"/>
      <c r="E205" s="2"/>
      <c r="F205" s="2"/>
      <c r="G205" s="2"/>
      <c r="H205" s="2"/>
      <c r="AJ205" s="2"/>
      <c r="AK205" s="2"/>
      <c r="AL205" s="2"/>
      <c r="AM205" s="2"/>
    </row>
    <row r="206" s="5" customFormat="1" spans="1:40">
      <c r="A206" s="2"/>
      <c r="B206" s="2"/>
      <c r="C206" s="2"/>
      <c r="D206" s="2"/>
      <c r="E206" s="2"/>
      <c r="F206" s="2"/>
      <c r="G206" s="2"/>
      <c r="H206" s="2"/>
      <c r="I206" s="7"/>
      <c r="J206" s="8"/>
      <c r="K206"/>
      <c r="L206"/>
      <c r="M206"/>
      <c r="N206" s="8"/>
      <c r="O206"/>
      <c r="P206"/>
      <c r="Q206" s="8"/>
      <c r="R206" s="8"/>
      <c r="S206"/>
      <c r="T206"/>
      <c r="U206"/>
      <c r="V206" s="8"/>
      <c r="W206" s="8"/>
      <c r="X206" s="8"/>
      <c r="Y206"/>
      <c r="Z206"/>
      <c r="AA206"/>
      <c r="AB206"/>
      <c r="AC206"/>
      <c r="AD206"/>
      <c r="AE206"/>
      <c r="AF206"/>
      <c r="AG206"/>
      <c r="AH206"/>
      <c r="AI206"/>
      <c r="AJ206" s="2"/>
      <c r="AK206" s="2"/>
      <c r="AL206" s="2"/>
      <c r="AM206" s="2"/>
      <c r="AN206" s="2"/>
    </row>
    <row r="207" s="5" customFormat="1" spans="1:39">
      <c r="A207" s="2"/>
      <c r="B207" s="2"/>
      <c r="C207" s="2"/>
      <c r="D207" s="2"/>
      <c r="E207" s="2"/>
      <c r="F207" s="2"/>
      <c r="G207" s="2"/>
      <c r="H207" s="2"/>
      <c r="I207" s="7"/>
      <c r="J207" s="8"/>
      <c r="K207"/>
      <c r="L207"/>
      <c r="M207"/>
      <c r="N207" s="8"/>
      <c r="O207"/>
      <c r="P207"/>
      <c r="Q207" s="8"/>
      <c r="R207" s="8"/>
      <c r="S207"/>
      <c r="T207"/>
      <c r="U207"/>
      <c r="V207" s="8"/>
      <c r="W207" s="8"/>
      <c r="X207" s="8"/>
      <c r="Y207"/>
      <c r="Z207"/>
      <c r="AA207"/>
      <c r="AB207"/>
      <c r="AC207"/>
      <c r="AD207"/>
      <c r="AE207"/>
      <c r="AF207"/>
      <c r="AG207"/>
      <c r="AH207"/>
      <c r="AI207"/>
      <c r="AJ207" s="2"/>
      <c r="AK207" s="2"/>
      <c r="AL207" s="2"/>
      <c r="AM207" s="2"/>
    </row>
    <row r="208" spans="1:39">
      <c r="A208" s="2"/>
      <c r="B208" s="2"/>
      <c r="C208" s="2"/>
      <c r="D208" s="2"/>
      <c r="E208" s="2"/>
      <c r="F208" s="2"/>
      <c r="G208" s="2"/>
      <c r="H208" s="2"/>
      <c r="AJ208" s="2"/>
      <c r="AK208" s="2"/>
      <c r="AL208" s="2"/>
      <c r="AM208" s="2"/>
    </row>
    <row r="209" spans="1:39">
      <c r="A209" s="2"/>
      <c r="B209" s="2"/>
      <c r="C209" s="2"/>
      <c r="D209" s="2"/>
      <c r="E209" s="2"/>
      <c r="F209" s="2"/>
      <c r="G209" s="2"/>
      <c r="H209" s="2"/>
      <c r="AJ209" s="2"/>
      <c r="AK209" s="2"/>
      <c r="AL209" s="2"/>
      <c r="AM209" s="2"/>
    </row>
    <row r="210" spans="1:8">
      <c r="A210" s="2"/>
      <c r="B210" s="2"/>
      <c r="C210" s="2"/>
      <c r="D210" s="2"/>
      <c r="E210" s="2"/>
      <c r="F210" s="2"/>
      <c r="G210" s="2"/>
      <c r="H210" s="2"/>
    </row>
    <row r="211" spans="1:8">
      <c r="A211" s="2"/>
      <c r="B211" s="2"/>
      <c r="C211" s="2"/>
      <c r="D211" s="2"/>
      <c r="E211" s="2"/>
      <c r="F211" s="2"/>
      <c r="G211" s="2"/>
      <c r="H211" s="2"/>
    </row>
    <row r="212" spans="1:39">
      <c r="A212" s="2"/>
      <c r="B212" s="2"/>
      <c r="C212" s="2"/>
      <c r="D212" s="2"/>
      <c r="E212" s="2"/>
      <c r="F212" s="2"/>
      <c r="G212" s="2"/>
      <c r="H212" s="2"/>
      <c r="AJ212" s="2"/>
      <c r="AK212" s="2"/>
      <c r="AL212" s="2"/>
      <c r="AM212" s="2"/>
    </row>
    <row r="213" spans="1:39">
      <c r="A213" s="2"/>
      <c r="B213" s="2"/>
      <c r="C213" s="2"/>
      <c r="D213" s="2"/>
      <c r="E213" s="2"/>
      <c r="F213" s="2"/>
      <c r="G213" s="2"/>
      <c r="H213" s="2"/>
      <c r="AJ213" s="2"/>
      <c r="AK213" s="2"/>
      <c r="AL213" s="2"/>
      <c r="AM213" s="2"/>
    </row>
    <row r="214" spans="4:39">
      <c r="D214" s="2"/>
      <c r="E214" s="2"/>
      <c r="F214" s="2"/>
      <c r="G214" s="2"/>
      <c r="H214" s="2"/>
      <c r="AJ214" s="2"/>
      <c r="AK214" s="2"/>
      <c r="AL214" s="2"/>
      <c r="AM214" s="2"/>
    </row>
    <row r="215" spans="4:39">
      <c r="D215" s="2"/>
      <c r="E215" s="2"/>
      <c r="F215" s="2"/>
      <c r="G215" s="2"/>
      <c r="H215" s="2"/>
      <c r="AJ215" s="2"/>
      <c r="AK215" s="2"/>
      <c r="AL215" s="2"/>
      <c r="AM215" s="2"/>
    </row>
    <row r="216" spans="4:39">
      <c r="D216" s="2"/>
      <c r="I216" s="370"/>
      <c r="J216" s="1"/>
      <c r="K216" s="1"/>
      <c r="L216" s="1"/>
      <c r="M216" s="1"/>
      <c r="N216" s="371"/>
      <c r="O216" s="1"/>
      <c r="P216" s="1"/>
      <c r="Q216" s="37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2"/>
      <c r="AK216" s="2"/>
      <c r="AL216" s="2"/>
      <c r="AM216" s="2"/>
    </row>
    <row r="217" spans="25:39">
      <c r="Y217" s="141"/>
      <c r="Z217" s="141"/>
      <c r="AA217" s="141"/>
      <c r="AB217" s="200"/>
      <c r="AC217" s="201"/>
      <c r="AD217" s="201"/>
      <c r="AE217" s="200"/>
      <c r="AF217" s="200"/>
      <c r="AG217" s="200"/>
      <c r="AH217" s="200"/>
      <c r="AI217" s="200"/>
      <c r="AJ217" s="2"/>
      <c r="AK217" s="2"/>
      <c r="AL217" s="2"/>
      <c r="AM217" s="2"/>
    </row>
    <row r="236" spans="25:37"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K236" s="2"/>
    </row>
    <row r="237" spans="37:37">
      <c r="AK237" s="2"/>
    </row>
    <row r="238" spans="1:37">
      <c r="A238" s="2"/>
      <c r="B238" s="2"/>
      <c r="C238" s="2"/>
      <c r="D238" s="2"/>
      <c r="E238" s="2"/>
      <c r="F238" s="2"/>
      <c r="G238" s="2"/>
      <c r="H238" s="2"/>
      <c r="I238" s="142"/>
      <c r="J238" s="143"/>
      <c r="K238" s="2"/>
      <c r="L238" s="2"/>
      <c r="M238" s="2"/>
      <c r="N238" s="143"/>
      <c r="O238" s="2"/>
      <c r="P238" s="2"/>
      <c r="Q238" s="194"/>
      <c r="R238" s="143"/>
      <c r="S238" s="142"/>
      <c r="T238" s="2"/>
      <c r="U238" s="2"/>
      <c r="V238" s="143"/>
      <c r="W238" s="143"/>
      <c r="X238" s="143"/>
      <c r="AK238" s="2"/>
    </row>
    <row r="239" spans="17:37">
      <c r="Q239" s="141"/>
      <c r="AK239" s="2"/>
    </row>
    <row r="240" spans="17:37">
      <c r="Q240" s="141"/>
      <c r="AK240" s="2"/>
    </row>
    <row r="241" spans="17:37">
      <c r="Q241" s="141"/>
      <c r="AK241" s="2"/>
    </row>
    <row r="242" spans="17:37">
      <c r="Q242" s="141"/>
      <c r="AK242" s="2"/>
    </row>
    <row r="243" spans="17:37">
      <c r="Q243" s="141"/>
      <c r="AK243" s="2"/>
    </row>
    <row r="244" spans="37:37">
      <c r="AK244" s="2"/>
    </row>
    <row r="245" spans="37:37">
      <c r="AK245" s="2"/>
    </row>
    <row r="246" spans="37:37">
      <c r="AK246" s="2"/>
    </row>
    <row r="247" spans="37:37">
      <c r="AK247" s="2"/>
    </row>
    <row r="248" spans="37:37">
      <c r="AK248" s="2"/>
    </row>
    <row r="249" spans="37:37">
      <c r="AK249" s="2"/>
    </row>
    <row r="250" spans="37:37">
      <c r="AK250" s="2"/>
    </row>
    <row r="251" spans="37:37">
      <c r="AK251" s="2"/>
    </row>
    <row r="252" spans="37:37">
      <c r="AK252" s="2"/>
    </row>
    <row r="253" spans="37:37">
      <c r="AK253" s="2"/>
    </row>
    <row r="254" spans="37:37">
      <c r="AK254" s="2"/>
    </row>
    <row r="255" spans="37:37">
      <c r="AK255" s="2"/>
    </row>
    <row r="256" spans="37:37">
      <c r="AK256" s="2"/>
    </row>
    <row r="257" spans="37:37">
      <c r="AK257" s="2"/>
    </row>
    <row r="258" spans="37:37">
      <c r="AK258" s="2"/>
    </row>
    <row r="259" spans="37:37">
      <c r="AK259" s="2"/>
    </row>
    <row r="260" spans="37:37">
      <c r="AK260" s="2"/>
    </row>
    <row r="263" s="1" customFormat="1" spans="1:40">
      <c r="A263"/>
      <c r="B263"/>
      <c r="C263"/>
      <c r="D263"/>
      <c r="E263"/>
      <c r="F263"/>
      <c r="G263"/>
      <c r="H263"/>
      <c r="I263" s="7"/>
      <c r="J263" s="8"/>
      <c r="K263"/>
      <c r="L263"/>
      <c r="M263"/>
      <c r="N263" s="8"/>
      <c r="O263"/>
      <c r="P263"/>
      <c r="Q263" s="8"/>
      <c r="R263" s="8"/>
      <c r="S263"/>
      <c r="T263"/>
      <c r="U263"/>
      <c r="V263" s="8"/>
      <c r="W263" s="8"/>
      <c r="X263" s="8"/>
      <c r="Y263"/>
      <c r="Z263"/>
      <c r="AA263"/>
      <c r="AB263"/>
      <c r="AC263"/>
      <c r="AD263"/>
      <c r="AE263"/>
      <c r="AF263"/>
      <c r="AG263"/>
      <c r="AH263"/>
      <c r="AI263"/>
      <c r="AK263" s="200"/>
      <c r="AL263" s="200"/>
      <c r="AM263" s="200"/>
      <c r="AN263" s="200"/>
    </row>
    <row r="264" s="1" customFormat="1" spans="1:40">
      <c r="A264"/>
      <c r="B264"/>
      <c r="C264"/>
      <c r="D264"/>
      <c r="E264"/>
      <c r="F264"/>
      <c r="G264"/>
      <c r="H264"/>
      <c r="I264" s="7"/>
      <c r="J264" s="8"/>
      <c r="K264"/>
      <c r="L264"/>
      <c r="M264"/>
      <c r="N264" s="8"/>
      <c r="O264"/>
      <c r="P264"/>
      <c r="Q264" s="8"/>
      <c r="R264" s="8"/>
      <c r="S264"/>
      <c r="T264"/>
      <c r="U264"/>
      <c r="V264" s="8"/>
      <c r="W264" s="8"/>
      <c r="X264" s="8"/>
      <c r="Y264"/>
      <c r="Z264"/>
      <c r="AA264"/>
      <c r="AB264"/>
      <c r="AC264"/>
      <c r="AD264"/>
      <c r="AE264"/>
      <c r="AF264"/>
      <c r="AG264"/>
      <c r="AH264"/>
      <c r="AI264"/>
      <c r="AJ264" s="200"/>
      <c r="AK264" s="200"/>
      <c r="AL264" s="200"/>
      <c r="AM264" s="200"/>
      <c r="AN264" s="200"/>
    </row>
    <row r="265" spans="36:37">
      <c r="AJ265" s="2"/>
      <c r="AK265" s="2"/>
    </row>
    <row r="266" spans="36:37">
      <c r="AJ266" s="2"/>
      <c r="AK266" s="2"/>
    </row>
    <row r="269" spans="36:39">
      <c r="AJ269" s="2"/>
      <c r="AK269" s="2"/>
      <c r="AL269" s="2"/>
      <c r="AM269" s="2"/>
    </row>
    <row r="271" s="5" customFormat="1" spans="1:40">
      <c r="A271"/>
      <c r="B271"/>
      <c r="C271"/>
      <c r="D271"/>
      <c r="E271"/>
      <c r="F271"/>
      <c r="G271"/>
      <c r="H271"/>
      <c r="I271" s="7"/>
      <c r="J271" s="8"/>
      <c r="K271"/>
      <c r="L271"/>
      <c r="M271"/>
      <c r="N271" s="8"/>
      <c r="O271"/>
      <c r="P271"/>
      <c r="Q271" s="8"/>
      <c r="R271" s="8"/>
      <c r="S271"/>
      <c r="T271"/>
      <c r="U271"/>
      <c r="V271" s="8"/>
      <c r="W271" s="8"/>
      <c r="X271" s="8"/>
      <c r="Y271"/>
      <c r="Z271"/>
      <c r="AA271"/>
      <c r="AB271"/>
      <c r="AC271"/>
      <c r="AD271"/>
      <c r="AE271"/>
      <c r="AF271"/>
      <c r="AG271"/>
      <c r="AH271"/>
      <c r="AI271"/>
      <c r="AJ271" s="2"/>
      <c r="AK271" s="2"/>
      <c r="AL271" s="2"/>
      <c r="AM271" s="2"/>
      <c r="AN271" s="2"/>
    </row>
    <row r="274" spans="36:39">
      <c r="AJ274" s="2"/>
      <c r="AK274" s="2"/>
      <c r="AL274" s="2"/>
      <c r="AM274" s="2"/>
    </row>
    <row r="279" spans="36:37">
      <c r="AJ279" s="2"/>
      <c r="AK279" s="2"/>
    </row>
    <row r="280" spans="36:37">
      <c r="AJ280" s="2"/>
      <c r="AK280" s="2"/>
    </row>
    <row r="283" spans="36:39">
      <c r="AJ283" s="2"/>
      <c r="AK283" s="2"/>
      <c r="AL283" s="2"/>
      <c r="AM283" s="2"/>
    </row>
  </sheetData>
  <hyperlinks>
    <hyperlink ref="A1" r:id="rId2" display="MENU PRINCIPAL"/>
  </hyperlinks>
  <pageMargins left="0.511811024" right="0.511811024" top="0.787401575" bottom="0.787401575" header="0.31496062" footer="0.31496062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RECEITAS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Silva</dc:creator>
  <cp:lastModifiedBy>Tovani</cp:lastModifiedBy>
  <dcterms:created xsi:type="dcterms:W3CDTF">2024-11-01T13:08:00Z</dcterms:created>
  <dcterms:modified xsi:type="dcterms:W3CDTF">2025-03-21T04:36:03Z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8F6475F410254741932EB158918A0809_12</vt:lpwstr>
  </property>
  <property fmtid="{D5CDD505-2E9C-101B-9397-08002B2CF9AE}" pid="3" name="KSOProductBuildVer">
    <vt:lpwstr>1046-12.2.0.20326</vt:lpwstr>
  </property>
</Properties>
</file>