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INANCEIRO\2025\03 - MARÇO\"/>
    </mc:Choice>
  </mc:AlternateContent>
  <xr:revisionPtr revIDLastSave="0" documentId="13_ncr:1_{0344DD06-C25E-4C7B-9508-A58C94DE5E50}" xr6:coauthVersionLast="47" xr6:coauthVersionMax="47" xr10:uidLastSave="{00000000-0000-0000-0000-000000000000}"/>
  <bookViews>
    <workbookView xWindow="-120" yWindow="-120" windowWidth="15600" windowHeight="11160" xr2:uid="{BE73A832-89B5-461C-BE07-BCFE8519FB94}"/>
  </bookViews>
  <sheets>
    <sheet name="RECEITAS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1" i="1" l="1"/>
  <c r="AF95" i="1" l="1"/>
  <c r="AF94" i="1"/>
  <c r="AF106" i="1"/>
  <c r="J145" i="1" l="1"/>
  <c r="I147" i="1"/>
  <c r="AA90" i="1" l="1"/>
  <c r="AA92" i="1"/>
  <c r="AA91" i="1"/>
  <c r="AD93" i="1" l="1"/>
  <c r="AD104" i="1"/>
  <c r="U81" i="1"/>
  <c r="U79" i="1"/>
  <c r="U78" i="1"/>
  <c r="AF103" i="1"/>
  <c r="Q103" i="1"/>
  <c r="E77" i="1"/>
  <c r="R77" i="1"/>
  <c r="N77" i="1"/>
  <c r="L77" i="1"/>
  <c r="L103" i="1" s="1"/>
  <c r="W103" i="1" s="1"/>
  <c r="AB103" i="1" s="1"/>
  <c r="AH103" i="1" l="1"/>
  <c r="O77" i="1"/>
  <c r="Q77" i="1" l="1"/>
  <c r="S77" i="1"/>
  <c r="T77" i="1" s="1"/>
  <c r="L96" i="1" l="1"/>
  <c r="U71" i="1"/>
  <c r="V76" i="1"/>
  <c r="V77" i="1" s="1"/>
  <c r="M76" i="1"/>
  <c r="M75" i="1"/>
  <c r="I76" i="1"/>
  <c r="I83" i="1" s="1"/>
  <c r="H76" i="1"/>
  <c r="U75" i="1"/>
  <c r="J75" i="1"/>
  <c r="J77" i="1" s="1"/>
  <c r="J78" i="1" s="1"/>
  <c r="R75" i="1"/>
  <c r="N75" i="1"/>
  <c r="L75" i="1"/>
  <c r="O75" i="1" s="1"/>
  <c r="Q75" i="1" s="1"/>
  <c r="R76" i="1" l="1"/>
  <c r="U76" i="1"/>
  <c r="N76" i="1"/>
  <c r="L76" i="1"/>
  <c r="O76" i="1" s="1"/>
  <c r="Q76" i="1" s="1"/>
  <c r="S75" i="1"/>
  <c r="T75" i="1" s="1"/>
  <c r="S76" i="1" l="1"/>
  <c r="T76" i="1" s="1"/>
  <c r="U64" i="1" l="1"/>
  <c r="J64" i="1"/>
  <c r="U62" i="1"/>
  <c r="U56" i="1"/>
  <c r="M58" i="1" l="1"/>
  <c r="U61" i="1"/>
  <c r="U58" i="1"/>
  <c r="U59" i="1"/>
  <c r="J59" i="1"/>
  <c r="R58" i="1"/>
  <c r="N58" i="1"/>
  <c r="L58" i="1"/>
  <c r="N55" i="1"/>
  <c r="L55" i="1"/>
  <c r="U54" i="1"/>
  <c r="AC94" i="1"/>
  <c r="U53" i="1"/>
  <c r="N53" i="1"/>
  <c r="L53" i="1"/>
  <c r="J53" i="1"/>
  <c r="R53" i="1"/>
  <c r="Y51" i="1"/>
  <c r="R52" i="1"/>
  <c r="N52" i="1"/>
  <c r="L52" i="1"/>
  <c r="G52" i="1"/>
  <c r="G51" i="1"/>
  <c r="AC104" i="1" l="1"/>
  <c r="O58" i="1"/>
  <c r="Q58" i="1" s="1"/>
  <c r="R55" i="1"/>
  <c r="O55" i="1" s="1"/>
  <c r="O53" i="1"/>
  <c r="Q53" i="1" s="1"/>
  <c r="O52" i="1"/>
  <c r="Q52" i="1" s="1"/>
  <c r="AC90" i="1"/>
  <c r="S58" i="1" l="1"/>
  <c r="T58" i="1" s="1"/>
  <c r="Q55" i="1"/>
  <c r="S55" i="1"/>
  <c r="T55" i="1" s="1"/>
  <c r="S52" i="1"/>
  <c r="S53" i="1"/>
  <c r="T53" i="1" s="1"/>
  <c r="U50" i="1"/>
  <c r="U49" i="1"/>
  <c r="R50" i="1"/>
  <c r="N50" i="1"/>
  <c r="L50" i="1"/>
  <c r="O50" i="1" s="1"/>
  <c r="Q50" i="1" s="1"/>
  <c r="J50" i="1"/>
  <c r="R49" i="1"/>
  <c r="N49" i="1"/>
  <c r="L49" i="1"/>
  <c r="O49" i="1" s="1"/>
  <c r="Q49" i="1" s="1"/>
  <c r="S50" i="1" l="1"/>
  <c r="S49" i="1"/>
  <c r="T49" i="1" s="1"/>
  <c r="S90" i="1" l="1"/>
  <c r="V51" i="1"/>
  <c r="V52" i="1" s="1"/>
  <c r="V53" i="1" s="1"/>
  <c r="N51" i="1"/>
  <c r="N94" i="1" s="1"/>
  <c r="L51" i="1"/>
  <c r="R51" i="1"/>
  <c r="N48" i="1"/>
  <c r="L48" i="1"/>
  <c r="O51" i="1" l="1"/>
  <c r="Q51" i="1" s="1"/>
  <c r="Q94" i="1" s="1"/>
  <c r="L94" i="1"/>
  <c r="U47" i="1"/>
  <c r="U45" i="1"/>
  <c r="S51" i="1" l="1"/>
  <c r="T51" i="1" s="1"/>
  <c r="U40" i="1"/>
  <c r="R40" i="1"/>
  <c r="N40" i="1"/>
  <c r="M40" i="1"/>
  <c r="L40" i="1"/>
  <c r="R41" i="1"/>
  <c r="N41" i="1"/>
  <c r="L41" i="1"/>
  <c r="O41" i="1" s="1"/>
  <c r="Q41" i="1" s="1"/>
  <c r="Q113" i="1" l="1"/>
  <c r="S41" i="1"/>
  <c r="O40" i="1"/>
  <c r="Q40" i="1" s="1"/>
  <c r="U35" i="1"/>
  <c r="R35" i="1"/>
  <c r="O35" i="1"/>
  <c r="N35" i="1"/>
  <c r="N36" i="1" s="1"/>
  <c r="L35" i="1"/>
  <c r="S35" i="1" l="1"/>
  <c r="S40" i="1"/>
  <c r="T40" i="1" s="1"/>
  <c r="U42" i="1"/>
  <c r="U34" i="1"/>
  <c r="U32" i="1"/>
  <c r="U31" i="1"/>
  <c r="U39" i="1" l="1"/>
  <c r="J39" i="1"/>
  <c r="J37" i="1" s="1"/>
  <c r="R39" i="1"/>
  <c r="N39" i="1"/>
  <c r="L39" i="1"/>
  <c r="O39" i="1" s="1"/>
  <c r="Q39" i="1" s="1"/>
  <c r="E39" i="1"/>
  <c r="E72" i="1" s="1"/>
  <c r="N38" i="1"/>
  <c r="U37" i="1"/>
  <c r="R37" i="1"/>
  <c r="N37" i="1"/>
  <c r="M37" i="1"/>
  <c r="L37" i="1"/>
  <c r="O37" i="1" s="1"/>
  <c r="Q37" i="1" s="1"/>
  <c r="R42" i="1"/>
  <c r="N42" i="1"/>
  <c r="L42" i="1"/>
  <c r="J42" i="1"/>
  <c r="S39" i="1" l="1"/>
  <c r="T39" i="1" s="1"/>
  <c r="S37" i="1"/>
  <c r="T37" i="1" s="1"/>
  <c r="O42" i="1"/>
  <c r="Q42" i="1" s="1"/>
  <c r="S42" i="1" l="1"/>
  <c r="T42" i="1" s="1"/>
  <c r="U24" i="1" l="1"/>
  <c r="U22" i="1"/>
  <c r="V24" i="1"/>
  <c r="AA96" i="1"/>
  <c r="AA108" i="1"/>
  <c r="AA98" i="1"/>
  <c r="AA100" i="1"/>
  <c r="AA97" i="1"/>
  <c r="B131" i="1" l="1"/>
  <c r="B132" i="1" s="1"/>
  <c r="B134" i="1" s="1"/>
  <c r="R21" i="1"/>
  <c r="N21" i="1"/>
  <c r="L21" i="1"/>
  <c r="U20" i="1"/>
  <c r="I107" i="1" l="1"/>
  <c r="O21" i="1"/>
  <c r="I108" i="1" l="1"/>
  <c r="Q21" i="1"/>
  <c r="S21" i="1"/>
  <c r="T21" i="1" s="1"/>
  <c r="U19" i="1" l="1"/>
  <c r="U26" i="1"/>
  <c r="U18" i="1"/>
  <c r="U14" i="1"/>
  <c r="U13" i="1"/>
  <c r="U12" i="1"/>
  <c r="U3" i="1"/>
  <c r="N3" i="1"/>
  <c r="J3" i="1"/>
  <c r="R3" i="1"/>
  <c r="L3" i="1"/>
  <c r="U8" i="1"/>
  <c r="U5" i="1"/>
  <c r="U17" i="1"/>
  <c r="X17" i="1"/>
  <c r="U16" i="1"/>
  <c r="U6" i="1"/>
  <c r="N7" i="1"/>
  <c r="R6" i="1"/>
  <c r="N6" i="1"/>
  <c r="L6" i="1"/>
  <c r="K6" i="1"/>
  <c r="L18" i="1"/>
  <c r="O18" i="1" s="1"/>
  <c r="Q18" i="1" s="1"/>
  <c r="N18" i="1"/>
  <c r="R18" i="1"/>
  <c r="L5" i="1"/>
  <c r="N5" i="1" l="1"/>
  <c r="R5" i="1"/>
  <c r="S18" i="1"/>
  <c r="T18" i="1" s="1"/>
  <c r="O3" i="1"/>
  <c r="O6" i="1"/>
  <c r="O5" i="1" l="1"/>
  <c r="Q5" i="1" s="1"/>
  <c r="S3" i="1"/>
  <c r="Q3" i="1"/>
  <c r="Q6" i="1"/>
  <c r="S6" i="1"/>
  <c r="T6" i="1" s="1"/>
  <c r="S5" i="1" l="1"/>
  <c r="T5" i="1" s="1"/>
  <c r="T3" i="1"/>
  <c r="R17" i="1"/>
  <c r="N17" i="1"/>
  <c r="L17" i="1"/>
  <c r="R16" i="1"/>
  <c r="N16" i="1"/>
  <c r="L16" i="1"/>
  <c r="J16" i="1"/>
  <c r="J17" i="1" s="1"/>
  <c r="O16" i="1" l="1"/>
  <c r="O17" i="1"/>
  <c r="Q17" i="1" l="1"/>
  <c r="Q95" i="1" s="1"/>
  <c r="S17" i="1"/>
  <c r="Q16" i="1"/>
  <c r="S16" i="1"/>
  <c r="R81" i="1" l="1"/>
  <c r="N81" i="1"/>
  <c r="L81" i="1"/>
  <c r="O81" i="1" l="1"/>
  <c r="Q81" i="1" l="1"/>
  <c r="S81" i="1"/>
  <c r="T81" i="1" s="1"/>
  <c r="AD110" i="1" l="1"/>
  <c r="Y100" i="1"/>
  <c r="AF102" i="1"/>
  <c r="AD105" i="1"/>
  <c r="AD107" i="1" s="1"/>
  <c r="O117" i="1"/>
  <c r="U145" i="1"/>
  <c r="R145" i="1"/>
  <c r="N145" i="1"/>
  <c r="M145" i="1"/>
  <c r="L145" i="1"/>
  <c r="O145" i="1" s="1"/>
  <c r="Q145" i="1" s="1"/>
  <c r="S145" i="1" l="1"/>
  <c r="T145" i="1" s="1"/>
  <c r="U74" i="1" l="1"/>
  <c r="Q74" i="1"/>
  <c r="J79" i="1"/>
  <c r="J72" i="1"/>
  <c r="J143" i="1"/>
  <c r="J65" i="1"/>
  <c r="U72" i="1"/>
  <c r="U69" i="1"/>
  <c r="U143" i="1"/>
  <c r="U65" i="1"/>
  <c r="R79" i="1"/>
  <c r="Q79" i="1"/>
  <c r="R72" i="1"/>
  <c r="N72" i="1"/>
  <c r="L72" i="1"/>
  <c r="O72" i="1" s="1"/>
  <c r="Q72" i="1" s="1"/>
  <c r="Q69" i="1"/>
  <c r="N143" i="1"/>
  <c r="N144" i="1" s="1"/>
  <c r="L143" i="1"/>
  <c r="O143" i="1" s="1"/>
  <c r="Q143" i="1" s="1"/>
  <c r="J81" i="1" l="1"/>
  <c r="J73" i="1"/>
  <c r="S72" i="1"/>
  <c r="T72" i="1" s="1"/>
  <c r="R143" i="1"/>
  <c r="S143" i="1" s="1"/>
  <c r="T143" i="1" s="1"/>
  <c r="U139" i="1" l="1"/>
  <c r="U141" i="1"/>
  <c r="U67" i="1"/>
  <c r="N66" i="1"/>
  <c r="R65" i="1"/>
  <c r="N65" i="1"/>
  <c r="L65" i="1"/>
  <c r="O65" i="1" s="1"/>
  <c r="Q65" i="1" s="1"/>
  <c r="K65" i="1"/>
  <c r="N142" i="1"/>
  <c r="R141" i="1"/>
  <c r="N141" i="1"/>
  <c r="L141" i="1"/>
  <c r="O141" i="1" s="1"/>
  <c r="Q141" i="1" s="1"/>
  <c r="K141" i="1"/>
  <c r="N68" i="1"/>
  <c r="R67" i="1"/>
  <c r="N67" i="1"/>
  <c r="L67" i="1"/>
  <c r="O67" i="1" s="1"/>
  <c r="Q67" i="1" s="1"/>
  <c r="K67" i="1"/>
  <c r="N140" i="1"/>
  <c r="R139" i="1"/>
  <c r="N139" i="1"/>
  <c r="L139" i="1"/>
  <c r="O139" i="1" s="1"/>
  <c r="Q139" i="1" s="1"/>
  <c r="K139" i="1"/>
  <c r="N63" i="1"/>
  <c r="R62" i="1"/>
  <c r="N62" i="1"/>
  <c r="L62" i="1"/>
  <c r="O62" i="1" s="1"/>
  <c r="Q62" i="1" s="1"/>
  <c r="K62" i="1"/>
  <c r="S65" i="1" l="1"/>
  <c r="T65" i="1" s="1"/>
  <c r="S141" i="1"/>
  <c r="T141" i="1" s="1"/>
  <c r="S67" i="1"/>
  <c r="T67" i="1" s="1"/>
  <c r="S139" i="1"/>
  <c r="T139" i="1" s="1"/>
  <c r="S62" i="1"/>
  <c r="T62" i="1" s="1"/>
  <c r="G187" i="1" l="1"/>
  <c r="G185" i="1"/>
  <c r="G186" i="1" s="1"/>
  <c r="L71" i="1"/>
  <c r="R71" i="1"/>
  <c r="N71" i="1"/>
  <c r="N102" i="1" s="1"/>
  <c r="O71" i="1" l="1"/>
  <c r="Q71" i="1" s="1"/>
  <c r="Q102" i="1" s="1"/>
  <c r="L97" i="1"/>
  <c r="O102" i="1"/>
  <c r="Y102" i="1" s="1"/>
  <c r="Q117" i="1"/>
  <c r="R117" i="1" s="1"/>
  <c r="N185" i="1"/>
  <c r="N186" i="1" s="1"/>
  <c r="G188" i="1"/>
  <c r="S71" i="1"/>
  <c r="R61" i="1" l="1"/>
  <c r="N61" i="1"/>
  <c r="L61" i="1"/>
  <c r="L101" i="1" s="1"/>
  <c r="O61" i="1" l="1"/>
  <c r="Q61" i="1" s="1"/>
  <c r="S61" i="1" l="1"/>
  <c r="T61" i="1" s="1"/>
  <c r="J54" i="1" l="1"/>
  <c r="J41" i="1" s="1"/>
  <c r="W54" i="1"/>
  <c r="R54" i="1"/>
  <c r="N54" i="1"/>
  <c r="L54" i="1"/>
  <c r="O54" i="1" s="1"/>
  <c r="Q54" i="1" s="1"/>
  <c r="S54" i="1" l="1"/>
  <c r="T54" i="1" s="1"/>
  <c r="R48" i="1" l="1"/>
  <c r="M34" i="1"/>
  <c r="J47" i="1"/>
  <c r="AF92" i="1"/>
  <c r="AC93" i="1"/>
  <c r="Z93" i="1"/>
  <c r="AA99" i="1"/>
  <c r="AB99" i="1" s="1"/>
  <c r="AA94" i="1"/>
  <c r="AA93" i="1"/>
  <c r="AA104" i="1" l="1"/>
  <c r="AA105" i="1" s="1"/>
  <c r="O48" i="1"/>
  <c r="S48" i="1" s="1"/>
  <c r="Q48" i="1" l="1"/>
  <c r="AA107" i="1"/>
  <c r="T48" i="1"/>
  <c r="Y89" i="1"/>
  <c r="M14" i="1"/>
  <c r="J29" i="1"/>
  <c r="J51" i="1" s="1"/>
  <c r="J52" i="1" s="1"/>
  <c r="J55" i="1" s="1"/>
  <c r="N32" i="1"/>
  <c r="N33" i="1" s="1"/>
  <c r="L32" i="1"/>
  <c r="L95" i="1" s="1"/>
  <c r="L104" i="1" s="1"/>
  <c r="R32" i="1" l="1"/>
  <c r="N95" i="1"/>
  <c r="O32" i="1"/>
  <c r="Q32" i="1" s="1"/>
  <c r="Q115" i="1" s="1"/>
  <c r="Y95" i="1" l="1"/>
  <c r="S32" i="1"/>
  <c r="T32" i="1" s="1"/>
  <c r="N30" i="1"/>
  <c r="U29" i="1"/>
  <c r="R29" i="1"/>
  <c r="N29" i="1"/>
  <c r="L29" i="1"/>
  <c r="O29" i="1" s="1"/>
  <c r="Q29" i="1" s="1"/>
  <c r="U27" i="1"/>
  <c r="R45" i="1"/>
  <c r="N45" i="1"/>
  <c r="L45" i="1"/>
  <c r="O45" i="1" s="1"/>
  <c r="Q45" i="1" s="1"/>
  <c r="N44" i="1"/>
  <c r="R43" i="1"/>
  <c r="N43" i="1"/>
  <c r="L43" i="1"/>
  <c r="R31" i="1"/>
  <c r="N31" i="1"/>
  <c r="L31" i="1"/>
  <c r="R56" i="1"/>
  <c r="N56" i="1"/>
  <c r="N57" i="1" s="1"/>
  <c r="L56" i="1"/>
  <c r="R46" i="1"/>
  <c r="N46" i="1"/>
  <c r="L46" i="1"/>
  <c r="O46" i="1" s="1"/>
  <c r="Q46" i="1" s="1"/>
  <c r="U137" i="1"/>
  <c r="S29" i="1" l="1"/>
  <c r="T29" i="1" s="1"/>
  <c r="O43" i="1"/>
  <c r="Q43" i="1" s="1"/>
  <c r="S45" i="1"/>
  <c r="O31" i="1"/>
  <c r="Q31" i="1" s="1"/>
  <c r="O56" i="1"/>
  <c r="Q56" i="1" s="1"/>
  <c r="S46" i="1"/>
  <c r="S43" i="1" l="1"/>
  <c r="U43" i="1" s="1"/>
  <c r="S31" i="1"/>
  <c r="T31" i="1" s="1"/>
  <c r="S56" i="1"/>
  <c r="T43" i="1" l="1"/>
  <c r="U4" i="1" l="1"/>
  <c r="N25" i="1"/>
  <c r="R24" i="1"/>
  <c r="N24" i="1"/>
  <c r="L24" i="1"/>
  <c r="O24" i="1" s="1"/>
  <c r="Q24" i="1" s="1"/>
  <c r="K24" i="1"/>
  <c r="N23" i="1"/>
  <c r="R22" i="1"/>
  <c r="N22" i="1"/>
  <c r="L22" i="1"/>
  <c r="K22" i="1"/>
  <c r="S24" i="1" l="1"/>
  <c r="T24" i="1" s="1"/>
  <c r="O22" i="1"/>
  <c r="Q22" i="1" s="1"/>
  <c r="S22" i="1" l="1"/>
  <c r="T22" i="1" s="1"/>
  <c r="U129" i="1" l="1"/>
  <c r="N135" i="1"/>
  <c r="U134" i="1"/>
  <c r="R134" i="1"/>
  <c r="N134" i="1"/>
  <c r="L134" i="1"/>
  <c r="O134" i="1" s="1"/>
  <c r="Q134" i="1" s="1"/>
  <c r="K134" i="1"/>
  <c r="N133" i="1"/>
  <c r="U132" i="1"/>
  <c r="R132" i="1"/>
  <c r="N132" i="1"/>
  <c r="L132" i="1"/>
  <c r="O132" i="1" s="1"/>
  <c r="Q132" i="1" s="1"/>
  <c r="K132" i="1"/>
  <c r="R128" i="1"/>
  <c r="S132" i="1" l="1"/>
  <c r="T132" i="1" s="1"/>
  <c r="S134" i="1"/>
  <c r="T134" i="1" s="1"/>
  <c r="AF101" i="1" l="1"/>
  <c r="X102" i="1"/>
  <c r="W102" i="1" l="1"/>
  <c r="R115" i="1" l="1"/>
  <c r="O95" i="1"/>
  <c r="AF97" i="1"/>
  <c r="W98" i="1"/>
  <c r="AB98" i="1" s="1"/>
  <c r="U10" i="1" l="1"/>
  <c r="N11" i="1"/>
  <c r="R10" i="1"/>
  <c r="N10" i="1"/>
  <c r="L10" i="1"/>
  <c r="O10" i="1" s="1"/>
  <c r="Q10" i="1" s="1"/>
  <c r="S10" i="1" l="1"/>
  <c r="T10" i="1" s="1"/>
  <c r="K112" i="1" l="1"/>
  <c r="O89" i="1"/>
  <c r="X95" i="1"/>
  <c r="L92" i="1"/>
  <c r="O116" i="1"/>
  <c r="O115" i="1"/>
  <c r="O114" i="1"/>
  <c r="J113" i="1"/>
  <c r="AG102" i="1"/>
  <c r="AC105" i="1"/>
  <c r="AC107" i="1" s="1"/>
  <c r="Z102" i="1"/>
  <c r="AB102" i="1" s="1"/>
  <c r="AF100" i="1"/>
  <c r="X101" i="1"/>
  <c r="AB101" i="1" s="1"/>
  <c r="AH101" i="1" s="1"/>
  <c r="AF99" i="1"/>
  <c r="W100" i="1"/>
  <c r="AB100" i="1" s="1"/>
  <c r="AF98" i="1"/>
  <c r="AF96" i="1"/>
  <c r="Q100" i="1"/>
  <c r="M100" i="1"/>
  <c r="P100" i="1" s="1"/>
  <c r="AF91" i="1"/>
  <c r="W94" i="1"/>
  <c r="AF90" i="1"/>
  <c r="P91" i="1"/>
  <c r="M91" i="1"/>
  <c r="R19" i="1"/>
  <c r="N19" i="1"/>
  <c r="L19" i="1"/>
  <c r="O19" i="1" s="1"/>
  <c r="Q19" i="1" s="1"/>
  <c r="J19" i="1"/>
  <c r="R20" i="1"/>
  <c r="N20" i="1"/>
  <c r="M20" i="1"/>
  <c r="L20" i="1"/>
  <c r="O20" i="1" s="1"/>
  <c r="Q20" i="1" s="1"/>
  <c r="AF93" i="1" l="1"/>
  <c r="AH98" i="1"/>
  <c r="AF104" i="1"/>
  <c r="AH100" i="1"/>
  <c r="N106" i="1"/>
  <c r="N113" i="1" s="1"/>
  <c r="N111" i="1" s="1"/>
  <c r="R113" i="1"/>
  <c r="AH102" i="1"/>
  <c r="S19" i="1"/>
  <c r="T19" i="1" s="1"/>
  <c r="S20" i="1"/>
  <c r="T20" i="1" s="1"/>
  <c r="AF105" i="1" l="1"/>
  <c r="N115" i="1"/>
  <c r="N114" i="1"/>
  <c r="N112" i="1" s="1"/>
  <c r="N116" i="1"/>
  <c r="N117" i="1" s="1"/>
  <c r="R64" i="1" l="1"/>
  <c r="N64" i="1"/>
  <c r="L64" i="1"/>
  <c r="O64" i="1" l="1"/>
  <c r="Q64" i="1" l="1"/>
  <c r="S64" i="1"/>
  <c r="T64" i="1" l="1"/>
  <c r="U131" i="1" l="1"/>
  <c r="U147" i="1" s="1"/>
  <c r="V129" i="1"/>
  <c r="N130" i="1"/>
  <c r="R129" i="1"/>
  <c r="N129" i="1"/>
  <c r="L129" i="1"/>
  <c r="K129" i="1"/>
  <c r="O129" i="1" l="1"/>
  <c r="Q129" i="1" l="1"/>
  <c r="S129" i="1"/>
  <c r="T129" i="1" l="1"/>
  <c r="U73" i="1"/>
  <c r="R73" i="1"/>
  <c r="N73" i="1"/>
  <c r="L73" i="1"/>
  <c r="O73" i="1" s="1"/>
  <c r="Q73" i="1" s="1"/>
  <c r="S73" i="1" l="1"/>
  <c r="R47" i="1" l="1"/>
  <c r="N47" i="1"/>
  <c r="L47" i="1"/>
  <c r="O47" i="1" s="1"/>
  <c r="Q47" i="1" s="1"/>
  <c r="S47" i="1" l="1"/>
  <c r="T47" i="1" s="1"/>
  <c r="J56" i="1" l="1"/>
  <c r="R59" i="1"/>
  <c r="N59" i="1"/>
  <c r="L59" i="1"/>
  <c r="O59" i="1" s="1"/>
  <c r="Q59" i="1" s="1"/>
  <c r="W95" i="1" l="1"/>
  <c r="S59" i="1"/>
  <c r="T59" i="1" s="1"/>
  <c r="AB95" i="1" l="1"/>
  <c r="N136" i="1"/>
  <c r="L136" i="1"/>
  <c r="R136" i="1" l="1"/>
  <c r="O136" i="1"/>
  <c r="Q136" i="1" l="1"/>
  <c r="S136" i="1"/>
  <c r="T136" i="1" l="1"/>
  <c r="N14" i="1"/>
  <c r="N15" i="1" s="1"/>
  <c r="N96" i="1" s="1"/>
  <c r="L14" i="1"/>
  <c r="O14" i="1" s="1"/>
  <c r="Q14" i="1" s="1"/>
  <c r="Q96" i="1" s="1"/>
  <c r="Q104" i="1" s="1"/>
  <c r="N104" i="1" l="1"/>
  <c r="Q116" i="1"/>
  <c r="Y96" i="1"/>
  <c r="S14" i="1"/>
  <c r="J12" i="1"/>
  <c r="J20" i="1" s="1"/>
  <c r="J21" i="1" s="1"/>
  <c r="R13" i="1"/>
  <c r="N13" i="1"/>
  <c r="L13" i="1"/>
  <c r="O13" i="1" s="1"/>
  <c r="Q13" i="1" s="1"/>
  <c r="S13" i="1" l="1"/>
  <c r="T13" i="1" l="1"/>
  <c r="R131" i="1" l="1"/>
  <c r="N131" i="1"/>
  <c r="L131" i="1"/>
  <c r="O131" i="1" l="1"/>
  <c r="X96" i="1"/>
  <c r="Q131" i="1" l="1"/>
  <c r="S131" i="1"/>
  <c r="W96" i="1"/>
  <c r="R116" i="1"/>
  <c r="G60" i="1"/>
  <c r="G83" i="1" s="1"/>
  <c r="R60" i="1"/>
  <c r="N60" i="1"/>
  <c r="L60" i="1"/>
  <c r="AB96" i="1" l="1"/>
  <c r="U60" i="1"/>
  <c r="U83" i="1" s="1"/>
  <c r="O96" i="1"/>
  <c r="O60" i="1"/>
  <c r="S60" i="1" l="1"/>
  <c r="Q60" i="1"/>
  <c r="T60" i="1" l="1"/>
  <c r="N78" i="1" l="1"/>
  <c r="L78" i="1"/>
  <c r="R78" i="1"/>
  <c r="O78" i="1" l="1"/>
  <c r="Q78" i="1" s="1"/>
  <c r="S78" i="1" l="1"/>
  <c r="E81" i="1"/>
  <c r="R34" i="1"/>
  <c r="N34" i="1"/>
  <c r="L34" i="1"/>
  <c r="O34" i="1" l="1"/>
  <c r="Q34" i="1" s="1"/>
  <c r="S34" i="1" l="1"/>
  <c r="T34" i="1" s="1"/>
  <c r="W97" i="1" l="1"/>
  <c r="AB97" i="1" l="1"/>
  <c r="AH97" i="1" s="1"/>
  <c r="W104" i="1"/>
  <c r="AH96" i="1"/>
  <c r="N12" i="1" l="1"/>
  <c r="R26" i="1" l="1"/>
  <c r="N26" i="1"/>
  <c r="L26" i="1"/>
  <c r="R12" i="1"/>
  <c r="M12" i="1"/>
  <c r="M13" i="1" s="1"/>
  <c r="L12" i="1"/>
  <c r="L90" i="1" l="1"/>
  <c r="O26" i="1"/>
  <c r="O12" i="1"/>
  <c r="Q12" i="1" s="1"/>
  <c r="Q26" i="1" l="1"/>
  <c r="S26" i="1"/>
  <c r="W90" i="1"/>
  <c r="S12" i="1"/>
  <c r="N9" i="1"/>
  <c r="N90" i="1" s="1"/>
  <c r="R8" i="1"/>
  <c r="N8" i="1"/>
  <c r="N91" i="1" s="1"/>
  <c r="L8" i="1"/>
  <c r="R4" i="1"/>
  <c r="N4" i="1"/>
  <c r="L4" i="1"/>
  <c r="N138" i="1"/>
  <c r="R137" i="1"/>
  <c r="R147" i="1" s="1"/>
  <c r="N137" i="1"/>
  <c r="L137" i="1"/>
  <c r="L147" i="1" s="1"/>
  <c r="K137" i="1"/>
  <c r="N147" i="1" l="1"/>
  <c r="R83" i="1"/>
  <c r="L83" i="1"/>
  <c r="L91" i="1"/>
  <c r="N92" i="1"/>
  <c r="N93" i="1" s="1"/>
  <c r="N105" i="1" s="1"/>
  <c r="N83" i="1"/>
  <c r="R106" i="1"/>
  <c r="X91" i="1"/>
  <c r="T26" i="1"/>
  <c r="X94" i="1"/>
  <c r="X104" i="1" s="1"/>
  <c r="O4" i="1"/>
  <c r="O8" i="1"/>
  <c r="Q8" i="1" s="1"/>
  <c r="W92" i="1"/>
  <c r="O137" i="1"/>
  <c r="O147" i="1" s="1"/>
  <c r="T12" i="1"/>
  <c r="R2" i="1"/>
  <c r="O83" i="1" l="1"/>
  <c r="Y108" i="1" s="1"/>
  <c r="R90" i="1"/>
  <c r="X92" i="1"/>
  <c r="L106" i="1"/>
  <c r="X108" i="1"/>
  <c r="W108" i="1"/>
  <c r="L93" i="1"/>
  <c r="L105" i="1" s="1"/>
  <c r="S4" i="1"/>
  <c r="Q4" i="1"/>
  <c r="Q92" i="1" s="1"/>
  <c r="S137" i="1"/>
  <c r="S147" i="1" s="1"/>
  <c r="S8" i="1"/>
  <c r="T8" i="1" s="1"/>
  <c r="T83" i="1" s="1"/>
  <c r="Q137" i="1"/>
  <c r="Q147" i="1" s="1"/>
  <c r="W91" i="1"/>
  <c r="W93" i="1" s="1"/>
  <c r="W105" i="1" s="1"/>
  <c r="X90" i="1"/>
  <c r="S83" i="1" l="1"/>
  <c r="O106" i="1"/>
  <c r="S89" i="1"/>
  <c r="Q106" i="1"/>
  <c r="L108" i="1"/>
  <c r="Q122" i="1"/>
  <c r="Q119" i="1"/>
  <c r="Q114" i="1"/>
  <c r="Q118" i="1" s="1"/>
  <c r="X93" i="1"/>
  <c r="X105" i="1" s="1"/>
  <c r="X107" i="1" s="1"/>
  <c r="T137" i="1"/>
  <c r="T147" i="1" s="1"/>
  <c r="N107" i="1"/>
  <c r="N108" i="1" s="1"/>
  <c r="O94" i="1"/>
  <c r="Y94" i="1" l="1"/>
  <c r="Y104" i="1" s="1"/>
  <c r="O104" i="1"/>
  <c r="I94" i="1"/>
  <c r="I106" i="1" s="1"/>
  <c r="AH95" i="1"/>
  <c r="O92" i="1"/>
  <c r="Y92" i="1" s="1"/>
  <c r="R114" i="1"/>
  <c r="AB94" i="1" l="1"/>
  <c r="Y134" i="1"/>
  <c r="AB104" i="1" l="1"/>
  <c r="AH94" i="1"/>
  <c r="AE104" i="1"/>
  <c r="AE106" i="1" s="1"/>
  <c r="AF107" i="1" s="1"/>
  <c r="AH104" i="1" l="1"/>
  <c r="Z104" i="1"/>
  <c r="Z105" i="1" s="1"/>
  <c r="Z107" i="1" s="1"/>
  <c r="AB92" i="1"/>
  <c r="AH92" i="1" l="1"/>
  <c r="Z108" i="1"/>
  <c r="Z109" i="1" l="1"/>
  <c r="K113" i="1"/>
  <c r="L113" i="1" s="1"/>
  <c r="X109" i="1"/>
  <c r="W106" i="1"/>
  <c r="AB106" i="1" s="1"/>
  <c r="AH106" i="1" s="1"/>
  <c r="Q120" i="1"/>
  <c r="Q121" i="1" s="1"/>
  <c r="Q111" i="1" s="1"/>
  <c r="Q90" i="1" s="1"/>
  <c r="Q91" i="1" l="1"/>
  <c r="Y91" i="1" s="1"/>
  <c r="AB91" i="1" s="1"/>
  <c r="AH91" i="1" s="1"/>
  <c r="K114" i="1"/>
  <c r="W107" i="1"/>
  <c r="O90" i="1"/>
  <c r="R111" i="1"/>
  <c r="Q112" i="1"/>
  <c r="Q93" i="1" l="1"/>
  <c r="Q105" i="1" s="1"/>
  <c r="Q108" i="1" s="1"/>
  <c r="R112" i="1"/>
  <c r="R118" i="1" s="1"/>
  <c r="Q123" i="1" s="1"/>
  <c r="O91" i="1"/>
  <c r="O93" i="1" s="1"/>
  <c r="O105" i="1" s="1"/>
  <c r="O108" i="1" s="1"/>
  <c r="Y90" i="1"/>
  <c r="AB90" i="1" s="1"/>
  <c r="AB93" i="1" l="1"/>
  <c r="Y93" i="1"/>
  <c r="Y105" i="1" l="1"/>
  <c r="Y107" i="1" s="1"/>
  <c r="R97" i="1"/>
  <c r="AB105" i="1"/>
  <c r="AB107" i="1" s="1"/>
  <c r="AH90" i="1"/>
  <c r="AK105" i="1" l="1"/>
  <c r="Y109" i="1"/>
  <c r="AH93" i="1"/>
  <c r="AH105" i="1" s="1"/>
  <c r="AK164" i="1"/>
  <c r="AH107" i="1" l="1"/>
  <c r="Q124" i="1"/>
  <c r="R108" i="1"/>
  <c r="W109" i="1" l="1"/>
  <c r="AB108" i="1"/>
  <c r="AC108" i="1" l="1"/>
  <c r="AD108" i="1" s="1"/>
  <c r="AD109" i="1" s="1"/>
  <c r="AB109" i="1"/>
  <c r="AF108" i="1"/>
  <c r="AF109" i="1" s="1"/>
  <c r="AH108" i="1" s="1"/>
  <c r="AH109" i="1" s="1"/>
  <c r="AE108" i="1" l="1"/>
  <c r="AE109" i="1"/>
  <c r="S106" i="1"/>
  <c r="S108" i="1" l="1"/>
  <c r="AG106" i="1"/>
  <c r="AG104" i="1"/>
  <c r="AG92" i="1"/>
</calcChain>
</file>

<file path=xl/sharedStrings.xml><?xml version="1.0" encoding="utf-8"?>
<sst xmlns="http://schemas.openxmlformats.org/spreadsheetml/2006/main" count="891" uniqueCount="373">
  <si>
    <t>MENU PRINCIPAL</t>
  </si>
  <si>
    <t>RECEBIMENTOS</t>
  </si>
  <si>
    <t>CASH BACK</t>
  </si>
  <si>
    <t>VALOR</t>
  </si>
  <si>
    <t xml:space="preserve">ESCRITÓRIO </t>
  </si>
  <si>
    <t>SOMATÓRIA</t>
  </si>
  <si>
    <t>DATA PAGTO</t>
  </si>
  <si>
    <t>NUM.PAG.</t>
  </si>
  <si>
    <t>POSIÇÃO</t>
  </si>
  <si>
    <t>CLIENTE</t>
  </si>
  <si>
    <t>ÁREA JURÍDICA</t>
  </si>
  <si>
    <t xml:space="preserve">DESCRIÇÃO DOS SERVIÇOS </t>
  </si>
  <si>
    <t>VALOR CONTRATO</t>
  </si>
  <si>
    <t>PAGAMENTO</t>
  </si>
  <si>
    <t>VALOR RECEBIDO</t>
  </si>
  <si>
    <t>FORMA PAGTO</t>
  </si>
  <si>
    <t xml:space="preserve">CAPTAÇÃO  </t>
  </si>
  <si>
    <t>ATUAÇÃO TÉCNICA</t>
  </si>
  <si>
    <t>CONFERENCIA</t>
  </si>
  <si>
    <t>SALDO A RECEBER</t>
  </si>
  <si>
    <t>PARCELA</t>
  </si>
  <si>
    <t>CONTRATO</t>
  </si>
  <si>
    <t>OBSERVAÇÕES</t>
  </si>
  <si>
    <t>CÍVEL</t>
  </si>
  <si>
    <t>CONTESTAÇÃO / REINTEGRAÇÃO POSSE</t>
  </si>
  <si>
    <t>JS</t>
  </si>
  <si>
    <t>JETER</t>
  </si>
  <si>
    <t>RECEBIDO</t>
  </si>
  <si>
    <t>EDIMILSON PEREIRA DE SOUZA</t>
  </si>
  <si>
    <t>REURB Q.D</t>
  </si>
  <si>
    <t xml:space="preserve"> CONSTITUIÇÃO ASSOCIAÇÃO QUEBRA DENTES</t>
  </si>
  <si>
    <t>CONTRATO ABRIL 2024</t>
  </si>
  <si>
    <t>JÉTER</t>
  </si>
  <si>
    <t>15 X R$200,00</t>
  </si>
  <si>
    <t>PARCELA 08 DE 15</t>
  </si>
  <si>
    <t>FAMÍLIA</t>
  </si>
  <si>
    <t>DIVÓRCIO CONSENSUAL</t>
  </si>
  <si>
    <t>SIMONE</t>
  </si>
  <si>
    <t>BOLETO JS PJ</t>
  </si>
  <si>
    <t>PIX JS PJ</t>
  </si>
  <si>
    <t>FÁBIO LEANDRO JERONIMO</t>
  </si>
  <si>
    <t xml:space="preserve"> DIV. C.C GUARDA C.C REG. VISITAS</t>
  </si>
  <si>
    <t>10 X R$300,00</t>
  </si>
  <si>
    <t>PIX JS PJ ITAÚ</t>
  </si>
  <si>
    <t>J.S</t>
  </si>
  <si>
    <t>CONTRATO JUNHO</t>
  </si>
  <si>
    <t>PARCELA 06 DE 10</t>
  </si>
  <si>
    <t>MOISÉS ROCHA DE OLIVEIRA + ANDIARA</t>
  </si>
  <si>
    <t>25 X R$200,00</t>
  </si>
  <si>
    <t>CONTRATO OUTUBRO 2023</t>
  </si>
  <si>
    <t>GLORIA APARECIDA DA COSTA</t>
  </si>
  <si>
    <t>CRIMINAL</t>
  </si>
  <si>
    <t>EXEC. PENAL IGOR W.C. SANTOS</t>
  </si>
  <si>
    <t>10 X R$500,00</t>
  </si>
  <si>
    <t>ITABERABA</t>
  </si>
  <si>
    <t>CONTRATO AGOSTO 2024</t>
  </si>
  <si>
    <t>PARC. ITABERABA 20% LIQ. ESCR. R$400,00</t>
  </si>
  <si>
    <t>CÉLIO APARECIDO PEDROSO</t>
  </si>
  <si>
    <t>IMOBILIÁRIO</t>
  </si>
  <si>
    <t>ADJUDICAÇÃO COMPULSÓRIA</t>
  </si>
  <si>
    <t>R$2.000,00+ 6 X R$500,00</t>
  </si>
  <si>
    <t>EDUARDO</t>
  </si>
  <si>
    <t>CONTRATO NOVEMBRO</t>
  </si>
  <si>
    <t>VALOR BRUTO RECEBIDO</t>
  </si>
  <si>
    <t>PARCELA ÚNICA</t>
  </si>
  <si>
    <t xml:space="preserve">AÇÃO PARA INTERNAÇÃO COMPULSÓRIA </t>
  </si>
  <si>
    <t>10 X R$423,60</t>
  </si>
  <si>
    <t>CONTRATO SET/24</t>
  </si>
  <si>
    <t>VITOR LEANDRO DORIGHELLO CARARETO</t>
  </si>
  <si>
    <t>INV. PATERN + REVISIONAL DE GUARDA + QUEIXA CRIME</t>
  </si>
  <si>
    <t>08 X R$500,00 + 23 X R$750,00 + 02 X R$500,00</t>
  </si>
  <si>
    <t>* ADC. 7 PARC. R$750,00 REF. QUEIX.CRIM.</t>
  </si>
  <si>
    <t>TRABALHISTA</t>
  </si>
  <si>
    <t>RECLAMAÇÃO TRABALHISTA D.A.E / S.B.O</t>
  </si>
  <si>
    <t>17 X R$250,00</t>
  </si>
  <si>
    <t>CONTRATO AGOSTO</t>
  </si>
  <si>
    <t>ALANA FANTINI SANTIAGO</t>
  </si>
  <si>
    <t>CUMPRIMENTO DE SENTENÇA ALIMENTOS</t>
  </si>
  <si>
    <t>PARCELAS 30% DO VALOR RECEBIDO</t>
  </si>
  <si>
    <t>CONTRATO MAIO 2024</t>
  </si>
  <si>
    <t>Nº</t>
  </si>
  <si>
    <t>CARLOS EDUARDO ROMUALDO DA SILVA</t>
  </si>
  <si>
    <t>BOLETO ITAU</t>
  </si>
  <si>
    <t>PARCEIROS</t>
  </si>
  <si>
    <t>RESSARCIMENTO</t>
  </si>
  <si>
    <t>SALDO ANTERIOR</t>
  </si>
  <si>
    <t>REC. LIQUIDA</t>
  </si>
  <si>
    <t>TOT. REPASSADO</t>
  </si>
  <si>
    <t>RESSARC. CX JS ADV</t>
  </si>
  <si>
    <t>SALDO REMAN.</t>
  </si>
  <si>
    <t>ELOIZA</t>
  </si>
  <si>
    <t>SUBTOTAL 1</t>
  </si>
  <si>
    <t>CRISTIANO</t>
  </si>
  <si>
    <t>LORRAINE</t>
  </si>
  <si>
    <t>ISABEL</t>
  </si>
  <si>
    <t>ALEXANDRE</t>
  </si>
  <si>
    <t>SUBTOTAL 2</t>
  </si>
  <si>
    <t>SUBTOTAL 3</t>
  </si>
  <si>
    <t>TOTAL GERAL</t>
  </si>
  <si>
    <t>10 X R$400,00</t>
  </si>
  <si>
    <t>AGUARDANDO</t>
  </si>
  <si>
    <t>EDILSON ALVES DA SILVA</t>
  </si>
  <si>
    <t>DEFESA CRIMINAL</t>
  </si>
  <si>
    <t>8 X R$600,00 + 1 X R$200,00</t>
  </si>
  <si>
    <t>CONTRATO OUTUBRO 2024</t>
  </si>
  <si>
    <t>PARCELA 04 DE 10</t>
  </si>
  <si>
    <t>RODRIGO CARDOSO DE FARIA</t>
  </si>
  <si>
    <t>AÇÃO DANOS MAT. AC. DE TRÂNSITO</t>
  </si>
  <si>
    <t>PRO EXITO 30% (12 X R$150,00)</t>
  </si>
  <si>
    <t>PRÓ EXITO / ACORDO</t>
  </si>
  <si>
    <t xml:space="preserve"> DIV.CONS. C.C PARTILHA / GUARDA/ VISITAS</t>
  </si>
  <si>
    <t>5 X R$1.000,00</t>
  </si>
  <si>
    <t>CARLOS DOMINGOS DE FREITAS</t>
  </si>
  <si>
    <t>CONTESTAÇÃO ALIENAÇÃO FIDUCIÁRIA</t>
  </si>
  <si>
    <t>PARCELA 02 DE 10</t>
  </si>
  <si>
    <t>DARCI APARECIDO MANTOVANI</t>
  </si>
  <si>
    <t>CONTRATO JUNHO  2023</t>
  </si>
  <si>
    <t>ATUAÇÃO JÉTER</t>
  </si>
  <si>
    <t>S1</t>
  </si>
  <si>
    <t>ATUAÇÃO TÉC. EXTERNA</t>
  </si>
  <si>
    <t>S2</t>
  </si>
  <si>
    <t>SUB TOT</t>
  </si>
  <si>
    <t>VALOR LIQUIDO RECEBIDO</t>
  </si>
  <si>
    <t>TOT</t>
  </si>
  <si>
    <t>PART.</t>
  </si>
  <si>
    <t>CONFER</t>
  </si>
  <si>
    <t>META MENSAL</t>
  </si>
  <si>
    <t>RESULTADO</t>
  </si>
  <si>
    <t>CAPT. EXTERNA</t>
  </si>
  <si>
    <t>OCIMAR ANTONIO MAIA</t>
  </si>
  <si>
    <t>AÇÃO DE CONSIGNAÇÃO EM PAGAMENTO</t>
  </si>
  <si>
    <t>22 X R$100,00</t>
  </si>
  <si>
    <t>SUCESSÕES</t>
  </si>
  <si>
    <t>FABIANA CAMPAGNOLO / LEONARDO</t>
  </si>
  <si>
    <t>AÇÃO DE INVENTÁRIO/ADJUDICAÇÃO</t>
  </si>
  <si>
    <t>11 X R$300,00 + 2 X R$350,00</t>
  </si>
  <si>
    <t>RICCI CONTABILIDADE LTDA</t>
  </si>
  <si>
    <t>EXECUÇÃO DE HONORÁRIOS ALTOTEC</t>
  </si>
  <si>
    <t>ACORDO HOMOLOGADO (20%)</t>
  </si>
  <si>
    <t>SHEILA MASSARENTI DOS SANTOS</t>
  </si>
  <si>
    <t>ATUAÇÃO NA FASE DE TRANSAÇÃO PENAL (ANPP)</t>
  </si>
  <si>
    <t>ENTRADA R$450,00 + 1 R$700,00 + 4 X R$500,00</t>
  </si>
  <si>
    <t>CONTRATO NOVEMBRO 2024</t>
  </si>
  <si>
    <t>WANESSA RODRIGUES DE MELO</t>
  </si>
  <si>
    <t xml:space="preserve"> REC. DISS. UNIÃO ESTÁVEL C.C PARTILHA DE BENS</t>
  </si>
  <si>
    <t>12 X R$1000,00 + PRÓ EXITO 30%</t>
  </si>
  <si>
    <t>MARIA REGINA BORT CARDOSO DE FARIA</t>
  </si>
  <si>
    <t>AÇÃO JUDICIAL SOBREPARTILHA</t>
  </si>
  <si>
    <t>12 X R$500,00</t>
  </si>
  <si>
    <t>DOUGLAS CARVALHO / VALMIR</t>
  </si>
  <si>
    <t>JOÃO LUIZ NASCIMENTO SILVA DE SOUZA MENEZES</t>
  </si>
  <si>
    <t>CONTESTAÇÃO AÇÃO FAMÍLIA</t>
  </si>
  <si>
    <t xml:space="preserve"> 14 X R$300,00 </t>
  </si>
  <si>
    <t>CONTRATO SETEMBRO 2024</t>
  </si>
  <si>
    <t>ANDRÉ FILLIPE PEREIRA</t>
  </si>
  <si>
    <t>AÇÃO DE GUARDA C.C REGULAMENTAÇÃO DE VISITAS</t>
  </si>
  <si>
    <t xml:space="preserve"> 10 X R$500,00 </t>
  </si>
  <si>
    <t>QUEIXA CRIME</t>
  </si>
  <si>
    <t>ENTRADA R$1.500,00 + 6 X R$500,00</t>
  </si>
  <si>
    <t>SÉRGIO OLIVEIRA SILVA</t>
  </si>
  <si>
    <t>3 X R$1.320,00 + 2 X R$1.412,00</t>
  </si>
  <si>
    <t>DIV. C.C PART. BENS + ALIM. + DEF. EXEC. ALIM.</t>
  </si>
  <si>
    <t>PREVIDENCIÁRIO</t>
  </si>
  <si>
    <t>MARIA ELENA DE FREITAS SILVA / ALICE</t>
  </si>
  <si>
    <t>AÇÃO DE ALIMENTOS; GUARDA-COMPARTILHADA E FIXAÇÃO DE VISITAS</t>
  </si>
  <si>
    <t>CARLA SILVA DOS SANTOS ISMARSI</t>
  </si>
  <si>
    <t>FELIPE RENATO DA SILVA</t>
  </si>
  <si>
    <t>CONTRATO MARÇO 2024</t>
  </si>
  <si>
    <t>NIVALDO EUGÊNIO DE MELLO /IVONETE  DE MELLO</t>
  </si>
  <si>
    <t>CONTRATO JUNHO 2023</t>
  </si>
  <si>
    <t>PARCELA REF. NOVEMBRO 2024</t>
  </si>
  <si>
    <t>OBRIGAÇÃO DE FAZER</t>
  </si>
  <si>
    <t>ERICA VIEIRA GOMES</t>
  </si>
  <si>
    <t>PARCELADO 10 X R$200,00</t>
  </si>
  <si>
    <t>CONTRATO DEZEMBRO 2024</t>
  </si>
  <si>
    <t xml:space="preserve">BRUNO GOMES - MATHEUS VIRGILIO </t>
  </si>
  <si>
    <t>ACORDO DE ANPP</t>
  </si>
  <si>
    <t>PACELA 2 DE 12</t>
  </si>
  <si>
    <t>CONTRATO EM OUTUBRO</t>
  </si>
  <si>
    <t>PAGTO ADELSON JOSE DA SILVA</t>
  </si>
  <si>
    <t>JOSÉ AYRES E LUCIENE</t>
  </si>
  <si>
    <t>PARCELA 5 PARCIAL</t>
  </si>
  <si>
    <t>PROPOSITURA DE QUEIXA CRIME</t>
  </si>
  <si>
    <t>BOLETO PJ ITAÚ</t>
  </si>
  <si>
    <t>DAVID HENRIQUE CAMARGO</t>
  </si>
  <si>
    <t>DIVÓRCIO CONSENSUAL C.C PART. BENS /GUARDA / ALIMENTOS</t>
  </si>
  <si>
    <t>2 X R$1.000,00 + 5 X R$200,00 + R$1.5000,00</t>
  </si>
  <si>
    <t>ISMAEL APARECIDO DA SILVA</t>
  </si>
  <si>
    <t>PARCELA 03 DE 10</t>
  </si>
  <si>
    <t xml:space="preserve">BOLETO PJ </t>
  </si>
  <si>
    <t>PARCELA DEZEMBRO 2024</t>
  </si>
  <si>
    <t>CLIENTES MENSALISTAS - AGUARDANDO</t>
  </si>
  <si>
    <t>MARCOS VINÍCIUS PRADO DE CASTRO</t>
  </si>
  <si>
    <t>RESTABELECIMENTO BENEFÍCIO</t>
  </si>
  <si>
    <t>ENTRADA R$1000,00 + R$300,00 + R$924,00</t>
  </si>
  <si>
    <t>CONTRATO  JANEIRO 25</t>
  </si>
  <si>
    <t>MARINA RODRIGUES FROES DA CUNHA</t>
  </si>
  <si>
    <t>ENTRADA R$305,00 + 18 X R$205,00</t>
  </si>
  <si>
    <t>CONTRATO DEZEMBRO 2023</t>
  </si>
  <si>
    <t>RENEGOCIAÇÃO MARÇO 2024</t>
  </si>
  <si>
    <t>JANE CLEA DE SOUZA FORTUNATO</t>
  </si>
  <si>
    <t xml:space="preserve"> DIVÓRCIO C.C. GUARDA, VISITAS, ALIMENTOS</t>
  </si>
  <si>
    <t>PARCELA 19 DE 25</t>
  </si>
  <si>
    <t>PARCELA 17 DE 25</t>
  </si>
  <si>
    <t>PARCELA REF. DEZEMBRO 2024</t>
  </si>
  <si>
    <t>NEILA CAMINAGA DE SOUZA LAUREANO / LEANDRO LAUREANO</t>
  </si>
  <si>
    <t>CAPTAÇÕES EXTERNAS</t>
  </si>
  <si>
    <t>META ANUAL</t>
  </si>
  <si>
    <t>NIVALDO DA SILVA JOQUIM</t>
  </si>
  <si>
    <t>13 X R$200,00</t>
  </si>
  <si>
    <t>ASSUMIU PARCELAS OCIMAR</t>
  </si>
  <si>
    <t>CESSÃO DIREITOS CHÁCARA 16</t>
  </si>
  <si>
    <t>ANA CARINA CAMPIÃO</t>
  </si>
  <si>
    <t>3 X R$500,00</t>
  </si>
  <si>
    <t>RESTANTE FOI PAGO PELO FABRÍCIO</t>
  </si>
  <si>
    <t>33 X R$360,00 + CORREÇÃO</t>
  </si>
  <si>
    <t>HOSANA SALDANHA ANTUNES PEREIRA</t>
  </si>
  <si>
    <t xml:space="preserve">DEFESA CRIMINAL WILSON SALDANHA ANTUNES </t>
  </si>
  <si>
    <t>12 X R$353,00</t>
  </si>
  <si>
    <t>KAMILY</t>
  </si>
  <si>
    <t>PARCELA 10 DE 15</t>
  </si>
  <si>
    <t>LÁZARO APARECIDO SABINO</t>
  </si>
  <si>
    <t>PARCELA 07 DE 15</t>
  </si>
  <si>
    <t>INICIO EM OUTUBRO</t>
  </si>
  <si>
    <t>ELCIONE INACIO DA SILVA</t>
  </si>
  <si>
    <t>PARCELA 09 DE 15</t>
  </si>
  <si>
    <t>PARCELA JANEIRO 2025</t>
  </si>
  <si>
    <t>CARTÃO DÉBITO</t>
  </si>
  <si>
    <t>PARCELA 04 DE 13</t>
  </si>
  <si>
    <t>DINHEIRO</t>
  </si>
  <si>
    <t>PARCELA 2</t>
  </si>
  <si>
    <t xml:space="preserve">PAGAMENTO CONFERIDO </t>
  </si>
  <si>
    <t xml:space="preserve"> REST. BENEFÍCIO POR INCAPACIDADE TEMPORÁRIA</t>
  </si>
  <si>
    <t>PRÓ-EXITO 30%</t>
  </si>
  <si>
    <t>PARCELA 05 DE 14</t>
  </si>
  <si>
    <t>JOAO BATISTA DA SILVA FIGUEREDO</t>
  </si>
  <si>
    <t xml:space="preserve">RECLAMAÇÃO TRABALHISTA </t>
  </si>
  <si>
    <t>6 X R$450,00</t>
  </si>
  <si>
    <t>DANIELA</t>
  </si>
  <si>
    <t>PRÓ EXITO 30 %</t>
  </si>
  <si>
    <t>CAPTAÇÃO RAIMUNDO ITABERABA</t>
  </si>
  <si>
    <t>LIQUIDO ESCR. R$360,00</t>
  </si>
  <si>
    <t>ESCRITORIO / MANUTENÇÃO</t>
  </si>
  <si>
    <t>DANIELA / ATUAÇÃO TÉCNICA</t>
  </si>
  <si>
    <t>RAIMUNDO / CAPTAÇÃO EXTERNA</t>
  </si>
  <si>
    <t>R$120,00 JS /JÉTER/DANIELA / CASH BACK</t>
  </si>
  <si>
    <t>LUIS CARLOS COSTA</t>
  </si>
  <si>
    <t xml:space="preserve"> CONSTITUIÇÃO ASSOCIAÇÃO QUEBRA DESTES</t>
  </si>
  <si>
    <t>LOURIVAL JOAQUIM DE OLIVEIRA</t>
  </si>
  <si>
    <t>REF. PARCELA NOVEMBRO 2024</t>
  </si>
  <si>
    <t>REF. PARCELA DEZEMBRO 2024</t>
  </si>
  <si>
    <t>REF. PARCELA JANEIRO 2025</t>
  </si>
  <si>
    <t>PARCELA 11 DE 15</t>
  </si>
  <si>
    <t>AIRES MAGRI</t>
  </si>
  <si>
    <t>DEFESA RECLAMAÇÃO TRABALHISTA</t>
  </si>
  <si>
    <t>10 X R$776,00</t>
  </si>
  <si>
    <t>CONTRATO JUNHO 2024</t>
  </si>
  <si>
    <t>JOSÉ APARECIDO RODRIGUES</t>
  </si>
  <si>
    <t>ASSESSORIA EMPRESARIAL</t>
  </si>
  <si>
    <t>12 X R$910,00</t>
  </si>
  <si>
    <t>CONTRATO RENOVADO OUT. 24</t>
  </si>
  <si>
    <t>MÁRCIA APARECIDA SANTOS LORCA</t>
  </si>
  <si>
    <t>PARCELA 07 DE 10</t>
  </si>
  <si>
    <t xml:space="preserve">PARCELA 05 DE 12 </t>
  </si>
  <si>
    <t xml:space="preserve">ANA CLAUDIA MAZIA NUNES </t>
  </si>
  <si>
    <t>ACORDO RECLAMAÇÃO TRABALHISTA</t>
  </si>
  <si>
    <t>10 X R$240,00</t>
  </si>
  <si>
    <t>VALOR BRUTO RECEBIDO R$800,00</t>
  </si>
  <si>
    <t xml:space="preserve"> R$240,00 ESCRITÓRIO R$560,00 CLIENTE</t>
  </si>
  <si>
    <t>FAMILIA</t>
  </si>
  <si>
    <t>14 X R$300,00</t>
  </si>
  <si>
    <t>PARCELA 11 DE 14</t>
  </si>
  <si>
    <t>TED PJ JS ITÁU</t>
  </si>
  <si>
    <t>LEANDRO GOMES DA SILVA / ANA PAULA</t>
  </si>
  <si>
    <t>CUMPR. SENTENÇA / EXEC. ALIMENTOS</t>
  </si>
  <si>
    <t>10 X R$200,00</t>
  </si>
  <si>
    <t>W SITA LTDA</t>
  </si>
  <si>
    <t>12 x R$ 2.100</t>
  </si>
  <si>
    <t>RENOVAÇÃO CONTRATO ATÉ 12/2025</t>
  </si>
  <si>
    <t>RODRIGO LIRA DE SOUZA</t>
  </si>
  <si>
    <t>OFERTA DE ALIMENTOS /GUARDA /VISITAS</t>
  </si>
  <si>
    <t>MANDADO SEGURANÇA / CDHU</t>
  </si>
  <si>
    <t>MARÇO</t>
  </si>
  <si>
    <t>PARCELA 12 DE 15</t>
  </si>
  <si>
    <t>PARCELA REF. JANEIRO 2025</t>
  </si>
  <si>
    <t>PARCELA 05 DE 10</t>
  </si>
  <si>
    <t>PARCELA 10 DE 10</t>
  </si>
  <si>
    <t>PAGAMENTO ENCERRADO</t>
  </si>
  <si>
    <t>PARC. 08 DE 10</t>
  </si>
  <si>
    <t>PARCELA 16 DE 25</t>
  </si>
  <si>
    <t>SALVADOR RODRIGUES MIRANDA</t>
  </si>
  <si>
    <t>INVENTÁRIO C.C PARTILHA BENS</t>
  </si>
  <si>
    <t>20 X R$200,00</t>
  </si>
  <si>
    <t>PARCELAS 1/2/3 DE 20</t>
  </si>
  <si>
    <t>PAGOU PARCELAS JAN / FEV/ MARÇ 2025</t>
  </si>
  <si>
    <t>PARCELA 03 DE 06 R$500,00</t>
  </si>
  <si>
    <t>PARCELA 07</t>
  </si>
  <si>
    <t>PARC 11 DE 18 - RENEG.</t>
  </si>
  <si>
    <t>PARCELA 04 DE 12</t>
  </si>
  <si>
    <t xml:space="preserve">PARCELA 03 DE 10 </t>
  </si>
  <si>
    <t>JAIR GUEDES DE SOUZA</t>
  </si>
  <si>
    <t>PRÓ EXITO 30%</t>
  </si>
  <si>
    <t>CONTRATO  JULHO 2024</t>
  </si>
  <si>
    <t>SALDO DE BENEFÍCIO</t>
  </si>
  <si>
    <t>VALOR BRUTO R$4.521,90</t>
  </si>
  <si>
    <t xml:space="preserve">LANÇAMENTOS CONFERIDOS </t>
  </si>
  <si>
    <t>ADELMO PEREIRA DA SILVA</t>
  </si>
  <si>
    <t>IMPUG. EXEC. /DESB. SAL. POUP.</t>
  </si>
  <si>
    <t>PRÓ EXITO 20%</t>
  </si>
  <si>
    <t>AG. LIB. SALDO BLOQ. OUTROS BANCOS</t>
  </si>
  <si>
    <t xml:space="preserve">PARCELA 15 DE 33 </t>
  </si>
  <si>
    <t>VR. REC. R$1.886,00 LIQ. RICCI  R$1.508,00</t>
  </si>
  <si>
    <t>PARCELA 3 R$500,00</t>
  </si>
  <si>
    <t>PARC. 04 DE 08 R$600,00</t>
  </si>
  <si>
    <t>PARCELA 21 DE 25</t>
  </si>
  <si>
    <t>PARCELA 02</t>
  </si>
  <si>
    <t>VIANEIDE DE SOUSA CINTRA DE CAMPOS</t>
  </si>
  <si>
    <t>20 X R$250,00</t>
  </si>
  <si>
    <t>CONTRATO SETEMBRO 2023</t>
  </si>
  <si>
    <t>PARCELA 15 DE 25</t>
  </si>
  <si>
    <t>ELENIR MARTINS / ENZO RYAN DE JESUS</t>
  </si>
  <si>
    <t>EXEC. ALIMENTOS RITO 528 CPC</t>
  </si>
  <si>
    <t>PRÓ EXITO 30% - PARCELA ÚNICA</t>
  </si>
  <si>
    <t>DEPÓSITO JUDICIAL</t>
  </si>
  <si>
    <t>PARC. 31 DE 33</t>
  </si>
  <si>
    <t>PARCELA 06 DE 17</t>
  </si>
  <si>
    <t>PARCELA 03 DE 03</t>
  </si>
  <si>
    <t>PARCELA 06 DE 11 R$300,00</t>
  </si>
  <si>
    <t>LUIS FERNANDO SOARES DA SILVA</t>
  </si>
  <si>
    <t>ALZIRA DIAS VIEIRA</t>
  </si>
  <si>
    <t>AÇÃO DECLARATÓRIA NULIDADE EMPREST. CONSIG.</t>
  </si>
  <si>
    <t>CAPT. + ATUAÇÃO ELOIZA CARMONA</t>
  </si>
  <si>
    <t>ARISTIDES ALVES DA SILVA /SILVANA F. GIOVANNETTI</t>
  </si>
  <si>
    <t>AÇÃO REVISIONAL DE ALIMENTOS</t>
  </si>
  <si>
    <t>ENTRADA R$1.000,00 + 17 X R$500,00</t>
  </si>
  <si>
    <t>PARCELA NOVEMBRO</t>
  </si>
  <si>
    <t>PARCELA 10 DE 17 R$500,00</t>
  </si>
  <si>
    <t>MAYK JOSÉ COSTA SOUZA</t>
  </si>
  <si>
    <t>AÇÃO DANOS MATERIAIS E MORAIS</t>
  </si>
  <si>
    <t>CAPT. + ATUAÇÃO JÉTER TOVANI</t>
  </si>
  <si>
    <t>VR BRUTO R$15.522,10 / VR. LIQ. R$9.800,00</t>
  </si>
  <si>
    <t>VR BRUTO R$21.160,86 / VR. LIQ.R$12.336,76</t>
  </si>
  <si>
    <t>ZULMIRA DA SILVA</t>
  </si>
  <si>
    <t>DOAÇÃO EXTRAJUDICIAL DE IMÓVEL</t>
  </si>
  <si>
    <t>PARCELA 12 DE 12</t>
  </si>
  <si>
    <t>ANTONIO MENDES DE OLIVEIRA</t>
  </si>
  <si>
    <t>PRÓ-EXITO 30% + 3 BENEFÍCIOS</t>
  </si>
  <si>
    <t xml:space="preserve"> RESTABELECIMENTO BENEFÍCIO </t>
  </si>
  <si>
    <t>RESTA R$324,00</t>
  </si>
  <si>
    <t>PARCELA 02 /05 DE R$200,00</t>
  </si>
  <si>
    <t>PARCELA 3 DE 12</t>
  </si>
  <si>
    <t>PARCELA 05 DE 05</t>
  </si>
  <si>
    <t>PARCELA 3</t>
  </si>
  <si>
    <t>SHEILA APARECIDA DOS SANTOS</t>
  </si>
  <si>
    <t>PRÓ EXITO 30% - PARCELAS PAGAS</t>
  </si>
  <si>
    <t>PARCELA 01</t>
  </si>
  <si>
    <t>GUILHERME RODRIGUES MARTINS</t>
  </si>
  <si>
    <t>AÇÃO DE INDENIZAÇÃO POR DANOS MORAIS</t>
  </si>
  <si>
    <t>CONTRATO JULHO 2024</t>
  </si>
  <si>
    <t>VR BRUTO R$6.558,76 / VR. LIQ. R$4.591,14</t>
  </si>
  <si>
    <t>PARCELA 02 DE 06</t>
  </si>
  <si>
    <t>CELSO RICCI</t>
  </si>
  <si>
    <t>CAPTAÇÃO EXTERNA CELSO RICCI 20%</t>
  </si>
  <si>
    <t>M.A.V DE OLIVEIRA E CIA LTDA / EDSON DE OLIVEIRA</t>
  </si>
  <si>
    <t>ATUAÇÃO EM  RECLAMAÇÃO TRABALHISTA</t>
  </si>
  <si>
    <t>CONTRATO MARÇO 2025</t>
  </si>
  <si>
    <t>LIQUIDO ESCRITÓRIO R$2.400,00</t>
  </si>
  <si>
    <t>PARCELA 04 DE 06 (R$500,00)</t>
  </si>
  <si>
    <t>PARCELA 03 DE 12</t>
  </si>
  <si>
    <t>REPASSADO</t>
  </si>
  <si>
    <t>ANT. JÉTER R$100,00</t>
  </si>
  <si>
    <t>VALOR A RECEBER</t>
  </si>
  <si>
    <t>PARCELA 08 DE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</si>
</sst>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u/>
      <sz val="1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.5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91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60000"/>
        <bgColor rgb="FF974806"/>
      </patternFill>
    </fill>
    <fill>
      <patternFill patternType="solid">
        <fgColor rgb="FF00B050"/>
        <bgColor rgb="FF974806"/>
      </patternFill>
    </fill>
    <fill>
      <patternFill patternType="solid">
        <fgColor theme="9" tint="0.39982299264503923"/>
        <bgColor rgb="FF00B050"/>
      </patternFill>
    </fill>
    <fill>
      <patternFill patternType="solid">
        <fgColor rgb="FFA9D08E"/>
        <bgColor indexed="64"/>
      </patternFill>
    </fill>
    <fill>
      <patternFill patternType="solid">
        <fgColor theme="1" tint="0.1498458815271462"/>
        <bgColor rgb="FF3F3151"/>
      </patternFill>
    </fill>
    <fill>
      <patternFill patternType="solid">
        <fgColor theme="1" tint="0.1498458815271462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rgb="FF7030A0"/>
      </patternFill>
    </fill>
    <fill>
      <patternFill patternType="solid">
        <fgColor rgb="FF800000"/>
        <bgColor indexed="64"/>
      </patternFill>
    </fill>
    <fill>
      <patternFill patternType="solid">
        <fgColor theme="8" tint="0.39982299264503923"/>
        <bgColor rgb="FF009900"/>
      </patternFill>
    </fill>
    <fill>
      <patternFill patternType="solid">
        <fgColor rgb="FFC6E0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89F994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00"/>
        <bgColor rgb="FF00FF99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800000"/>
        <bgColor rgb="FF974806"/>
      </patternFill>
    </fill>
    <fill>
      <patternFill patternType="solid">
        <fgColor rgb="FF76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C65911"/>
        <bgColor rgb="FF00FF99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CC"/>
        <bgColor rgb="FFFFFF00"/>
      </patternFill>
    </fill>
    <fill>
      <patternFill patternType="solid">
        <fgColor rgb="FF9BC2E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9D08E"/>
        <bgColor rgb="FF00B050"/>
      </patternFill>
    </fill>
    <fill>
      <patternFill patternType="solid">
        <fgColor theme="9" tint="0.79998168889431442"/>
        <bgColor rgb="FF99FF66"/>
      </patternFill>
    </fill>
    <fill>
      <patternFill patternType="solid">
        <fgColor rgb="FF92D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399"/>
        <bgColor rgb="FFFFFF00"/>
      </patternFill>
    </fill>
    <fill>
      <patternFill patternType="solid">
        <fgColor rgb="FFFF33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0099"/>
        <bgColor rgb="FFE36C09"/>
      </patternFill>
    </fill>
    <fill>
      <patternFill patternType="solid">
        <fgColor rgb="FFCC00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rgb="FF9BC2E6"/>
        <bgColor rgb="FF009900"/>
      </patternFill>
    </fill>
    <fill>
      <patternFill patternType="solid">
        <fgColor rgb="FF87FB8D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-0.249977111117893"/>
        <bgColor rgb="FF7030A0"/>
      </patternFill>
    </fill>
    <fill>
      <patternFill patternType="solid">
        <fgColor rgb="FFFF006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rgb="FF00B050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00B050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DD7EE"/>
        <bgColor rgb="FF00B05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B050"/>
      </patternFill>
    </fill>
    <fill>
      <patternFill patternType="solid">
        <fgColor theme="7" tint="0.39997558519241921"/>
        <bgColor rgb="FF3F3151"/>
      </patternFill>
    </fill>
    <fill>
      <patternFill patternType="solid">
        <fgColor theme="7" tint="0.39997558519241921"/>
        <bgColor rgb="FF7030A0"/>
      </patternFill>
    </fill>
    <fill>
      <patternFill patternType="solid">
        <fgColor theme="7" tint="0.39997558519241921"/>
        <bgColor rgb="FF009900"/>
      </patternFill>
    </fill>
    <fill>
      <patternFill patternType="solid">
        <fgColor rgb="FF00FFCC"/>
        <bgColor rgb="FF00B050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rgb="FF974806"/>
      </patternFill>
    </fill>
    <fill>
      <patternFill patternType="solid">
        <fgColor theme="0"/>
        <bgColor rgb="FF009900"/>
      </patternFill>
    </fill>
    <fill>
      <patternFill patternType="solid">
        <fgColor theme="9" tint="-0.249977111117893"/>
        <bgColor rgb="FF00FF99"/>
      </patternFill>
    </fill>
    <fill>
      <patternFill patternType="solid">
        <fgColor theme="8" tint="0.39985351115451523"/>
        <bgColor rgb="FF0099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7CF1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4">
    <xf numFmtId="0" fontId="0" fillId="0" borderId="0" xfId="0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5" fillId="10" borderId="1" xfId="0" applyNumberFormat="1" applyFont="1" applyFill="1" applyBorder="1" applyAlignment="1">
      <alignment horizontal="center" vertical="center"/>
    </xf>
    <xf numFmtId="10" fontId="5" fillId="11" borderId="1" xfId="2" applyNumberFormat="1" applyFont="1" applyFill="1" applyBorder="1" applyAlignment="1">
      <alignment horizontal="center" vertical="center"/>
    </xf>
    <xf numFmtId="10" fontId="5" fillId="12" borderId="1" xfId="2" applyNumberFormat="1" applyFont="1" applyFill="1" applyBorder="1" applyAlignment="1">
      <alignment horizontal="center" vertical="center"/>
    </xf>
    <xf numFmtId="10" fontId="5" fillId="14" borderId="1" xfId="0" applyNumberFormat="1" applyFont="1" applyFill="1" applyBorder="1" applyAlignment="1">
      <alignment horizontal="center"/>
    </xf>
    <xf numFmtId="10" fontId="5" fillId="3" borderId="1" xfId="2" applyNumberFormat="1" applyFont="1" applyFill="1" applyBorder="1" applyAlignment="1">
      <alignment horizontal="center"/>
    </xf>
    <xf numFmtId="164" fontId="6" fillId="15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164" fontId="3" fillId="18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19" borderId="1" xfId="0" applyNumberFormat="1" applyFont="1" applyFill="1" applyBorder="1" applyAlignment="1">
      <alignment horizontal="center"/>
    </xf>
    <xf numFmtId="164" fontId="7" fillId="19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3" fillId="20" borderId="1" xfId="0" applyNumberFormat="1" applyFont="1" applyFill="1" applyBorder="1" applyAlignment="1">
      <alignment horizontal="center"/>
    </xf>
    <xf numFmtId="164" fontId="3" fillId="21" borderId="1" xfId="0" applyNumberFormat="1" applyFont="1" applyFill="1" applyBorder="1" applyAlignment="1">
      <alignment horizontal="center"/>
    </xf>
    <xf numFmtId="164" fontId="7" fillId="22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164" fontId="3" fillId="23" borderId="1" xfId="0" applyNumberFormat="1" applyFont="1" applyFill="1" applyBorder="1" applyAlignment="1">
      <alignment horizontal="center"/>
    </xf>
    <xf numFmtId="164" fontId="3" fillId="24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7" fillId="25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 applyAlignment="1">
      <alignment horizontal="center"/>
    </xf>
    <xf numFmtId="164" fontId="3" fillId="3" borderId="2" xfId="0" applyNumberFormat="1" applyFont="1" applyFill="1" applyBorder="1" applyAlignment="1">
      <alignment horizontal="center" vertical="center"/>
    </xf>
    <xf numFmtId="164" fontId="8" fillId="4" borderId="2" xfId="0" applyNumberFormat="1" applyFont="1" applyFill="1" applyBorder="1" applyAlignment="1">
      <alignment horizontal="center"/>
    </xf>
    <xf numFmtId="164" fontId="8" fillId="28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/>
    </xf>
    <xf numFmtId="164" fontId="7" fillId="15" borderId="2" xfId="0" applyNumberFormat="1" applyFont="1" applyFill="1" applyBorder="1" applyAlignment="1">
      <alignment horizontal="center" vertical="center"/>
    </xf>
    <xf numFmtId="164" fontId="7" fillId="16" borderId="2" xfId="0" applyNumberFormat="1" applyFont="1" applyFill="1" applyBorder="1" applyAlignment="1">
      <alignment horizontal="center" vertical="center"/>
    </xf>
    <xf numFmtId="164" fontId="7" fillId="26" borderId="1" xfId="0" applyNumberFormat="1" applyFont="1" applyFill="1" applyBorder="1" applyAlignment="1">
      <alignment horizontal="center"/>
    </xf>
    <xf numFmtId="164" fontId="3" fillId="26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164" fontId="7" fillId="27" borderId="1" xfId="0" applyNumberFormat="1" applyFont="1" applyFill="1" applyBorder="1" applyAlignment="1">
      <alignment horizontal="center"/>
    </xf>
    <xf numFmtId="0" fontId="7" fillId="27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64" fontId="3" fillId="22" borderId="1" xfId="0" applyNumberFormat="1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164" fontId="3" fillId="30" borderId="1" xfId="0" applyNumberFormat="1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164" fontId="7" fillId="33" borderId="1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0" fillId="0" borderId="0" xfId="0" applyNumberFormat="1"/>
    <xf numFmtId="0" fontId="8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164" fontId="7" fillId="37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7" fillId="26" borderId="1" xfId="1" applyNumberFormat="1" applyFont="1" applyFill="1" applyBorder="1" applyAlignment="1">
      <alignment horizontal="center"/>
    </xf>
    <xf numFmtId="164" fontId="3" fillId="19" borderId="1" xfId="0" applyNumberFormat="1" applyFont="1" applyFill="1" applyBorder="1" applyAlignment="1">
      <alignment horizontal="center" vertical="center"/>
    </xf>
    <xf numFmtId="164" fontId="7" fillId="38" borderId="1" xfId="0" applyNumberFormat="1" applyFont="1" applyFill="1" applyBorder="1" applyAlignment="1">
      <alignment horizontal="center"/>
    </xf>
    <xf numFmtId="164" fontId="7" fillId="16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8" fillId="31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164" fontId="5" fillId="8" borderId="1" xfId="0" applyNumberFormat="1" applyFont="1" applyFill="1" applyBorder="1" applyAlignment="1">
      <alignment horizontal="center" vertical="center"/>
    </xf>
    <xf numFmtId="10" fontId="5" fillId="9" borderId="1" xfId="2" applyNumberFormat="1" applyFont="1" applyFill="1" applyBorder="1" applyAlignment="1">
      <alignment horizontal="center" vertical="center"/>
    </xf>
    <xf numFmtId="0" fontId="5" fillId="13" borderId="1" xfId="2" applyNumberFormat="1" applyFont="1" applyFill="1" applyBorder="1" applyAlignment="1">
      <alignment horizontal="center" vertical="center"/>
    </xf>
    <xf numFmtId="164" fontId="5" fillId="13" borderId="1" xfId="2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1" fillId="0" borderId="0" xfId="0" applyFont="1"/>
    <xf numFmtId="164" fontId="5" fillId="3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14" fontId="3" fillId="0" borderId="1" xfId="0" applyNumberFormat="1" applyFont="1" applyBorder="1"/>
    <xf numFmtId="164" fontId="3" fillId="40" borderId="1" xfId="0" applyNumberFormat="1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3" fillId="39" borderId="1" xfId="0" applyFont="1" applyFill="1" applyBorder="1" applyAlignment="1">
      <alignment horizontal="center"/>
    </xf>
    <xf numFmtId="10" fontId="7" fillId="42" borderId="1" xfId="2" applyNumberFormat="1" applyFont="1" applyFill="1" applyBorder="1" applyAlignment="1">
      <alignment horizontal="center" vertical="center"/>
    </xf>
    <xf numFmtId="10" fontId="8" fillId="41" borderId="1" xfId="0" applyNumberFormat="1" applyFont="1" applyFill="1" applyBorder="1" applyAlignment="1">
      <alignment horizontal="center"/>
    </xf>
    <xf numFmtId="164" fontId="6" fillId="26" borderId="1" xfId="0" applyNumberFormat="1" applyFont="1" applyFill="1" applyBorder="1" applyAlignment="1">
      <alignment horizontal="center"/>
    </xf>
    <xf numFmtId="164" fontId="6" fillId="45" borderId="1" xfId="0" applyNumberFormat="1" applyFont="1" applyFill="1" applyBorder="1" applyAlignment="1">
      <alignment horizontal="center"/>
    </xf>
    <xf numFmtId="164" fontId="4" fillId="46" borderId="1" xfId="0" applyNumberFormat="1" applyFont="1" applyFill="1" applyBorder="1" applyAlignment="1">
      <alignment horizontal="center"/>
    </xf>
    <xf numFmtId="164" fontId="13" fillId="9" borderId="1" xfId="0" applyNumberFormat="1" applyFont="1" applyFill="1" applyBorder="1" applyAlignment="1">
      <alignment horizontal="center"/>
    </xf>
    <xf numFmtId="164" fontId="3" fillId="44" borderId="1" xfId="0" applyNumberFormat="1" applyFont="1" applyFill="1" applyBorder="1" applyAlignment="1">
      <alignment horizontal="center"/>
    </xf>
    <xf numFmtId="164" fontId="7" fillId="36" borderId="1" xfId="0" applyNumberFormat="1" applyFont="1" applyFill="1" applyBorder="1" applyAlignment="1">
      <alignment horizontal="center"/>
    </xf>
    <xf numFmtId="164" fontId="3" fillId="46" borderId="1" xfId="0" applyNumberFormat="1" applyFont="1" applyFill="1" applyBorder="1" applyAlignment="1">
      <alignment horizontal="center"/>
    </xf>
    <xf numFmtId="164" fontId="3" fillId="47" borderId="1" xfId="0" applyNumberFormat="1" applyFont="1" applyFill="1" applyBorder="1" applyAlignment="1">
      <alignment horizontal="center"/>
    </xf>
    <xf numFmtId="164" fontId="7" fillId="48" borderId="1" xfId="0" applyNumberFormat="1" applyFont="1" applyFill="1" applyBorder="1" applyAlignment="1">
      <alignment horizontal="center" vertical="center" wrapText="1"/>
    </xf>
    <xf numFmtId="164" fontId="3" fillId="49" borderId="1" xfId="0" applyNumberFormat="1" applyFont="1" applyFill="1" applyBorder="1" applyAlignment="1">
      <alignment horizontal="center"/>
    </xf>
    <xf numFmtId="164" fontId="3" fillId="27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8" fillId="50" borderId="1" xfId="1" applyNumberFormat="1" applyFont="1" applyFill="1" applyBorder="1" applyAlignment="1">
      <alignment horizontal="center" vertical="center"/>
    </xf>
    <xf numFmtId="164" fontId="8" fillId="50" borderId="1" xfId="0" applyNumberFormat="1" applyFont="1" applyFill="1" applyBorder="1" applyAlignment="1">
      <alignment horizontal="center"/>
    </xf>
    <xf numFmtId="164" fontId="7" fillId="31" borderId="1" xfId="0" applyNumberFormat="1" applyFont="1" applyFill="1" applyBorder="1" applyAlignment="1">
      <alignment horizontal="center"/>
    </xf>
    <xf numFmtId="164" fontId="3" fillId="31" borderId="1" xfId="0" applyNumberFormat="1" applyFont="1" applyFill="1" applyBorder="1" applyAlignment="1">
      <alignment horizontal="center"/>
    </xf>
    <xf numFmtId="164" fontId="8" fillId="51" borderId="1" xfId="0" applyNumberFormat="1" applyFont="1" applyFill="1" applyBorder="1" applyAlignment="1">
      <alignment horizontal="center"/>
    </xf>
    <xf numFmtId="164" fontId="3" fillId="52" borderId="1" xfId="0" applyNumberFormat="1" applyFont="1" applyFill="1" applyBorder="1" applyAlignment="1">
      <alignment horizontal="center"/>
    </xf>
    <xf numFmtId="0" fontId="3" fillId="53" borderId="1" xfId="0" applyFont="1" applyFill="1" applyBorder="1" applyAlignment="1">
      <alignment horizontal="center"/>
    </xf>
    <xf numFmtId="164" fontId="3" fillId="54" borderId="1" xfId="0" applyNumberFormat="1" applyFont="1" applyFill="1" applyBorder="1" applyAlignment="1">
      <alignment horizontal="center"/>
    </xf>
    <xf numFmtId="164" fontId="3" fillId="55" borderId="1" xfId="0" applyNumberFormat="1" applyFont="1" applyFill="1" applyBorder="1" applyAlignment="1">
      <alignment horizontal="center"/>
    </xf>
    <xf numFmtId="0" fontId="3" fillId="56" borderId="1" xfId="0" applyFont="1" applyFill="1" applyBorder="1" applyAlignment="1">
      <alignment horizontal="center"/>
    </xf>
    <xf numFmtId="164" fontId="3" fillId="57" borderId="1" xfId="0" applyNumberFormat="1" applyFont="1" applyFill="1" applyBorder="1" applyAlignment="1">
      <alignment horizontal="center"/>
    </xf>
    <xf numFmtId="164" fontId="3" fillId="36" borderId="1" xfId="0" applyNumberFormat="1" applyFont="1" applyFill="1" applyBorder="1" applyAlignment="1">
      <alignment horizontal="center"/>
    </xf>
    <xf numFmtId="164" fontId="3" fillId="58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7" fillId="60" borderId="1" xfId="0" applyNumberFormat="1" applyFont="1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/>
    </xf>
    <xf numFmtId="164" fontId="7" fillId="61" borderId="1" xfId="0" applyNumberFormat="1" applyFont="1" applyFill="1" applyBorder="1" applyAlignment="1">
      <alignment horizontal="center"/>
    </xf>
    <xf numFmtId="164" fontId="7" fillId="49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9" fillId="0" borderId="0" xfId="0" applyFont="1"/>
    <xf numFmtId="0" fontId="3" fillId="62" borderId="1" xfId="0" applyFont="1" applyFill="1" applyBorder="1" applyAlignment="1">
      <alignment horizontal="center"/>
    </xf>
    <xf numFmtId="164" fontId="3" fillId="62" borderId="1" xfId="0" applyNumberFormat="1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7" fillId="4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5" fillId="35" borderId="1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13" borderId="1" xfId="2" applyNumberFormat="1" applyFont="1" applyFill="1" applyBorder="1" applyAlignment="1">
      <alignment horizontal="center" vertical="center"/>
    </xf>
    <xf numFmtId="164" fontId="6" fillId="13" borderId="1" xfId="2" applyNumberFormat="1" applyFont="1" applyFill="1" applyBorder="1" applyAlignment="1">
      <alignment horizontal="center" vertical="center"/>
    </xf>
    <xf numFmtId="164" fontId="4" fillId="63" borderId="1" xfId="0" applyNumberFormat="1" applyFont="1" applyFill="1" applyBorder="1" applyAlignment="1">
      <alignment horizontal="center"/>
    </xf>
    <xf numFmtId="164" fontId="5" fillId="50" borderId="1" xfId="0" applyNumberFormat="1" applyFont="1" applyFill="1" applyBorder="1" applyAlignment="1">
      <alignment horizontal="center"/>
    </xf>
    <xf numFmtId="0" fontId="8" fillId="50" borderId="1" xfId="0" applyFont="1" applyFill="1" applyBorder="1" applyAlignment="1">
      <alignment horizontal="center"/>
    </xf>
    <xf numFmtId="164" fontId="5" fillId="12" borderId="1" xfId="2" applyNumberFormat="1" applyFont="1" applyFill="1" applyBorder="1" applyAlignment="1">
      <alignment horizontal="center" vertical="center"/>
    </xf>
    <xf numFmtId="0" fontId="7" fillId="64" borderId="1" xfId="2" applyNumberFormat="1" applyFont="1" applyFill="1" applyBorder="1" applyAlignment="1">
      <alignment horizontal="center" vertical="center"/>
    </xf>
    <xf numFmtId="164" fontId="6" fillId="64" borderId="1" xfId="2" applyNumberFormat="1" applyFont="1" applyFill="1" applyBorder="1" applyAlignment="1">
      <alignment horizontal="center" vertical="center"/>
    </xf>
    <xf numFmtId="0" fontId="7" fillId="65" borderId="1" xfId="0" applyFont="1" applyFill="1" applyBorder="1" applyAlignment="1">
      <alignment horizontal="center"/>
    </xf>
    <xf numFmtId="164" fontId="6" fillId="65" borderId="1" xfId="0" applyNumberFormat="1" applyFont="1" applyFill="1" applyBorder="1" applyAlignment="1">
      <alignment horizontal="center"/>
    </xf>
    <xf numFmtId="164" fontId="3" fillId="53" borderId="1" xfId="0" applyNumberFormat="1" applyFont="1" applyFill="1" applyBorder="1" applyAlignment="1">
      <alignment horizontal="center"/>
    </xf>
    <xf numFmtId="164" fontId="3" fillId="56" borderId="1" xfId="0" applyNumberFormat="1" applyFont="1" applyFill="1" applyBorder="1" applyAlignment="1">
      <alignment horizontal="center"/>
    </xf>
    <xf numFmtId="164" fontId="3" fillId="56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4" fontId="6" fillId="42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/>
    </xf>
    <xf numFmtId="164" fontId="5" fillId="41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5" fillId="29" borderId="1" xfId="0" applyNumberFormat="1" applyFont="1" applyFill="1" applyBorder="1" applyAlignment="1">
      <alignment horizontal="center"/>
    </xf>
    <xf numFmtId="0" fontId="5" fillId="4" borderId="1" xfId="2" applyNumberFormat="1" applyFont="1" applyFill="1" applyBorder="1" applyAlignment="1">
      <alignment horizontal="center"/>
    </xf>
    <xf numFmtId="164" fontId="5" fillId="4" borderId="1" xfId="2" applyNumberFormat="1" applyFont="1" applyFill="1" applyBorder="1" applyAlignment="1">
      <alignment horizontal="center"/>
    </xf>
    <xf numFmtId="164" fontId="4" fillId="66" borderId="1" xfId="0" applyNumberFormat="1" applyFont="1" applyFill="1" applyBorder="1" applyAlignment="1">
      <alignment horizontal="center"/>
    </xf>
    <xf numFmtId="164" fontId="6" fillId="67" borderId="1" xfId="1" applyNumberFormat="1" applyFont="1" applyFill="1" applyBorder="1" applyAlignment="1">
      <alignment horizontal="center" vertical="center"/>
    </xf>
    <xf numFmtId="164" fontId="4" fillId="20" borderId="1" xfId="0" applyNumberFormat="1" applyFont="1" applyFill="1" applyBorder="1" applyAlignment="1">
      <alignment horizontal="center"/>
    </xf>
    <xf numFmtId="164" fontId="7" fillId="15" borderId="3" xfId="0" applyNumberFormat="1" applyFont="1" applyFill="1" applyBorder="1" applyAlignment="1">
      <alignment horizontal="center" vertical="center"/>
    </xf>
    <xf numFmtId="164" fontId="4" fillId="27" borderId="1" xfId="0" applyNumberFormat="1" applyFont="1" applyFill="1" applyBorder="1" applyAlignment="1">
      <alignment horizontal="center"/>
    </xf>
    <xf numFmtId="0" fontId="6" fillId="27" borderId="1" xfId="2" applyNumberFormat="1" applyFont="1" applyFill="1" applyBorder="1" applyAlignment="1">
      <alignment horizontal="center"/>
    </xf>
    <xf numFmtId="164" fontId="6" fillId="27" borderId="1" xfId="0" applyNumberFormat="1" applyFont="1" applyFill="1" applyBorder="1" applyAlignment="1">
      <alignment horizontal="center"/>
    </xf>
    <xf numFmtId="0" fontId="5" fillId="50" borderId="1" xfId="2" applyNumberFormat="1" applyFont="1" applyFill="1" applyBorder="1" applyAlignment="1">
      <alignment horizontal="center"/>
    </xf>
    <xf numFmtId="164" fontId="5" fillId="50" borderId="1" xfId="2" applyNumberFormat="1" applyFont="1" applyFill="1" applyBorder="1" applyAlignment="1">
      <alignment horizontal="center"/>
    </xf>
    <xf numFmtId="0" fontId="5" fillId="35" borderId="1" xfId="2" applyNumberFormat="1" applyFont="1" applyFill="1" applyBorder="1" applyAlignment="1">
      <alignment horizontal="center"/>
    </xf>
    <xf numFmtId="164" fontId="5" fillId="35" borderId="1" xfId="2" applyNumberFormat="1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 vertical="center"/>
    </xf>
    <xf numFmtId="10" fontId="6" fillId="9" borderId="1" xfId="2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2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4" fontId="8" fillId="69" borderId="1" xfId="0" applyNumberFormat="1" applyFont="1" applyFill="1" applyBorder="1" applyAlignment="1">
      <alignment horizontal="center" vertical="center"/>
    </xf>
    <xf numFmtId="164" fontId="7" fillId="70" borderId="1" xfId="0" applyNumberFormat="1" applyFont="1" applyFill="1" applyBorder="1" applyAlignment="1">
      <alignment horizontal="center" vertical="center" wrapText="1"/>
    </xf>
    <xf numFmtId="164" fontId="7" fillId="71" borderId="1" xfId="1" applyNumberFormat="1" applyFont="1" applyFill="1" applyBorder="1" applyAlignment="1">
      <alignment horizontal="center" vertical="center"/>
    </xf>
    <xf numFmtId="164" fontId="7" fillId="60" borderId="1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4" fontId="10" fillId="61" borderId="1" xfId="0" applyNumberFormat="1" applyFont="1" applyFill="1" applyBorder="1" applyAlignment="1">
      <alignment horizontal="center"/>
    </xf>
    <xf numFmtId="164" fontId="10" fillId="16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/>
    </xf>
    <xf numFmtId="164" fontId="6" fillId="22" borderId="1" xfId="0" applyNumberFormat="1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164" fontId="6" fillId="49" borderId="1" xfId="0" applyNumberFormat="1" applyFont="1" applyFill="1" applyBorder="1" applyAlignment="1">
      <alignment horizontal="center"/>
    </xf>
    <xf numFmtId="0" fontId="6" fillId="49" borderId="1" xfId="0" applyFont="1" applyFill="1" applyBorder="1" applyAlignment="1">
      <alignment horizontal="center"/>
    </xf>
    <xf numFmtId="164" fontId="6" fillId="48" borderId="1" xfId="0" applyNumberFormat="1" applyFont="1" applyFill="1" applyBorder="1" applyAlignment="1">
      <alignment horizontal="center" vertical="center" wrapText="1"/>
    </xf>
    <xf numFmtId="164" fontId="3" fillId="72" borderId="1" xfId="0" applyNumberFormat="1" applyFont="1" applyFill="1" applyBorder="1" applyAlignment="1">
      <alignment horizontal="center"/>
    </xf>
    <xf numFmtId="164" fontId="3" fillId="73" borderId="1" xfId="0" applyNumberFormat="1" applyFont="1" applyFill="1" applyBorder="1" applyAlignment="1">
      <alignment horizontal="center"/>
    </xf>
    <xf numFmtId="0" fontId="3" fillId="74" borderId="1" xfId="0" applyFont="1" applyFill="1" applyBorder="1" applyAlignment="1">
      <alignment horizontal="center"/>
    </xf>
    <xf numFmtId="164" fontId="7" fillId="7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3" fillId="22" borderId="1" xfId="0" applyFont="1" applyFill="1" applyBorder="1" applyAlignment="1">
      <alignment horizontal="center"/>
    </xf>
    <xf numFmtId="0" fontId="3" fillId="34" borderId="1" xfId="0" applyFont="1" applyFill="1" applyBorder="1" applyAlignment="1">
      <alignment horizontal="center"/>
    </xf>
    <xf numFmtId="164" fontId="3" fillId="34" borderId="1" xfId="0" applyNumberFormat="1" applyFont="1" applyFill="1" applyBorder="1" applyAlignment="1">
      <alignment horizontal="center"/>
    </xf>
    <xf numFmtId="164" fontId="7" fillId="30" borderId="2" xfId="0" applyNumberFormat="1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" fillId="0" borderId="0" xfId="0" applyNumberFormat="1" applyFont="1"/>
    <xf numFmtId="164" fontId="7" fillId="43" borderId="1" xfId="0" applyNumberFormat="1" applyFont="1" applyFill="1" applyBorder="1" applyAlignment="1">
      <alignment horizontal="center"/>
    </xf>
    <xf numFmtId="164" fontId="4" fillId="44" borderId="1" xfId="0" applyNumberFormat="1" applyFont="1" applyFill="1" applyBorder="1" applyAlignment="1">
      <alignment horizontal="center"/>
    </xf>
    <xf numFmtId="164" fontId="5" fillId="41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3" fillId="68" borderId="1" xfId="0" applyNumberFormat="1" applyFont="1" applyFill="1" applyBorder="1" applyAlignment="1">
      <alignment horizontal="center"/>
    </xf>
    <xf numFmtId="0" fontId="3" fillId="68" borderId="1" xfId="0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38" borderId="1" xfId="0" applyNumberFormat="1" applyFont="1" applyFill="1" applyBorder="1" applyAlignment="1">
      <alignment horizontal="center"/>
    </xf>
    <xf numFmtId="0" fontId="3" fillId="5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center"/>
    </xf>
    <xf numFmtId="0" fontId="6" fillId="76" borderId="1" xfId="0" applyFont="1" applyFill="1" applyBorder="1" applyAlignment="1">
      <alignment horizontal="center"/>
    </xf>
    <xf numFmtId="164" fontId="6" fillId="76" borderId="1" xfId="0" applyNumberFormat="1" applyFont="1" applyFill="1" applyBorder="1" applyAlignment="1">
      <alignment horizontal="center" vertical="center"/>
    </xf>
    <xf numFmtId="14" fontId="6" fillId="76" borderId="1" xfId="0" applyNumberFormat="1" applyFont="1" applyFill="1" applyBorder="1" applyAlignment="1">
      <alignment horizontal="center" vertical="center"/>
    </xf>
    <xf numFmtId="0" fontId="6" fillId="76" borderId="1" xfId="0" applyFont="1" applyFill="1" applyBorder="1" applyAlignment="1">
      <alignment horizontal="center" vertical="center"/>
    </xf>
    <xf numFmtId="0" fontId="6" fillId="76" borderId="1" xfId="0" applyFont="1" applyFill="1" applyBorder="1" applyAlignment="1">
      <alignment horizontal="left" vertical="center"/>
    </xf>
    <xf numFmtId="164" fontId="6" fillId="76" borderId="1" xfId="1" applyNumberFormat="1" applyFont="1" applyFill="1" applyBorder="1" applyAlignment="1">
      <alignment horizontal="center" vertical="center"/>
    </xf>
    <xf numFmtId="164" fontId="6" fillId="77" borderId="1" xfId="0" applyNumberFormat="1" applyFont="1" applyFill="1" applyBorder="1" applyAlignment="1">
      <alignment horizontal="center" vertical="center"/>
    </xf>
    <xf numFmtId="10" fontId="6" fillId="76" borderId="1" xfId="2" applyNumberFormat="1" applyFont="1" applyFill="1" applyBorder="1" applyAlignment="1">
      <alignment horizontal="center" vertical="center"/>
    </xf>
    <xf numFmtId="164" fontId="6" fillId="78" borderId="1" xfId="0" applyNumberFormat="1" applyFont="1" applyFill="1" applyBorder="1" applyAlignment="1">
      <alignment horizontal="center" vertical="center"/>
    </xf>
    <xf numFmtId="10" fontId="6" fillId="79" borderId="1" xfId="2" applyNumberFormat="1" applyFont="1" applyFill="1" applyBorder="1" applyAlignment="1">
      <alignment horizontal="center" vertical="center"/>
    </xf>
    <xf numFmtId="0" fontId="6" fillId="79" borderId="1" xfId="2" applyNumberFormat="1" applyFont="1" applyFill="1" applyBorder="1" applyAlignment="1">
      <alignment horizontal="center" vertical="center"/>
    </xf>
    <xf numFmtId="164" fontId="6" fillId="79" borderId="1" xfId="2" applyNumberFormat="1" applyFont="1" applyFill="1" applyBorder="1" applyAlignment="1">
      <alignment horizontal="center" vertical="center"/>
    </xf>
    <xf numFmtId="10" fontId="6" fillId="76" borderId="1" xfId="0" applyNumberFormat="1" applyFont="1" applyFill="1" applyBorder="1" applyAlignment="1">
      <alignment horizontal="center"/>
    </xf>
    <xf numFmtId="10" fontId="6" fillId="76" borderId="1" xfId="2" applyNumberFormat="1" applyFont="1" applyFill="1" applyBorder="1" applyAlignment="1">
      <alignment horizontal="center"/>
    </xf>
    <xf numFmtId="164" fontId="6" fillId="80" borderId="1" xfId="0" applyNumberFormat="1" applyFont="1" applyFill="1" applyBorder="1" applyAlignment="1">
      <alignment horizontal="center" vertical="center"/>
    </xf>
    <xf numFmtId="164" fontId="6" fillId="17" borderId="1" xfId="0" applyNumberFormat="1" applyFont="1" applyFill="1" applyBorder="1" applyAlignment="1">
      <alignment horizontal="center" vertical="center"/>
    </xf>
    <xf numFmtId="164" fontId="6" fillId="16" borderId="1" xfId="0" applyNumberFormat="1" applyFont="1" applyFill="1" applyBorder="1" applyAlignment="1">
      <alignment horizontal="center" vertical="center"/>
    </xf>
    <xf numFmtId="164" fontId="3" fillId="23" borderId="1" xfId="0" applyNumberFormat="1" applyFont="1" applyFill="1" applyBorder="1"/>
    <xf numFmtId="10" fontId="3" fillId="23" borderId="1" xfId="2" applyNumberFormat="1" applyFont="1" applyFill="1" applyBorder="1" applyAlignment="1">
      <alignment horizontal="center"/>
    </xf>
    <xf numFmtId="10" fontId="3" fillId="68" borderId="1" xfId="2" applyNumberFormat="1" applyFont="1" applyFill="1" applyBorder="1" applyAlignment="1">
      <alignment horizontal="center"/>
    </xf>
    <xf numFmtId="164" fontId="3" fillId="66" borderId="1" xfId="0" applyNumberFormat="1" applyFont="1" applyFill="1" applyBorder="1" applyAlignment="1">
      <alignment horizontal="center"/>
    </xf>
    <xf numFmtId="10" fontId="3" fillId="66" borderId="1" xfId="2" applyNumberFormat="1" applyFont="1" applyFill="1" applyBorder="1" applyAlignment="1">
      <alignment horizontal="center"/>
    </xf>
    <xf numFmtId="164" fontId="7" fillId="81" borderId="1" xfId="0" applyNumberFormat="1" applyFont="1" applyFill="1" applyBorder="1" applyAlignment="1">
      <alignment horizontal="center" vertical="center" wrapText="1"/>
    </xf>
    <xf numFmtId="164" fontId="7" fillId="19" borderId="1" xfId="0" applyNumberFormat="1" applyFont="1" applyFill="1" applyBorder="1" applyAlignment="1">
      <alignment horizontal="center" vertical="center" wrapText="1"/>
    </xf>
    <xf numFmtId="164" fontId="3" fillId="82" borderId="1" xfId="0" applyNumberFormat="1" applyFont="1" applyFill="1" applyBorder="1" applyAlignment="1">
      <alignment horizontal="center"/>
    </xf>
    <xf numFmtId="14" fontId="3" fillId="76" borderId="1" xfId="0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4" fontId="8" fillId="83" borderId="1" xfId="0" applyNumberFormat="1" applyFont="1" applyFill="1" applyBorder="1" applyAlignment="1">
      <alignment horizontal="center" vertical="center"/>
    </xf>
    <xf numFmtId="164" fontId="7" fillId="8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14" fontId="3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3" fillId="36" borderId="0" xfId="0" applyFont="1" applyFill="1"/>
    <xf numFmtId="0" fontId="3" fillId="36" borderId="0" xfId="0" applyFont="1" applyFill="1" applyAlignment="1">
      <alignment horizontal="left"/>
    </xf>
    <xf numFmtId="164" fontId="3" fillId="36" borderId="0" xfId="0" applyNumberFormat="1" applyFont="1" applyFill="1" applyAlignment="1">
      <alignment horizontal="center"/>
    </xf>
    <xf numFmtId="164" fontId="7" fillId="85" borderId="0" xfId="0" applyNumberFormat="1" applyFont="1" applyFill="1" applyAlignment="1">
      <alignment horizontal="center"/>
    </xf>
    <xf numFmtId="164" fontId="8" fillId="36" borderId="0" xfId="0" applyNumberFormat="1" applyFont="1" applyFill="1" applyAlignment="1">
      <alignment horizontal="center"/>
    </xf>
    <xf numFmtId="0" fontId="7" fillId="36" borderId="0" xfId="0" applyFont="1" applyFill="1" applyAlignment="1">
      <alignment horizontal="center"/>
    </xf>
    <xf numFmtId="164" fontId="7" fillId="36" borderId="0" xfId="0" applyNumberFormat="1" applyFont="1" applyFill="1" applyAlignment="1">
      <alignment horizontal="center"/>
    </xf>
    <xf numFmtId="10" fontId="8" fillId="4" borderId="1" xfId="2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4" fontId="3" fillId="74" borderId="1" xfId="0" applyNumberFormat="1" applyFont="1" applyFill="1" applyBorder="1" applyAlignment="1">
      <alignment horizontal="center"/>
    </xf>
    <xf numFmtId="164" fontId="11" fillId="0" borderId="0" xfId="0" applyNumberFormat="1" applyFont="1"/>
    <xf numFmtId="14" fontId="12" fillId="2" borderId="2" xfId="3" applyNumberFormat="1" applyFont="1" applyFill="1" applyBorder="1"/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64" fontId="5" fillId="6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164" fontId="7" fillId="21" borderId="1" xfId="0" applyNumberFormat="1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10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14" borderId="1" xfId="0" applyNumberFormat="1" applyFont="1" applyFill="1" applyBorder="1" applyAlignment="1">
      <alignment horizontal="center" vertical="center"/>
    </xf>
    <xf numFmtId="164" fontId="3" fillId="38" borderId="1" xfId="0" applyNumberFormat="1" applyFont="1" applyFill="1" applyBorder="1" applyAlignment="1">
      <alignment horizontal="center" vertical="center"/>
    </xf>
    <xf numFmtId="164" fontId="3" fillId="16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7" fillId="86" borderId="1" xfId="0" applyNumberFormat="1" applyFont="1" applyFill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/>
    </xf>
    <xf numFmtId="164" fontId="8" fillId="87" borderId="1" xfId="0" applyNumberFormat="1" applyFont="1" applyFill="1" applyBorder="1" applyAlignment="1">
      <alignment horizontal="center"/>
    </xf>
    <xf numFmtId="164" fontId="3" fillId="82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164" fontId="6" fillId="40" borderId="1" xfId="0" applyNumberFormat="1" applyFont="1" applyFill="1" applyBorder="1" applyAlignment="1">
      <alignment horizontal="center"/>
    </xf>
    <xf numFmtId="0" fontId="6" fillId="40" borderId="1" xfId="2" applyNumberFormat="1" applyFont="1" applyFill="1" applyBorder="1" applyAlignment="1">
      <alignment horizontal="center"/>
    </xf>
    <xf numFmtId="164" fontId="6" fillId="40" borderId="1" xfId="2" applyNumberFormat="1" applyFont="1" applyFill="1" applyBorder="1" applyAlignment="1">
      <alignment horizontal="center"/>
    </xf>
    <xf numFmtId="164" fontId="7" fillId="40" borderId="1" xfId="0" applyNumberFormat="1" applyFont="1" applyFill="1" applyBorder="1" applyAlignment="1">
      <alignment horizontal="center"/>
    </xf>
    <xf numFmtId="164" fontId="8" fillId="0" borderId="0" xfId="0" applyNumberFormat="1" applyFont="1"/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7" fillId="71" borderId="1" xfId="1" applyNumberFormat="1" applyFont="1" applyFill="1" applyBorder="1" applyAlignment="1">
      <alignment horizontal="center" vertical="center" wrapText="1"/>
    </xf>
    <xf numFmtId="164" fontId="7" fillId="37" borderId="1" xfId="0" applyNumberFormat="1" applyFont="1" applyFill="1" applyBorder="1" applyAlignment="1">
      <alignment horizontal="center" vertical="center" wrapText="1"/>
    </xf>
    <xf numFmtId="164" fontId="8" fillId="28" borderId="1" xfId="0" applyNumberFormat="1" applyFont="1" applyFill="1" applyBorder="1" applyAlignment="1">
      <alignment horizontal="center" vertical="center" wrapText="1"/>
    </xf>
    <xf numFmtId="164" fontId="7" fillId="86" borderId="1" xfId="0" applyNumberFormat="1" applyFont="1" applyFill="1" applyBorder="1" applyAlignment="1">
      <alignment horizontal="center" vertical="center" wrapText="1"/>
    </xf>
    <xf numFmtId="164" fontId="7" fillId="16" borderId="1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/>
    <xf numFmtId="164" fontId="0" fillId="0" borderId="1" xfId="0" applyNumberFormat="1" applyBorder="1" applyAlignment="1">
      <alignment horizontal="center"/>
    </xf>
    <xf numFmtId="0" fontId="15" fillId="88" borderId="1" xfId="0" applyFont="1" applyFill="1" applyBorder="1" applyAlignment="1">
      <alignment horizontal="center"/>
    </xf>
    <xf numFmtId="164" fontId="15" fillId="88" borderId="1" xfId="0" applyNumberFormat="1" applyFont="1" applyFill="1" applyBorder="1" applyAlignment="1">
      <alignment horizontal="center"/>
    </xf>
    <xf numFmtId="0" fontId="8" fillId="88" borderId="1" xfId="0" applyFont="1" applyFill="1" applyBorder="1" applyAlignment="1">
      <alignment horizontal="center" vertical="center"/>
    </xf>
    <xf numFmtId="164" fontId="8" fillId="88" borderId="1" xfId="0" applyNumberFormat="1" applyFont="1" applyFill="1" applyBorder="1" applyAlignment="1">
      <alignment horizontal="center"/>
    </xf>
    <xf numFmtId="164" fontId="15" fillId="89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164" fontId="9" fillId="19" borderId="1" xfId="0" applyNumberFormat="1" applyFont="1" applyFill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164" fontId="15" fillId="14" borderId="1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164" fontId="9" fillId="24" borderId="1" xfId="0" applyNumberFormat="1" applyFont="1" applyFill="1" applyBorder="1" applyAlignment="1">
      <alignment horizontal="center"/>
    </xf>
    <xf numFmtId="164" fontId="9" fillId="21" borderId="1" xfId="0" applyNumberFormat="1" applyFont="1" applyFill="1" applyBorder="1" applyAlignment="1">
      <alignment horizontal="center"/>
    </xf>
    <xf numFmtId="164" fontId="9" fillId="22" borderId="1" xfId="0" applyNumberFormat="1" applyFont="1" applyFill="1" applyBorder="1" applyAlignment="1">
      <alignment horizontal="center"/>
    </xf>
    <xf numFmtId="164" fontId="14" fillId="22" borderId="1" xfId="0" applyNumberFormat="1" applyFont="1" applyFill="1" applyBorder="1" applyAlignment="1">
      <alignment horizontal="center"/>
    </xf>
    <xf numFmtId="0" fontId="15" fillId="41" borderId="1" xfId="0" applyFont="1" applyFill="1" applyBorder="1" applyAlignment="1">
      <alignment horizontal="center"/>
    </xf>
    <xf numFmtId="164" fontId="15" fillId="41" borderId="1" xfId="0" applyNumberFormat="1" applyFont="1" applyFill="1" applyBorder="1" applyAlignment="1">
      <alignment horizontal="center"/>
    </xf>
    <xf numFmtId="164" fontId="0" fillId="36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0" fontId="17" fillId="0" borderId="0" xfId="0" applyFont="1"/>
    <xf numFmtId="0" fontId="14" fillId="26" borderId="1" xfId="0" applyFont="1" applyFill="1" applyBorder="1" applyAlignment="1">
      <alignment horizontal="center"/>
    </xf>
    <xf numFmtId="164" fontId="18" fillId="0" borderId="1" xfId="0" applyNumberFormat="1" applyFont="1" applyBorder="1" applyAlignment="1">
      <alignment horizontal="center" vertical="center"/>
    </xf>
    <xf numFmtId="164" fontId="14" fillId="26" borderId="1" xfId="0" applyNumberFormat="1" applyFont="1" applyFill="1" applyBorder="1" applyAlignment="1">
      <alignment horizontal="center"/>
    </xf>
    <xf numFmtId="164" fontId="14" fillId="25" borderId="1" xfId="0" applyNumberFormat="1" applyFont="1" applyFill="1" applyBorder="1" applyAlignment="1">
      <alignment horizontal="center"/>
    </xf>
    <xf numFmtId="164" fontId="15" fillId="29" borderId="1" xfId="0" applyNumberFormat="1" applyFont="1" applyFill="1" applyBorder="1" applyAlignment="1">
      <alignment horizontal="center"/>
    </xf>
    <xf numFmtId="164" fontId="14" fillId="58" borderId="1" xfId="0" applyNumberFormat="1" applyFont="1" applyFill="1" applyBorder="1" applyAlignment="1">
      <alignment horizontal="center"/>
    </xf>
    <xf numFmtId="164" fontId="14" fillId="16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64" fontId="7" fillId="90" borderId="1" xfId="0" applyNumberFormat="1" applyFont="1" applyFill="1" applyBorder="1" applyAlignment="1">
      <alignment horizontal="center"/>
    </xf>
    <xf numFmtId="164" fontId="3" fillId="90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9" fillId="0" borderId="0" xfId="0" applyFont="1"/>
    <xf numFmtId="164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59" borderId="0" xfId="0" applyFont="1" applyFill="1" applyAlignment="1">
      <alignment horizontal="left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0B050"/>
      <color rgb="FF07CF11"/>
      <color rgb="FFFFCCFF"/>
      <color rgb="FF70AD47"/>
      <color rgb="FFFFCC99"/>
      <color rgb="FFFF6600"/>
      <color rgb="FFFF7C80"/>
      <color rgb="FF87FB8D"/>
      <color rgb="FF002060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A4A8C33A-F255-44D8-A59B-D5D8C0BA711F}"/>
            </a:ext>
          </a:extLst>
        </xdr:cNvPr>
        <xdr:cNvSpPr/>
      </xdr:nvSpPr>
      <xdr:spPr>
        <a:xfrm>
          <a:off x="226695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124</xdr:row>
      <xdr:rowOff>1</xdr:rowOff>
    </xdr:from>
    <xdr:to>
      <xdr:col>7</xdr:col>
      <xdr:colOff>3194802</xdr:colOff>
      <xdr:row>126</xdr:row>
      <xdr:rowOff>7682</xdr:rowOff>
    </xdr:to>
    <xdr:sp macro="" textlink="">
      <xdr:nvSpPr>
        <xdr:cNvPr id="4" name="Estrela: 5 Pontas 3">
          <a:extLst>
            <a:ext uri="{FF2B5EF4-FFF2-40B4-BE49-F238E27FC236}">
              <a16:creationId xmlns:a16="http://schemas.microsoft.com/office/drawing/2014/main" id="{AE500DE4-C293-4C50-A5CA-95C772BE6891}"/>
            </a:ext>
          </a:extLst>
        </xdr:cNvPr>
        <xdr:cNvSpPr/>
      </xdr:nvSpPr>
      <xdr:spPr>
        <a:xfrm>
          <a:off x="13696643" y="5715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124</xdr:row>
      <xdr:rowOff>153630</xdr:rowOff>
    </xdr:from>
    <xdr:to>
      <xdr:col>8</xdr:col>
      <xdr:colOff>7000</xdr:colOff>
      <xdr:row>126</xdr:row>
      <xdr:rowOff>183843</xdr:rowOff>
    </xdr:to>
    <xdr:sp macro="" textlink="">
      <xdr:nvSpPr>
        <xdr:cNvPr id="5" name="Estrela: 5 Pontas 4">
          <a:extLst>
            <a:ext uri="{FF2B5EF4-FFF2-40B4-BE49-F238E27FC236}">
              <a16:creationId xmlns:a16="http://schemas.microsoft.com/office/drawing/2014/main" id="{A1547A5E-528E-4994-8EC7-81D5C044BD95}"/>
            </a:ext>
          </a:extLst>
        </xdr:cNvPr>
        <xdr:cNvSpPr/>
      </xdr:nvSpPr>
      <xdr:spPr>
        <a:xfrm>
          <a:off x="13692956" y="7251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</xdr:row>
      <xdr:rowOff>1</xdr:rowOff>
    </xdr:from>
    <xdr:to>
      <xdr:col>7</xdr:col>
      <xdr:colOff>3194802</xdr:colOff>
      <xdr:row>4</xdr:row>
      <xdr:rowOff>0</xdr:rowOff>
    </xdr:to>
    <xdr:sp macro="" textlink="">
      <xdr:nvSpPr>
        <xdr:cNvPr id="11" name="Estrela: 5 Pontas 10">
          <a:extLst>
            <a:ext uri="{FF2B5EF4-FFF2-40B4-BE49-F238E27FC236}">
              <a16:creationId xmlns:a16="http://schemas.microsoft.com/office/drawing/2014/main" id="{9E1BC07E-E336-437C-837B-CF03F89DF9E3}"/>
            </a:ext>
          </a:extLst>
        </xdr:cNvPr>
        <xdr:cNvSpPr/>
      </xdr:nvSpPr>
      <xdr:spPr>
        <a:xfrm>
          <a:off x="13696643" y="381001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</xdr:row>
      <xdr:rowOff>153630</xdr:rowOff>
    </xdr:from>
    <xdr:to>
      <xdr:col>8</xdr:col>
      <xdr:colOff>7000</xdr:colOff>
      <xdr:row>4</xdr:row>
      <xdr:rowOff>0</xdr:rowOff>
    </xdr:to>
    <xdr:sp macro="" textlink="">
      <xdr:nvSpPr>
        <xdr:cNvPr id="12" name="Estrela: 5 Pontas 11">
          <a:extLst>
            <a:ext uri="{FF2B5EF4-FFF2-40B4-BE49-F238E27FC236}">
              <a16:creationId xmlns:a16="http://schemas.microsoft.com/office/drawing/2014/main" id="{A0C36D42-3650-4B90-AC92-5C3D9D978734}"/>
            </a:ext>
          </a:extLst>
        </xdr:cNvPr>
        <xdr:cNvSpPr/>
      </xdr:nvSpPr>
      <xdr:spPr>
        <a:xfrm>
          <a:off x="13692956" y="534630"/>
          <a:ext cx="10994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3</xdr:row>
      <xdr:rowOff>142875</xdr:rowOff>
    </xdr:from>
    <xdr:to>
      <xdr:col>7</xdr:col>
      <xdr:colOff>3106465</xdr:colOff>
      <xdr:row>4</xdr:row>
      <xdr:rowOff>0</xdr:rowOff>
    </xdr:to>
    <xdr:sp macro="" textlink="">
      <xdr:nvSpPr>
        <xdr:cNvPr id="13" name="Estrela: 5 Pontas 12">
          <a:extLst>
            <a:ext uri="{FF2B5EF4-FFF2-40B4-BE49-F238E27FC236}">
              <a16:creationId xmlns:a16="http://schemas.microsoft.com/office/drawing/2014/main" id="{DFB3635A-66E1-41A4-8602-9888697C7699}"/>
            </a:ext>
          </a:extLst>
        </xdr:cNvPr>
        <xdr:cNvSpPr/>
      </xdr:nvSpPr>
      <xdr:spPr>
        <a:xfrm>
          <a:off x="13701712" y="523875"/>
          <a:ext cx="0" cy="476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</xdr:row>
      <xdr:rowOff>1</xdr:rowOff>
    </xdr:from>
    <xdr:to>
      <xdr:col>7</xdr:col>
      <xdr:colOff>3194802</xdr:colOff>
      <xdr:row>5</xdr:row>
      <xdr:rowOff>0</xdr:rowOff>
    </xdr:to>
    <xdr:sp macro="" textlink="">
      <xdr:nvSpPr>
        <xdr:cNvPr id="18" name="Estrela: 5 Pontas 17">
          <a:extLst>
            <a:ext uri="{FF2B5EF4-FFF2-40B4-BE49-F238E27FC236}">
              <a16:creationId xmlns:a16="http://schemas.microsoft.com/office/drawing/2014/main" id="{72784C15-7C84-4A0B-885D-E8408DB7E894}"/>
            </a:ext>
          </a:extLst>
        </xdr:cNvPr>
        <xdr:cNvSpPr/>
      </xdr:nvSpPr>
      <xdr:spPr>
        <a:xfrm>
          <a:off x="13487093" y="2066926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</xdr:row>
      <xdr:rowOff>153630</xdr:rowOff>
    </xdr:from>
    <xdr:to>
      <xdr:col>8</xdr:col>
      <xdr:colOff>7000</xdr:colOff>
      <xdr:row>5</xdr:row>
      <xdr:rowOff>0</xdr:rowOff>
    </xdr:to>
    <xdr:sp macro="" textlink="">
      <xdr:nvSpPr>
        <xdr:cNvPr id="19" name="Estrela: 5 Pontas 18">
          <a:extLst>
            <a:ext uri="{FF2B5EF4-FFF2-40B4-BE49-F238E27FC236}">
              <a16:creationId xmlns:a16="http://schemas.microsoft.com/office/drawing/2014/main" id="{465B1AF9-2F28-4C6E-8B5E-92089A69C036}"/>
            </a:ext>
          </a:extLst>
        </xdr:cNvPr>
        <xdr:cNvSpPr/>
      </xdr:nvSpPr>
      <xdr:spPr>
        <a:xfrm>
          <a:off x="13483406" y="2220555"/>
          <a:ext cx="10994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</xdr:row>
      <xdr:rowOff>1</xdr:rowOff>
    </xdr:from>
    <xdr:to>
      <xdr:col>7</xdr:col>
      <xdr:colOff>3194802</xdr:colOff>
      <xdr:row>5</xdr:row>
      <xdr:rowOff>0</xdr:rowOff>
    </xdr:to>
    <xdr:sp macro="" textlink="">
      <xdr:nvSpPr>
        <xdr:cNvPr id="20" name="Estrela: 5 Pontas 19">
          <a:extLst>
            <a:ext uri="{FF2B5EF4-FFF2-40B4-BE49-F238E27FC236}">
              <a16:creationId xmlns:a16="http://schemas.microsoft.com/office/drawing/2014/main" id="{88F946FB-56A7-4416-96E5-A49C461075FB}"/>
            </a:ext>
          </a:extLst>
        </xdr:cNvPr>
        <xdr:cNvSpPr/>
      </xdr:nvSpPr>
      <xdr:spPr>
        <a:xfrm>
          <a:off x="13487093" y="2066926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</xdr:row>
      <xdr:rowOff>153630</xdr:rowOff>
    </xdr:from>
    <xdr:to>
      <xdr:col>8</xdr:col>
      <xdr:colOff>7000</xdr:colOff>
      <xdr:row>5</xdr:row>
      <xdr:rowOff>0</xdr:rowOff>
    </xdr:to>
    <xdr:sp macro="" textlink="">
      <xdr:nvSpPr>
        <xdr:cNvPr id="21" name="Estrela: 5 Pontas 20">
          <a:extLst>
            <a:ext uri="{FF2B5EF4-FFF2-40B4-BE49-F238E27FC236}">
              <a16:creationId xmlns:a16="http://schemas.microsoft.com/office/drawing/2014/main" id="{6631AB25-B08A-476C-A0D9-A6323CF3A731}"/>
            </a:ext>
          </a:extLst>
        </xdr:cNvPr>
        <xdr:cNvSpPr/>
      </xdr:nvSpPr>
      <xdr:spPr>
        <a:xfrm>
          <a:off x="13483406" y="2220555"/>
          <a:ext cx="10994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7</xdr:row>
      <xdr:rowOff>0</xdr:rowOff>
    </xdr:from>
    <xdr:to>
      <xdr:col>8</xdr:col>
      <xdr:colOff>10841</xdr:colOff>
      <xdr:row>7</xdr:row>
      <xdr:rowOff>57485</xdr:rowOff>
    </xdr:to>
    <xdr:sp macro="" textlink="">
      <xdr:nvSpPr>
        <xdr:cNvPr id="22" name="Estrela: 5 Pontas 21">
          <a:extLst>
            <a:ext uri="{FF2B5EF4-FFF2-40B4-BE49-F238E27FC236}">
              <a16:creationId xmlns:a16="http://schemas.microsoft.com/office/drawing/2014/main" id="{65E3BCFA-AB29-4F22-A309-73B16D093710}"/>
            </a:ext>
          </a:extLst>
        </xdr:cNvPr>
        <xdr:cNvSpPr/>
      </xdr:nvSpPr>
      <xdr:spPr>
        <a:xfrm>
          <a:off x="13482638" y="1916906"/>
          <a:ext cx="15603" cy="20750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4</xdr:row>
      <xdr:rowOff>166687</xdr:rowOff>
    </xdr:from>
    <xdr:to>
      <xdr:col>7</xdr:col>
      <xdr:colOff>3146947</xdr:colOff>
      <xdr:row>5</xdr:row>
      <xdr:rowOff>0</xdr:rowOff>
    </xdr:to>
    <xdr:sp macro="" textlink="">
      <xdr:nvSpPr>
        <xdr:cNvPr id="24" name="Estrela: 5 Pontas 23">
          <a:extLst>
            <a:ext uri="{FF2B5EF4-FFF2-40B4-BE49-F238E27FC236}">
              <a16:creationId xmlns:a16="http://schemas.microsoft.com/office/drawing/2014/main" id="{5ECD6CB5-C423-4FC0-85BF-2751E3A4042A}"/>
            </a:ext>
          </a:extLst>
        </xdr:cNvPr>
        <xdr:cNvSpPr/>
      </xdr:nvSpPr>
      <xdr:spPr>
        <a:xfrm>
          <a:off x="13485019" y="2233612"/>
          <a:ext cx="6078" cy="238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2917031</xdr:colOff>
      <xdr:row>7</xdr:row>
      <xdr:rowOff>0</xdr:rowOff>
    </xdr:from>
    <xdr:to>
      <xdr:col>7</xdr:col>
      <xdr:colOff>3164681</xdr:colOff>
      <xdr:row>7</xdr:row>
      <xdr:rowOff>140493</xdr:rowOff>
    </xdr:to>
    <xdr:sp macro="" textlink="">
      <xdr:nvSpPr>
        <xdr:cNvPr id="25" name="Estrela: 5 Pontas 24">
          <a:extLst>
            <a:ext uri="{FF2B5EF4-FFF2-40B4-BE49-F238E27FC236}">
              <a16:creationId xmlns:a16="http://schemas.microsoft.com/office/drawing/2014/main" id="{5B08FA23-C113-48B1-A034-8A1FFC815614}"/>
            </a:ext>
          </a:extLst>
        </xdr:cNvPr>
        <xdr:cNvSpPr/>
      </xdr:nvSpPr>
      <xdr:spPr>
        <a:xfrm>
          <a:off x="13489781" y="2064544"/>
          <a:ext cx="0" cy="14287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12</xdr:row>
      <xdr:rowOff>0</xdr:rowOff>
    </xdr:from>
    <xdr:to>
      <xdr:col>7</xdr:col>
      <xdr:colOff>3106465</xdr:colOff>
      <xdr:row>13</xdr:row>
      <xdr:rowOff>21766</xdr:rowOff>
    </xdr:to>
    <xdr:sp macro="" textlink="">
      <xdr:nvSpPr>
        <xdr:cNvPr id="26" name="Estrela: 5 Pontas 25">
          <a:extLst>
            <a:ext uri="{FF2B5EF4-FFF2-40B4-BE49-F238E27FC236}">
              <a16:creationId xmlns:a16="http://schemas.microsoft.com/office/drawing/2014/main" id="{0486C4E7-A28C-4668-B2BF-E0922925EEC7}"/>
            </a:ext>
          </a:extLst>
        </xdr:cNvPr>
        <xdr:cNvSpPr/>
      </xdr:nvSpPr>
      <xdr:spPr>
        <a:xfrm>
          <a:off x="13492162" y="2233612"/>
          <a:ext cx="0" cy="455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12</xdr:row>
      <xdr:rowOff>161925</xdr:rowOff>
    </xdr:from>
    <xdr:to>
      <xdr:col>3</xdr:col>
      <xdr:colOff>3196953</xdr:colOff>
      <xdr:row>13</xdr:row>
      <xdr:rowOff>161925</xdr:rowOff>
    </xdr:to>
    <xdr:sp macro="" textlink="">
      <xdr:nvSpPr>
        <xdr:cNvPr id="37" name="Estrela: 5 Pontas 36">
          <a:extLst>
            <a:ext uri="{FF2B5EF4-FFF2-40B4-BE49-F238E27FC236}">
              <a16:creationId xmlns:a16="http://schemas.microsoft.com/office/drawing/2014/main" id="{26149A8E-1D6A-48C8-B103-B2BADC9A934F}"/>
            </a:ext>
          </a:extLst>
        </xdr:cNvPr>
        <xdr:cNvSpPr/>
      </xdr:nvSpPr>
      <xdr:spPr>
        <a:xfrm>
          <a:off x="5495925" y="3943350"/>
          <a:ext cx="12990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33</xdr:row>
      <xdr:rowOff>166687</xdr:rowOff>
    </xdr:from>
    <xdr:to>
      <xdr:col>7</xdr:col>
      <xdr:colOff>3146947</xdr:colOff>
      <xdr:row>34</xdr:row>
      <xdr:rowOff>0</xdr:rowOff>
    </xdr:to>
    <xdr:sp macro="" textlink="">
      <xdr:nvSpPr>
        <xdr:cNvPr id="65" name="Estrela: 5 Pontas 64">
          <a:extLst>
            <a:ext uri="{FF2B5EF4-FFF2-40B4-BE49-F238E27FC236}">
              <a16:creationId xmlns:a16="http://schemas.microsoft.com/office/drawing/2014/main" id="{BE624636-5E3A-4C41-994D-AAB0617730CE}"/>
            </a:ext>
          </a:extLst>
        </xdr:cNvPr>
        <xdr:cNvSpPr/>
      </xdr:nvSpPr>
      <xdr:spPr>
        <a:xfrm>
          <a:off x="11865769" y="2262187"/>
          <a:ext cx="6078" cy="238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3057218</xdr:colOff>
      <xdr:row>77</xdr:row>
      <xdr:rowOff>1</xdr:rowOff>
    </xdr:from>
    <xdr:to>
      <xdr:col>5</xdr:col>
      <xdr:colOff>3194802</xdr:colOff>
      <xdr:row>78</xdr:row>
      <xdr:rowOff>0</xdr:rowOff>
    </xdr:to>
    <xdr:sp macro="" textlink="">
      <xdr:nvSpPr>
        <xdr:cNvPr id="102" name="Estrela: 5 Pontas 101">
          <a:extLst>
            <a:ext uri="{FF2B5EF4-FFF2-40B4-BE49-F238E27FC236}">
              <a16:creationId xmlns:a16="http://schemas.microsoft.com/office/drawing/2014/main" id="{3A4EAA13-8D39-48DF-9EFD-F085F2945256}"/>
            </a:ext>
          </a:extLst>
        </xdr:cNvPr>
        <xdr:cNvSpPr/>
      </xdr:nvSpPr>
      <xdr:spPr>
        <a:xfrm>
          <a:off x="12372668" y="2667001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3072581</xdr:colOff>
      <xdr:row>77</xdr:row>
      <xdr:rowOff>153630</xdr:rowOff>
    </xdr:from>
    <xdr:to>
      <xdr:col>6</xdr:col>
      <xdr:colOff>7000</xdr:colOff>
      <xdr:row>78</xdr:row>
      <xdr:rowOff>0</xdr:rowOff>
    </xdr:to>
    <xdr:sp macro="" textlink="">
      <xdr:nvSpPr>
        <xdr:cNvPr id="107" name="Estrela: 5 Pontas 106">
          <a:extLst>
            <a:ext uri="{FF2B5EF4-FFF2-40B4-BE49-F238E27FC236}">
              <a16:creationId xmlns:a16="http://schemas.microsoft.com/office/drawing/2014/main" id="{32BB916B-B850-4539-8B9F-BB9801ECC7F1}"/>
            </a:ext>
          </a:extLst>
        </xdr:cNvPr>
        <xdr:cNvSpPr/>
      </xdr:nvSpPr>
      <xdr:spPr>
        <a:xfrm>
          <a:off x="12368981" y="2820630"/>
          <a:ext cx="10994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130</xdr:row>
      <xdr:rowOff>1</xdr:rowOff>
    </xdr:from>
    <xdr:to>
      <xdr:col>7</xdr:col>
      <xdr:colOff>3194802</xdr:colOff>
      <xdr:row>131</xdr:row>
      <xdr:rowOff>0</xdr:rowOff>
    </xdr:to>
    <xdr:sp macro="" textlink="">
      <xdr:nvSpPr>
        <xdr:cNvPr id="132" name="Estrela: 5 Pontas 131">
          <a:extLst>
            <a:ext uri="{FF2B5EF4-FFF2-40B4-BE49-F238E27FC236}">
              <a16:creationId xmlns:a16="http://schemas.microsoft.com/office/drawing/2014/main" id="{F298B753-5514-4F87-888D-1D57CE1E67DE}"/>
            </a:ext>
          </a:extLst>
        </xdr:cNvPr>
        <xdr:cNvSpPr/>
      </xdr:nvSpPr>
      <xdr:spPr>
        <a:xfrm>
          <a:off x="13487093" y="12106276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130</xdr:row>
      <xdr:rowOff>153630</xdr:rowOff>
    </xdr:from>
    <xdr:to>
      <xdr:col>8</xdr:col>
      <xdr:colOff>7000</xdr:colOff>
      <xdr:row>131</xdr:row>
      <xdr:rowOff>0</xdr:rowOff>
    </xdr:to>
    <xdr:sp macro="" textlink="">
      <xdr:nvSpPr>
        <xdr:cNvPr id="133" name="Estrela: 5 Pontas 132">
          <a:extLst>
            <a:ext uri="{FF2B5EF4-FFF2-40B4-BE49-F238E27FC236}">
              <a16:creationId xmlns:a16="http://schemas.microsoft.com/office/drawing/2014/main" id="{10DCC687-0A92-46F6-97B2-8E251C929D24}"/>
            </a:ext>
          </a:extLst>
        </xdr:cNvPr>
        <xdr:cNvSpPr/>
      </xdr:nvSpPr>
      <xdr:spPr>
        <a:xfrm>
          <a:off x="13483406" y="12259905"/>
          <a:ext cx="10994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3038475</xdr:colOff>
      <xdr:row>4</xdr:row>
      <xdr:rowOff>28575</xdr:rowOff>
    </xdr:from>
    <xdr:to>
      <xdr:col>3</xdr:col>
      <xdr:colOff>3159918</xdr:colOff>
      <xdr:row>5</xdr:row>
      <xdr:rowOff>0</xdr:rowOff>
    </xdr:to>
    <xdr:sp macro="" textlink="">
      <xdr:nvSpPr>
        <xdr:cNvPr id="165" name="Estrela: 5 Pontas 164">
          <a:extLst>
            <a:ext uri="{FF2B5EF4-FFF2-40B4-BE49-F238E27FC236}">
              <a16:creationId xmlns:a16="http://schemas.microsoft.com/office/drawing/2014/main" id="{5960C0B7-11E5-431B-90B4-6CA528BD9744}"/>
            </a:ext>
          </a:extLst>
        </xdr:cNvPr>
        <xdr:cNvSpPr/>
      </xdr:nvSpPr>
      <xdr:spPr>
        <a:xfrm>
          <a:off x="5467350" y="600075"/>
          <a:ext cx="12144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7</xdr:row>
      <xdr:rowOff>0</xdr:rowOff>
    </xdr:from>
    <xdr:to>
      <xdr:col>3</xdr:col>
      <xdr:colOff>3188493</xdr:colOff>
      <xdr:row>8</xdr:row>
      <xdr:rowOff>0</xdr:rowOff>
    </xdr:to>
    <xdr:sp macro="" textlink="">
      <xdr:nvSpPr>
        <xdr:cNvPr id="170" name="Estrela: 5 Pontas 169">
          <a:extLst>
            <a:ext uri="{FF2B5EF4-FFF2-40B4-BE49-F238E27FC236}">
              <a16:creationId xmlns:a16="http://schemas.microsoft.com/office/drawing/2014/main" id="{F84548B4-2513-4F1F-B067-6A1102F4CC6F}"/>
            </a:ext>
          </a:extLst>
        </xdr:cNvPr>
        <xdr:cNvSpPr/>
      </xdr:nvSpPr>
      <xdr:spPr>
        <a:xfrm>
          <a:off x="5495925" y="2667000"/>
          <a:ext cx="12144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135</xdr:row>
      <xdr:rowOff>1</xdr:rowOff>
    </xdr:from>
    <xdr:to>
      <xdr:col>7</xdr:col>
      <xdr:colOff>3194802</xdr:colOff>
      <xdr:row>136</xdr:row>
      <xdr:rowOff>0</xdr:rowOff>
    </xdr:to>
    <xdr:sp macro="" textlink="">
      <xdr:nvSpPr>
        <xdr:cNvPr id="173" name="Estrela: 5 Pontas 172">
          <a:extLst>
            <a:ext uri="{FF2B5EF4-FFF2-40B4-BE49-F238E27FC236}">
              <a16:creationId xmlns:a16="http://schemas.microsoft.com/office/drawing/2014/main" id="{61389EF7-605C-461D-80A5-82083CE10D48}"/>
            </a:ext>
          </a:extLst>
        </xdr:cNvPr>
        <xdr:cNvSpPr/>
      </xdr:nvSpPr>
      <xdr:spPr>
        <a:xfrm>
          <a:off x="12706043" y="27879676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135</xdr:row>
      <xdr:rowOff>153630</xdr:rowOff>
    </xdr:from>
    <xdr:to>
      <xdr:col>8</xdr:col>
      <xdr:colOff>7000</xdr:colOff>
      <xdr:row>136</xdr:row>
      <xdr:rowOff>0</xdr:rowOff>
    </xdr:to>
    <xdr:sp macro="" textlink="">
      <xdr:nvSpPr>
        <xdr:cNvPr id="176" name="Estrela: 5 Pontas 175">
          <a:extLst>
            <a:ext uri="{FF2B5EF4-FFF2-40B4-BE49-F238E27FC236}">
              <a16:creationId xmlns:a16="http://schemas.microsoft.com/office/drawing/2014/main" id="{A9A3631B-7C7C-41A1-9444-76853E736087}"/>
            </a:ext>
          </a:extLst>
        </xdr:cNvPr>
        <xdr:cNvSpPr/>
      </xdr:nvSpPr>
      <xdr:spPr>
        <a:xfrm>
          <a:off x="12702356" y="28033305"/>
          <a:ext cx="10994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135</xdr:row>
      <xdr:rowOff>1</xdr:rowOff>
    </xdr:from>
    <xdr:to>
      <xdr:col>7</xdr:col>
      <xdr:colOff>3194802</xdr:colOff>
      <xdr:row>136</xdr:row>
      <xdr:rowOff>0</xdr:rowOff>
    </xdr:to>
    <xdr:sp macro="" textlink="">
      <xdr:nvSpPr>
        <xdr:cNvPr id="177" name="Estrela: 5 Pontas 176">
          <a:extLst>
            <a:ext uri="{FF2B5EF4-FFF2-40B4-BE49-F238E27FC236}">
              <a16:creationId xmlns:a16="http://schemas.microsoft.com/office/drawing/2014/main" id="{E8E77FC1-ECA7-44F4-9DBA-31E6B8DE90F2}"/>
            </a:ext>
          </a:extLst>
        </xdr:cNvPr>
        <xdr:cNvSpPr/>
      </xdr:nvSpPr>
      <xdr:spPr>
        <a:xfrm>
          <a:off x="12706043" y="27879676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135</xdr:row>
      <xdr:rowOff>153630</xdr:rowOff>
    </xdr:from>
    <xdr:to>
      <xdr:col>8</xdr:col>
      <xdr:colOff>7000</xdr:colOff>
      <xdr:row>136</xdr:row>
      <xdr:rowOff>0</xdr:rowOff>
    </xdr:to>
    <xdr:sp macro="" textlink="">
      <xdr:nvSpPr>
        <xdr:cNvPr id="180" name="Estrela: 5 Pontas 179">
          <a:extLst>
            <a:ext uri="{FF2B5EF4-FFF2-40B4-BE49-F238E27FC236}">
              <a16:creationId xmlns:a16="http://schemas.microsoft.com/office/drawing/2014/main" id="{75C0D89C-A04F-4F1D-A082-E14FD2F3E02B}"/>
            </a:ext>
          </a:extLst>
        </xdr:cNvPr>
        <xdr:cNvSpPr/>
      </xdr:nvSpPr>
      <xdr:spPr>
        <a:xfrm>
          <a:off x="12702356" y="28033305"/>
          <a:ext cx="10994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135</xdr:row>
      <xdr:rowOff>0</xdr:rowOff>
    </xdr:from>
    <xdr:to>
      <xdr:col>8</xdr:col>
      <xdr:colOff>10841</xdr:colOff>
      <xdr:row>135</xdr:row>
      <xdr:rowOff>57485</xdr:rowOff>
    </xdr:to>
    <xdr:sp macro="" textlink="">
      <xdr:nvSpPr>
        <xdr:cNvPr id="184" name="Estrela: 5 Pontas 183">
          <a:extLst>
            <a:ext uri="{FF2B5EF4-FFF2-40B4-BE49-F238E27FC236}">
              <a16:creationId xmlns:a16="http://schemas.microsoft.com/office/drawing/2014/main" id="{F53E3740-F18D-4C5E-820E-0BD621F769E2}"/>
            </a:ext>
          </a:extLst>
        </xdr:cNvPr>
        <xdr:cNvSpPr/>
      </xdr:nvSpPr>
      <xdr:spPr>
        <a:xfrm>
          <a:off x="12701588" y="27879675"/>
          <a:ext cx="15603" cy="574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135</xdr:row>
      <xdr:rowOff>166687</xdr:rowOff>
    </xdr:from>
    <xdr:to>
      <xdr:col>7</xdr:col>
      <xdr:colOff>3146947</xdr:colOff>
      <xdr:row>136</xdr:row>
      <xdr:rowOff>0</xdr:rowOff>
    </xdr:to>
    <xdr:sp macro="" textlink="">
      <xdr:nvSpPr>
        <xdr:cNvPr id="185" name="Estrela: 5 Pontas 184">
          <a:extLst>
            <a:ext uri="{FF2B5EF4-FFF2-40B4-BE49-F238E27FC236}">
              <a16:creationId xmlns:a16="http://schemas.microsoft.com/office/drawing/2014/main" id="{316DCFC9-7203-4699-9BE1-8C6E3488B65C}"/>
            </a:ext>
          </a:extLst>
        </xdr:cNvPr>
        <xdr:cNvSpPr/>
      </xdr:nvSpPr>
      <xdr:spPr>
        <a:xfrm>
          <a:off x="12703969" y="28046362"/>
          <a:ext cx="6078" cy="238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2917031</xdr:colOff>
      <xdr:row>135</xdr:row>
      <xdr:rowOff>0</xdr:rowOff>
    </xdr:from>
    <xdr:to>
      <xdr:col>7</xdr:col>
      <xdr:colOff>3164681</xdr:colOff>
      <xdr:row>135</xdr:row>
      <xdr:rowOff>140493</xdr:rowOff>
    </xdr:to>
    <xdr:sp macro="" textlink="">
      <xdr:nvSpPr>
        <xdr:cNvPr id="186" name="Estrela: 5 Pontas 185">
          <a:extLst>
            <a:ext uri="{FF2B5EF4-FFF2-40B4-BE49-F238E27FC236}">
              <a16:creationId xmlns:a16="http://schemas.microsoft.com/office/drawing/2014/main" id="{935E0C67-B0E3-4581-AB2E-C6CD544ADADC}"/>
            </a:ext>
          </a:extLst>
        </xdr:cNvPr>
        <xdr:cNvSpPr/>
      </xdr:nvSpPr>
      <xdr:spPr>
        <a:xfrm>
          <a:off x="12708731" y="27879675"/>
          <a:ext cx="0" cy="14049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58</xdr:row>
      <xdr:rowOff>1</xdr:rowOff>
    </xdr:from>
    <xdr:to>
      <xdr:col>7</xdr:col>
      <xdr:colOff>3194802</xdr:colOff>
      <xdr:row>59</xdr:row>
      <xdr:rowOff>0</xdr:rowOff>
    </xdr:to>
    <xdr:sp macro="" textlink="">
      <xdr:nvSpPr>
        <xdr:cNvPr id="203" name="Estrela: 5 Pontas 202">
          <a:extLst>
            <a:ext uri="{FF2B5EF4-FFF2-40B4-BE49-F238E27FC236}">
              <a16:creationId xmlns:a16="http://schemas.microsoft.com/office/drawing/2014/main" id="{1BCE3A4B-86EA-474A-874D-F95E1CBBAB75}"/>
            </a:ext>
          </a:extLst>
        </xdr:cNvPr>
        <xdr:cNvSpPr/>
      </xdr:nvSpPr>
      <xdr:spPr>
        <a:xfrm>
          <a:off x="12706043" y="6257926"/>
          <a:ext cx="4234" cy="16192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58</xdr:row>
      <xdr:rowOff>153630</xdr:rowOff>
    </xdr:from>
    <xdr:to>
      <xdr:col>8</xdr:col>
      <xdr:colOff>7000</xdr:colOff>
      <xdr:row>59</xdr:row>
      <xdr:rowOff>0</xdr:rowOff>
    </xdr:to>
    <xdr:sp macro="" textlink="">
      <xdr:nvSpPr>
        <xdr:cNvPr id="204" name="Estrela: 5 Pontas 203">
          <a:extLst>
            <a:ext uri="{FF2B5EF4-FFF2-40B4-BE49-F238E27FC236}">
              <a16:creationId xmlns:a16="http://schemas.microsoft.com/office/drawing/2014/main" id="{958A919D-4D61-4B8F-A3CA-2365E7853955}"/>
            </a:ext>
          </a:extLst>
        </xdr:cNvPr>
        <xdr:cNvSpPr/>
      </xdr:nvSpPr>
      <xdr:spPr>
        <a:xfrm>
          <a:off x="12702356" y="6411555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58</xdr:row>
      <xdr:rowOff>1</xdr:rowOff>
    </xdr:from>
    <xdr:to>
      <xdr:col>7</xdr:col>
      <xdr:colOff>3194802</xdr:colOff>
      <xdr:row>59</xdr:row>
      <xdr:rowOff>0</xdr:rowOff>
    </xdr:to>
    <xdr:sp macro="" textlink="">
      <xdr:nvSpPr>
        <xdr:cNvPr id="205" name="Estrela: 5 Pontas 204">
          <a:extLst>
            <a:ext uri="{FF2B5EF4-FFF2-40B4-BE49-F238E27FC236}">
              <a16:creationId xmlns:a16="http://schemas.microsoft.com/office/drawing/2014/main" id="{3F4DABE3-17F4-48FA-8785-98303A5882CB}"/>
            </a:ext>
          </a:extLst>
        </xdr:cNvPr>
        <xdr:cNvSpPr/>
      </xdr:nvSpPr>
      <xdr:spPr>
        <a:xfrm>
          <a:off x="12706043" y="6257926"/>
          <a:ext cx="4234" cy="16192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58</xdr:row>
      <xdr:rowOff>153630</xdr:rowOff>
    </xdr:from>
    <xdr:to>
      <xdr:col>8</xdr:col>
      <xdr:colOff>7000</xdr:colOff>
      <xdr:row>59</xdr:row>
      <xdr:rowOff>0</xdr:rowOff>
    </xdr:to>
    <xdr:sp macro="" textlink="">
      <xdr:nvSpPr>
        <xdr:cNvPr id="206" name="Estrela: 5 Pontas 205">
          <a:extLst>
            <a:ext uri="{FF2B5EF4-FFF2-40B4-BE49-F238E27FC236}">
              <a16:creationId xmlns:a16="http://schemas.microsoft.com/office/drawing/2014/main" id="{19AE9205-75A9-4474-8052-F5AEE496CA88}"/>
            </a:ext>
          </a:extLst>
        </xdr:cNvPr>
        <xdr:cNvSpPr/>
      </xdr:nvSpPr>
      <xdr:spPr>
        <a:xfrm>
          <a:off x="12702356" y="6411555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3057525</xdr:colOff>
      <xdr:row>46</xdr:row>
      <xdr:rowOff>19050</xdr:rowOff>
    </xdr:from>
    <xdr:to>
      <xdr:col>3</xdr:col>
      <xdr:colOff>3181350</xdr:colOff>
      <xdr:row>46</xdr:row>
      <xdr:rowOff>171449</xdr:rowOff>
    </xdr:to>
    <xdr:sp macro="" textlink="">
      <xdr:nvSpPr>
        <xdr:cNvPr id="223" name="Estrela: 5 Pontas 222">
          <a:extLst>
            <a:ext uri="{FF2B5EF4-FFF2-40B4-BE49-F238E27FC236}">
              <a16:creationId xmlns:a16="http://schemas.microsoft.com/office/drawing/2014/main" id="{0F764875-C45B-4FAD-BE08-8C3E8A258A2E}"/>
            </a:ext>
          </a:extLst>
        </xdr:cNvPr>
        <xdr:cNvSpPr/>
      </xdr:nvSpPr>
      <xdr:spPr>
        <a:xfrm>
          <a:off x="5486400" y="7391400"/>
          <a:ext cx="123825" cy="1523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72</xdr:row>
      <xdr:rowOff>1</xdr:rowOff>
    </xdr:from>
    <xdr:to>
      <xdr:col>7</xdr:col>
      <xdr:colOff>3194802</xdr:colOff>
      <xdr:row>73</xdr:row>
      <xdr:rowOff>0</xdr:rowOff>
    </xdr:to>
    <xdr:sp macro="" textlink="">
      <xdr:nvSpPr>
        <xdr:cNvPr id="249" name="Estrela: 5 Pontas 248">
          <a:extLst>
            <a:ext uri="{FF2B5EF4-FFF2-40B4-BE49-F238E27FC236}">
              <a16:creationId xmlns:a16="http://schemas.microsoft.com/office/drawing/2014/main" id="{DE86C221-2A7F-4151-995F-B9D0D74610B9}"/>
            </a:ext>
          </a:extLst>
        </xdr:cNvPr>
        <xdr:cNvSpPr/>
      </xdr:nvSpPr>
      <xdr:spPr>
        <a:xfrm>
          <a:off x="12706043" y="11010901"/>
          <a:ext cx="4234" cy="16192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72</xdr:row>
      <xdr:rowOff>153630</xdr:rowOff>
    </xdr:from>
    <xdr:to>
      <xdr:col>8</xdr:col>
      <xdr:colOff>7000</xdr:colOff>
      <xdr:row>73</xdr:row>
      <xdr:rowOff>0</xdr:rowOff>
    </xdr:to>
    <xdr:sp macro="" textlink="">
      <xdr:nvSpPr>
        <xdr:cNvPr id="250" name="Estrela: 5 Pontas 249">
          <a:extLst>
            <a:ext uri="{FF2B5EF4-FFF2-40B4-BE49-F238E27FC236}">
              <a16:creationId xmlns:a16="http://schemas.microsoft.com/office/drawing/2014/main" id="{5C52FA4C-6605-43BE-A43A-9673A80C030B}"/>
            </a:ext>
          </a:extLst>
        </xdr:cNvPr>
        <xdr:cNvSpPr/>
      </xdr:nvSpPr>
      <xdr:spPr>
        <a:xfrm>
          <a:off x="12702356" y="11164530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2524125</xdr:colOff>
      <xdr:row>1</xdr:row>
      <xdr:rowOff>171450</xdr:rowOff>
    </xdr:from>
    <xdr:to>
      <xdr:col>3</xdr:col>
      <xdr:colOff>2654028</xdr:colOff>
      <xdr:row>2</xdr:row>
      <xdr:rowOff>0</xdr:rowOff>
    </xdr:to>
    <xdr:sp macro="" textlink="">
      <xdr:nvSpPr>
        <xdr:cNvPr id="17" name="Estrela: 5 Pontas 16">
          <a:extLst>
            <a:ext uri="{FF2B5EF4-FFF2-40B4-BE49-F238E27FC236}">
              <a16:creationId xmlns:a16="http://schemas.microsoft.com/office/drawing/2014/main" id="{5B1D85BC-EA20-4FF1-9031-681856639215}"/>
            </a:ext>
          </a:extLst>
        </xdr:cNvPr>
        <xdr:cNvSpPr/>
      </xdr:nvSpPr>
      <xdr:spPr>
        <a:xfrm>
          <a:off x="4953000" y="11239500"/>
          <a:ext cx="12990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17</xdr:row>
      <xdr:rowOff>28575</xdr:rowOff>
    </xdr:from>
    <xdr:to>
      <xdr:col>3</xdr:col>
      <xdr:colOff>3238500</xdr:colOff>
      <xdr:row>17</xdr:row>
      <xdr:rowOff>180974</xdr:rowOff>
    </xdr:to>
    <xdr:sp macro="" textlink="">
      <xdr:nvSpPr>
        <xdr:cNvPr id="183" name="Estrela: 5 Pontas 182">
          <a:extLst>
            <a:ext uri="{FF2B5EF4-FFF2-40B4-BE49-F238E27FC236}">
              <a16:creationId xmlns:a16="http://schemas.microsoft.com/office/drawing/2014/main" id="{5587116C-CD72-4389-98CF-4B934871CF79}"/>
            </a:ext>
          </a:extLst>
        </xdr:cNvPr>
        <xdr:cNvSpPr/>
      </xdr:nvSpPr>
      <xdr:spPr>
        <a:xfrm>
          <a:off x="5543550" y="3238500"/>
          <a:ext cx="123825" cy="1523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19</xdr:row>
      <xdr:rowOff>1</xdr:rowOff>
    </xdr:from>
    <xdr:to>
      <xdr:col>7</xdr:col>
      <xdr:colOff>3194802</xdr:colOff>
      <xdr:row>20</xdr:row>
      <xdr:rowOff>0</xdr:rowOff>
    </xdr:to>
    <xdr:sp macro="" textlink="">
      <xdr:nvSpPr>
        <xdr:cNvPr id="240" name="Estrela: 5 Pontas 239">
          <a:extLst>
            <a:ext uri="{FF2B5EF4-FFF2-40B4-BE49-F238E27FC236}">
              <a16:creationId xmlns:a16="http://schemas.microsoft.com/office/drawing/2014/main" id="{68AE9FD9-D42A-4009-9DD3-25A621B42300}"/>
            </a:ext>
          </a:extLst>
        </xdr:cNvPr>
        <xdr:cNvSpPr/>
      </xdr:nvSpPr>
      <xdr:spPr>
        <a:xfrm>
          <a:off x="12706043" y="3429001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19</xdr:row>
      <xdr:rowOff>153630</xdr:rowOff>
    </xdr:from>
    <xdr:to>
      <xdr:col>8</xdr:col>
      <xdr:colOff>7000</xdr:colOff>
      <xdr:row>20</xdr:row>
      <xdr:rowOff>0</xdr:rowOff>
    </xdr:to>
    <xdr:sp macro="" textlink="">
      <xdr:nvSpPr>
        <xdr:cNvPr id="242" name="Estrela: 5 Pontas 241">
          <a:extLst>
            <a:ext uri="{FF2B5EF4-FFF2-40B4-BE49-F238E27FC236}">
              <a16:creationId xmlns:a16="http://schemas.microsoft.com/office/drawing/2014/main" id="{B7A6F35C-6DCB-4177-80F5-72DEA0A9E90E}"/>
            </a:ext>
          </a:extLst>
        </xdr:cNvPr>
        <xdr:cNvSpPr/>
      </xdr:nvSpPr>
      <xdr:spPr>
        <a:xfrm>
          <a:off x="12702356" y="3582630"/>
          <a:ext cx="10994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3</xdr:row>
      <xdr:rowOff>0</xdr:rowOff>
    </xdr:from>
    <xdr:to>
      <xdr:col>3</xdr:col>
      <xdr:colOff>3196953</xdr:colOff>
      <xdr:row>3</xdr:row>
      <xdr:rowOff>188454</xdr:rowOff>
    </xdr:to>
    <xdr:sp macro="" textlink="">
      <xdr:nvSpPr>
        <xdr:cNvPr id="246" name="Estrela: 5 Pontas 245">
          <a:extLst>
            <a:ext uri="{FF2B5EF4-FFF2-40B4-BE49-F238E27FC236}">
              <a16:creationId xmlns:a16="http://schemas.microsoft.com/office/drawing/2014/main" id="{0EDCDA03-AD0E-4897-BD6E-3315479E5418}"/>
            </a:ext>
          </a:extLst>
        </xdr:cNvPr>
        <xdr:cNvSpPr/>
      </xdr:nvSpPr>
      <xdr:spPr>
        <a:xfrm>
          <a:off x="5495925" y="90487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11</xdr:row>
      <xdr:rowOff>9525</xdr:rowOff>
    </xdr:from>
    <xdr:to>
      <xdr:col>3</xdr:col>
      <xdr:colOff>3196953</xdr:colOff>
      <xdr:row>12</xdr:row>
      <xdr:rowOff>28575</xdr:rowOff>
    </xdr:to>
    <xdr:sp macro="" textlink="">
      <xdr:nvSpPr>
        <xdr:cNvPr id="257" name="Estrela: 5 Pontas 256">
          <a:extLst>
            <a:ext uri="{FF2B5EF4-FFF2-40B4-BE49-F238E27FC236}">
              <a16:creationId xmlns:a16="http://schemas.microsoft.com/office/drawing/2014/main" id="{7FA970B9-5D85-47C0-BA0D-3A7C4BC0D48A}"/>
            </a:ext>
          </a:extLst>
        </xdr:cNvPr>
        <xdr:cNvSpPr/>
      </xdr:nvSpPr>
      <xdr:spPr>
        <a:xfrm>
          <a:off x="5495925" y="3819525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2400300</xdr:colOff>
      <xdr:row>200</xdr:row>
      <xdr:rowOff>171450</xdr:rowOff>
    </xdr:from>
    <xdr:to>
      <xdr:col>2</xdr:col>
      <xdr:colOff>2657475</xdr:colOff>
      <xdr:row>200</xdr:row>
      <xdr:rowOff>180975</xdr:rowOff>
    </xdr:to>
    <xdr:sp macro="" textlink="">
      <xdr:nvSpPr>
        <xdr:cNvPr id="262" name="Estrela: 5 Pontas 261">
          <a:extLst>
            <a:ext uri="{FF2B5EF4-FFF2-40B4-BE49-F238E27FC236}">
              <a16:creationId xmlns:a16="http://schemas.microsoft.com/office/drawing/2014/main" id="{A8924D74-76D9-4E27-9929-27DF0F54E8DF}"/>
            </a:ext>
          </a:extLst>
        </xdr:cNvPr>
        <xdr:cNvSpPr/>
      </xdr:nvSpPr>
      <xdr:spPr>
        <a:xfrm>
          <a:off x="2428875" y="28108275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3012281</xdr:colOff>
      <xdr:row>9</xdr:row>
      <xdr:rowOff>0</xdr:rowOff>
    </xdr:from>
    <xdr:to>
      <xdr:col>3</xdr:col>
      <xdr:colOff>3142184</xdr:colOff>
      <xdr:row>9</xdr:row>
      <xdr:rowOff>188454</xdr:rowOff>
    </xdr:to>
    <xdr:sp macro="" textlink="">
      <xdr:nvSpPr>
        <xdr:cNvPr id="201" name="Estrela: 5 Pontas 200">
          <a:extLst>
            <a:ext uri="{FF2B5EF4-FFF2-40B4-BE49-F238E27FC236}">
              <a16:creationId xmlns:a16="http://schemas.microsoft.com/office/drawing/2014/main" id="{0B6E0DEB-12E6-449F-A466-28FF85DF3343}"/>
            </a:ext>
          </a:extLst>
        </xdr:cNvPr>
        <xdr:cNvSpPr/>
      </xdr:nvSpPr>
      <xdr:spPr>
        <a:xfrm>
          <a:off x="5441156" y="8486775"/>
          <a:ext cx="129903" cy="18845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9</xdr:row>
      <xdr:rowOff>1</xdr:rowOff>
    </xdr:from>
    <xdr:to>
      <xdr:col>7</xdr:col>
      <xdr:colOff>3194802</xdr:colOff>
      <xdr:row>10</xdr:row>
      <xdr:rowOff>7682</xdr:rowOff>
    </xdr:to>
    <xdr:sp macro="" textlink="">
      <xdr:nvSpPr>
        <xdr:cNvPr id="202" name="Estrela: 5 Pontas 201">
          <a:extLst>
            <a:ext uri="{FF2B5EF4-FFF2-40B4-BE49-F238E27FC236}">
              <a16:creationId xmlns:a16="http://schemas.microsoft.com/office/drawing/2014/main" id="{6F3DABBE-5581-45C7-9DBC-B0432B75F3F3}"/>
            </a:ext>
          </a:extLst>
        </xdr:cNvPr>
        <xdr:cNvSpPr/>
      </xdr:nvSpPr>
      <xdr:spPr>
        <a:xfrm>
          <a:off x="12706043" y="5715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9</xdr:row>
      <xdr:rowOff>153630</xdr:rowOff>
    </xdr:from>
    <xdr:to>
      <xdr:col>8</xdr:col>
      <xdr:colOff>7000</xdr:colOff>
      <xdr:row>10</xdr:row>
      <xdr:rowOff>183843</xdr:rowOff>
    </xdr:to>
    <xdr:sp macro="" textlink="">
      <xdr:nvSpPr>
        <xdr:cNvPr id="211" name="Estrela: 5 Pontas 210">
          <a:extLst>
            <a:ext uri="{FF2B5EF4-FFF2-40B4-BE49-F238E27FC236}">
              <a16:creationId xmlns:a16="http://schemas.microsoft.com/office/drawing/2014/main" id="{39DD5DF0-BBDC-4AE6-860F-331BAFB25F27}"/>
            </a:ext>
          </a:extLst>
        </xdr:cNvPr>
        <xdr:cNvSpPr/>
      </xdr:nvSpPr>
      <xdr:spPr>
        <a:xfrm>
          <a:off x="12702356" y="7251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60</xdr:row>
      <xdr:rowOff>153630</xdr:rowOff>
    </xdr:from>
    <xdr:to>
      <xdr:col>8</xdr:col>
      <xdr:colOff>7000</xdr:colOff>
      <xdr:row>61</xdr:row>
      <xdr:rowOff>0</xdr:rowOff>
    </xdr:to>
    <xdr:sp macro="" textlink="">
      <xdr:nvSpPr>
        <xdr:cNvPr id="269" name="Estrela: 5 Pontas 268">
          <a:extLst>
            <a:ext uri="{FF2B5EF4-FFF2-40B4-BE49-F238E27FC236}">
              <a16:creationId xmlns:a16="http://schemas.microsoft.com/office/drawing/2014/main" id="{679B3346-AA8C-4900-B1C5-889184D57CBF}"/>
            </a:ext>
          </a:extLst>
        </xdr:cNvPr>
        <xdr:cNvSpPr/>
      </xdr:nvSpPr>
      <xdr:spPr>
        <a:xfrm>
          <a:off x="13292906" y="5487630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60</xdr:row>
      <xdr:rowOff>153630</xdr:rowOff>
    </xdr:from>
    <xdr:to>
      <xdr:col>8</xdr:col>
      <xdr:colOff>7000</xdr:colOff>
      <xdr:row>61</xdr:row>
      <xdr:rowOff>0</xdr:rowOff>
    </xdr:to>
    <xdr:sp macro="" textlink="">
      <xdr:nvSpPr>
        <xdr:cNvPr id="271" name="Estrela: 5 Pontas 270">
          <a:extLst>
            <a:ext uri="{FF2B5EF4-FFF2-40B4-BE49-F238E27FC236}">
              <a16:creationId xmlns:a16="http://schemas.microsoft.com/office/drawing/2014/main" id="{FC077497-AC1F-4F9A-8170-6EFBDBDEFC67}"/>
            </a:ext>
          </a:extLst>
        </xdr:cNvPr>
        <xdr:cNvSpPr/>
      </xdr:nvSpPr>
      <xdr:spPr>
        <a:xfrm>
          <a:off x="13292906" y="5487630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3105638</xdr:colOff>
      <xdr:row>52</xdr:row>
      <xdr:rowOff>162753</xdr:rowOff>
    </xdr:from>
    <xdr:to>
      <xdr:col>3</xdr:col>
      <xdr:colOff>3235541</xdr:colOff>
      <xdr:row>54</xdr:row>
      <xdr:rowOff>0</xdr:rowOff>
    </xdr:to>
    <xdr:sp macro="" textlink="">
      <xdr:nvSpPr>
        <xdr:cNvPr id="277" name="Estrela: 5 Pontas 276">
          <a:extLst>
            <a:ext uri="{FF2B5EF4-FFF2-40B4-BE49-F238E27FC236}">
              <a16:creationId xmlns:a16="http://schemas.microsoft.com/office/drawing/2014/main" id="{BE06A6E2-6667-4FE5-8000-D37E0FF1365C}"/>
            </a:ext>
          </a:extLst>
        </xdr:cNvPr>
        <xdr:cNvSpPr/>
      </xdr:nvSpPr>
      <xdr:spPr>
        <a:xfrm>
          <a:off x="5526109" y="9631724"/>
          <a:ext cx="129903" cy="218247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2400300</xdr:colOff>
      <xdr:row>126</xdr:row>
      <xdr:rowOff>171450</xdr:rowOff>
    </xdr:from>
    <xdr:to>
      <xdr:col>2</xdr:col>
      <xdr:colOff>2657475</xdr:colOff>
      <xdr:row>126</xdr:row>
      <xdr:rowOff>180975</xdr:rowOff>
    </xdr:to>
    <xdr:sp macro="" textlink="">
      <xdr:nvSpPr>
        <xdr:cNvPr id="281" name="Estrela: 5 Pontas 280">
          <a:extLst>
            <a:ext uri="{FF2B5EF4-FFF2-40B4-BE49-F238E27FC236}">
              <a16:creationId xmlns:a16="http://schemas.microsoft.com/office/drawing/2014/main" id="{BA355A0A-DA87-481E-AEFC-15908E363CC8}"/>
            </a:ext>
          </a:extLst>
        </xdr:cNvPr>
        <xdr:cNvSpPr/>
      </xdr:nvSpPr>
      <xdr:spPr>
        <a:xfrm>
          <a:off x="2428875" y="26146125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20</xdr:row>
      <xdr:rowOff>171450</xdr:rowOff>
    </xdr:from>
    <xdr:to>
      <xdr:col>3</xdr:col>
      <xdr:colOff>3244578</xdr:colOff>
      <xdr:row>21</xdr:row>
      <xdr:rowOff>169404</xdr:rowOff>
    </xdr:to>
    <xdr:sp macro="" textlink="">
      <xdr:nvSpPr>
        <xdr:cNvPr id="153" name="Estrela: 5 Pontas 152">
          <a:extLst>
            <a:ext uri="{FF2B5EF4-FFF2-40B4-BE49-F238E27FC236}">
              <a16:creationId xmlns:a16="http://schemas.microsoft.com/office/drawing/2014/main" id="{A607E66D-8799-4213-8C8A-201549361255}"/>
            </a:ext>
          </a:extLst>
        </xdr:cNvPr>
        <xdr:cNvSpPr/>
      </xdr:nvSpPr>
      <xdr:spPr>
        <a:xfrm>
          <a:off x="5543550" y="3600450"/>
          <a:ext cx="129903" cy="18845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22</xdr:row>
      <xdr:rowOff>180975</xdr:rowOff>
    </xdr:from>
    <xdr:to>
      <xdr:col>3</xdr:col>
      <xdr:colOff>3273153</xdr:colOff>
      <xdr:row>23</xdr:row>
      <xdr:rowOff>178929</xdr:rowOff>
    </xdr:to>
    <xdr:sp macro="" textlink="">
      <xdr:nvSpPr>
        <xdr:cNvPr id="154" name="Estrela: 5 Pontas 153">
          <a:extLst>
            <a:ext uri="{FF2B5EF4-FFF2-40B4-BE49-F238E27FC236}">
              <a16:creationId xmlns:a16="http://schemas.microsoft.com/office/drawing/2014/main" id="{A59570CA-9BB2-4D03-A231-7D02F8E01996}"/>
            </a:ext>
          </a:extLst>
        </xdr:cNvPr>
        <xdr:cNvSpPr/>
      </xdr:nvSpPr>
      <xdr:spPr>
        <a:xfrm>
          <a:off x="5572125" y="3990975"/>
          <a:ext cx="129903" cy="18845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17</xdr:row>
      <xdr:rowOff>171450</xdr:rowOff>
    </xdr:from>
    <xdr:to>
      <xdr:col>3</xdr:col>
      <xdr:colOff>3244578</xdr:colOff>
      <xdr:row>19</xdr:row>
      <xdr:rowOff>0</xdr:rowOff>
    </xdr:to>
    <xdr:sp macro="" textlink="">
      <xdr:nvSpPr>
        <xdr:cNvPr id="3" name="Estrela: 5 Pontas 2">
          <a:extLst>
            <a:ext uri="{FF2B5EF4-FFF2-40B4-BE49-F238E27FC236}">
              <a16:creationId xmlns:a16="http://schemas.microsoft.com/office/drawing/2014/main" id="{3DDC0DB5-1274-4A74-A004-A0A1677A4125}"/>
            </a:ext>
          </a:extLst>
        </xdr:cNvPr>
        <xdr:cNvSpPr/>
      </xdr:nvSpPr>
      <xdr:spPr>
        <a:xfrm>
          <a:off x="5543550" y="3028950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2990850</xdr:colOff>
      <xdr:row>146</xdr:row>
      <xdr:rowOff>142875</xdr:rowOff>
    </xdr:from>
    <xdr:to>
      <xdr:col>3</xdr:col>
      <xdr:colOff>3120753</xdr:colOff>
      <xdr:row>147</xdr:row>
      <xdr:rowOff>142875</xdr:rowOff>
    </xdr:to>
    <xdr:sp macro="" textlink="">
      <xdr:nvSpPr>
        <xdr:cNvPr id="146" name="Estrela: 5 Pontas 145">
          <a:extLst>
            <a:ext uri="{FF2B5EF4-FFF2-40B4-BE49-F238E27FC236}">
              <a16:creationId xmlns:a16="http://schemas.microsoft.com/office/drawing/2014/main" id="{B8838707-B165-4D47-8379-80014B3E2F6F}"/>
            </a:ext>
          </a:extLst>
        </xdr:cNvPr>
        <xdr:cNvSpPr/>
      </xdr:nvSpPr>
      <xdr:spPr>
        <a:xfrm>
          <a:off x="5419725" y="5829300"/>
          <a:ext cx="12990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45</xdr:row>
      <xdr:rowOff>1</xdr:rowOff>
    </xdr:from>
    <xdr:to>
      <xdr:col>7</xdr:col>
      <xdr:colOff>3194802</xdr:colOff>
      <xdr:row>46</xdr:row>
      <xdr:rowOff>0</xdr:rowOff>
    </xdr:to>
    <xdr:sp macro="" textlink="">
      <xdr:nvSpPr>
        <xdr:cNvPr id="160" name="Estrela: 5 Pontas 159">
          <a:extLst>
            <a:ext uri="{FF2B5EF4-FFF2-40B4-BE49-F238E27FC236}">
              <a16:creationId xmlns:a16="http://schemas.microsoft.com/office/drawing/2014/main" id="{34FF7F44-66A3-4BE6-A165-9BCC88464DE3}"/>
            </a:ext>
          </a:extLst>
        </xdr:cNvPr>
        <xdr:cNvSpPr/>
      </xdr:nvSpPr>
      <xdr:spPr>
        <a:xfrm>
          <a:off x="13296593" y="9705976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45</xdr:row>
      <xdr:rowOff>153630</xdr:rowOff>
    </xdr:from>
    <xdr:to>
      <xdr:col>8</xdr:col>
      <xdr:colOff>7000</xdr:colOff>
      <xdr:row>46</xdr:row>
      <xdr:rowOff>0</xdr:rowOff>
    </xdr:to>
    <xdr:sp macro="" textlink="">
      <xdr:nvSpPr>
        <xdr:cNvPr id="161" name="Estrela: 5 Pontas 160">
          <a:extLst>
            <a:ext uri="{FF2B5EF4-FFF2-40B4-BE49-F238E27FC236}">
              <a16:creationId xmlns:a16="http://schemas.microsoft.com/office/drawing/2014/main" id="{91EC728C-8393-49BC-8685-FF28DC433F9D}"/>
            </a:ext>
          </a:extLst>
        </xdr:cNvPr>
        <xdr:cNvSpPr/>
      </xdr:nvSpPr>
      <xdr:spPr>
        <a:xfrm>
          <a:off x="13292906" y="9859605"/>
          <a:ext cx="10994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25</xdr:row>
      <xdr:rowOff>133350</xdr:rowOff>
    </xdr:from>
    <xdr:to>
      <xdr:col>3</xdr:col>
      <xdr:colOff>3225528</xdr:colOff>
      <xdr:row>26</xdr:row>
      <xdr:rowOff>161925</xdr:rowOff>
    </xdr:to>
    <xdr:sp macro="" textlink="">
      <xdr:nvSpPr>
        <xdr:cNvPr id="162" name="Estrela: 5 Pontas 161">
          <a:extLst>
            <a:ext uri="{FF2B5EF4-FFF2-40B4-BE49-F238E27FC236}">
              <a16:creationId xmlns:a16="http://schemas.microsoft.com/office/drawing/2014/main" id="{B96B3287-8D71-4C70-BD9E-4B4E9866EF90}"/>
            </a:ext>
          </a:extLst>
        </xdr:cNvPr>
        <xdr:cNvSpPr/>
      </xdr:nvSpPr>
      <xdr:spPr>
        <a:xfrm>
          <a:off x="5524500" y="9677400"/>
          <a:ext cx="12990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55</xdr:row>
      <xdr:rowOff>1</xdr:rowOff>
    </xdr:from>
    <xdr:to>
      <xdr:col>7</xdr:col>
      <xdr:colOff>3194802</xdr:colOff>
      <xdr:row>56</xdr:row>
      <xdr:rowOff>0</xdr:rowOff>
    </xdr:to>
    <xdr:sp macro="" textlink="">
      <xdr:nvSpPr>
        <xdr:cNvPr id="164" name="Estrela: 5 Pontas 163">
          <a:extLst>
            <a:ext uri="{FF2B5EF4-FFF2-40B4-BE49-F238E27FC236}">
              <a16:creationId xmlns:a16="http://schemas.microsoft.com/office/drawing/2014/main" id="{AB2FE8DF-B173-4067-A5F0-A99A3B6F2159}"/>
            </a:ext>
          </a:extLst>
        </xdr:cNvPr>
        <xdr:cNvSpPr/>
      </xdr:nvSpPr>
      <xdr:spPr>
        <a:xfrm>
          <a:off x="13296593" y="6800851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55</xdr:row>
      <xdr:rowOff>153630</xdr:rowOff>
    </xdr:from>
    <xdr:to>
      <xdr:col>8</xdr:col>
      <xdr:colOff>7000</xdr:colOff>
      <xdr:row>56</xdr:row>
      <xdr:rowOff>0</xdr:rowOff>
    </xdr:to>
    <xdr:sp macro="" textlink="">
      <xdr:nvSpPr>
        <xdr:cNvPr id="166" name="Estrela: 5 Pontas 165">
          <a:extLst>
            <a:ext uri="{FF2B5EF4-FFF2-40B4-BE49-F238E27FC236}">
              <a16:creationId xmlns:a16="http://schemas.microsoft.com/office/drawing/2014/main" id="{997721FE-F35E-41BC-A977-7FFCFD9CF7FF}"/>
            </a:ext>
          </a:extLst>
        </xdr:cNvPr>
        <xdr:cNvSpPr/>
      </xdr:nvSpPr>
      <xdr:spPr>
        <a:xfrm>
          <a:off x="13292906" y="6954480"/>
          <a:ext cx="10994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55</xdr:row>
      <xdr:rowOff>142875</xdr:rowOff>
    </xdr:from>
    <xdr:to>
      <xdr:col>7</xdr:col>
      <xdr:colOff>3106465</xdr:colOff>
      <xdr:row>56</xdr:row>
      <xdr:rowOff>0</xdr:rowOff>
    </xdr:to>
    <xdr:sp macro="" textlink="">
      <xdr:nvSpPr>
        <xdr:cNvPr id="167" name="Estrela: 5 Pontas 166">
          <a:extLst>
            <a:ext uri="{FF2B5EF4-FFF2-40B4-BE49-F238E27FC236}">
              <a16:creationId xmlns:a16="http://schemas.microsoft.com/office/drawing/2014/main" id="{3B88A101-671D-41E4-9E33-D9A2B80FF1F3}"/>
            </a:ext>
          </a:extLst>
        </xdr:cNvPr>
        <xdr:cNvSpPr/>
      </xdr:nvSpPr>
      <xdr:spPr>
        <a:xfrm>
          <a:off x="13301662" y="6943725"/>
          <a:ext cx="0" cy="476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3063737</xdr:colOff>
      <xdr:row>55</xdr:row>
      <xdr:rowOff>0</xdr:rowOff>
    </xdr:from>
    <xdr:to>
      <xdr:col>3</xdr:col>
      <xdr:colOff>3193640</xdr:colOff>
      <xdr:row>56</xdr:row>
      <xdr:rowOff>21974</xdr:rowOff>
    </xdr:to>
    <xdr:sp macro="" textlink="">
      <xdr:nvSpPr>
        <xdr:cNvPr id="168" name="Estrela: 5 Pontas 167">
          <a:extLst>
            <a:ext uri="{FF2B5EF4-FFF2-40B4-BE49-F238E27FC236}">
              <a16:creationId xmlns:a16="http://schemas.microsoft.com/office/drawing/2014/main" id="{C1E55B31-2BBF-4847-850F-D9EA96DDFE3C}"/>
            </a:ext>
          </a:extLst>
        </xdr:cNvPr>
        <xdr:cNvSpPr/>
      </xdr:nvSpPr>
      <xdr:spPr>
        <a:xfrm>
          <a:off x="5498824" y="5857047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3080303</xdr:colOff>
      <xdr:row>57</xdr:row>
      <xdr:rowOff>150330</xdr:rowOff>
    </xdr:from>
    <xdr:to>
      <xdr:col>3</xdr:col>
      <xdr:colOff>3210206</xdr:colOff>
      <xdr:row>58</xdr:row>
      <xdr:rowOff>178905</xdr:rowOff>
    </xdr:to>
    <xdr:sp macro="" textlink="">
      <xdr:nvSpPr>
        <xdr:cNvPr id="169" name="Estrela: 5 Pontas 168">
          <a:extLst>
            <a:ext uri="{FF2B5EF4-FFF2-40B4-BE49-F238E27FC236}">
              <a16:creationId xmlns:a16="http://schemas.microsoft.com/office/drawing/2014/main" id="{E6EFAE41-5356-4D9C-ACB9-BEDEB2A25488}"/>
            </a:ext>
          </a:extLst>
        </xdr:cNvPr>
        <xdr:cNvSpPr/>
      </xdr:nvSpPr>
      <xdr:spPr>
        <a:xfrm>
          <a:off x="5515390" y="5459482"/>
          <a:ext cx="129903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30</xdr:row>
      <xdr:rowOff>1</xdr:rowOff>
    </xdr:from>
    <xdr:to>
      <xdr:col>7</xdr:col>
      <xdr:colOff>3194802</xdr:colOff>
      <xdr:row>31</xdr:row>
      <xdr:rowOff>0</xdr:rowOff>
    </xdr:to>
    <xdr:sp macro="" textlink="">
      <xdr:nvSpPr>
        <xdr:cNvPr id="174" name="Estrela: 5 Pontas 173">
          <a:extLst>
            <a:ext uri="{FF2B5EF4-FFF2-40B4-BE49-F238E27FC236}">
              <a16:creationId xmlns:a16="http://schemas.microsoft.com/office/drawing/2014/main" id="{B2ED7306-48B9-448F-9093-58219D0E438B}"/>
            </a:ext>
          </a:extLst>
        </xdr:cNvPr>
        <xdr:cNvSpPr/>
      </xdr:nvSpPr>
      <xdr:spPr>
        <a:xfrm>
          <a:off x="13296593" y="5334001"/>
          <a:ext cx="4234" cy="16192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30</xdr:row>
      <xdr:rowOff>153630</xdr:rowOff>
    </xdr:from>
    <xdr:to>
      <xdr:col>8</xdr:col>
      <xdr:colOff>7000</xdr:colOff>
      <xdr:row>31</xdr:row>
      <xdr:rowOff>0</xdr:rowOff>
    </xdr:to>
    <xdr:sp macro="" textlink="">
      <xdr:nvSpPr>
        <xdr:cNvPr id="175" name="Estrela: 5 Pontas 174">
          <a:extLst>
            <a:ext uri="{FF2B5EF4-FFF2-40B4-BE49-F238E27FC236}">
              <a16:creationId xmlns:a16="http://schemas.microsoft.com/office/drawing/2014/main" id="{9ACA0927-B84B-4EC4-AC21-DE8D4998C43B}"/>
            </a:ext>
          </a:extLst>
        </xdr:cNvPr>
        <xdr:cNvSpPr/>
      </xdr:nvSpPr>
      <xdr:spPr>
        <a:xfrm>
          <a:off x="13292906" y="5487630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30</xdr:row>
      <xdr:rowOff>1</xdr:rowOff>
    </xdr:from>
    <xdr:to>
      <xdr:col>7</xdr:col>
      <xdr:colOff>3194802</xdr:colOff>
      <xdr:row>31</xdr:row>
      <xdr:rowOff>0</xdr:rowOff>
    </xdr:to>
    <xdr:sp macro="" textlink="">
      <xdr:nvSpPr>
        <xdr:cNvPr id="178" name="Estrela: 5 Pontas 177">
          <a:extLst>
            <a:ext uri="{FF2B5EF4-FFF2-40B4-BE49-F238E27FC236}">
              <a16:creationId xmlns:a16="http://schemas.microsoft.com/office/drawing/2014/main" id="{333AE3CB-1448-42E4-81F1-B66112B6EDD1}"/>
            </a:ext>
          </a:extLst>
        </xdr:cNvPr>
        <xdr:cNvSpPr/>
      </xdr:nvSpPr>
      <xdr:spPr>
        <a:xfrm>
          <a:off x="13296593" y="5334001"/>
          <a:ext cx="4234" cy="16192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30</xdr:row>
      <xdr:rowOff>153630</xdr:rowOff>
    </xdr:from>
    <xdr:to>
      <xdr:col>8</xdr:col>
      <xdr:colOff>7000</xdr:colOff>
      <xdr:row>31</xdr:row>
      <xdr:rowOff>0</xdr:rowOff>
    </xdr:to>
    <xdr:sp macro="" textlink="">
      <xdr:nvSpPr>
        <xdr:cNvPr id="182" name="Estrela: 5 Pontas 181">
          <a:extLst>
            <a:ext uri="{FF2B5EF4-FFF2-40B4-BE49-F238E27FC236}">
              <a16:creationId xmlns:a16="http://schemas.microsoft.com/office/drawing/2014/main" id="{637A74D7-884E-45C4-92B5-54A5AFBC53A6}"/>
            </a:ext>
          </a:extLst>
        </xdr:cNvPr>
        <xdr:cNvSpPr/>
      </xdr:nvSpPr>
      <xdr:spPr>
        <a:xfrm>
          <a:off x="13292906" y="5487630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3082581</xdr:colOff>
      <xdr:row>42</xdr:row>
      <xdr:rowOff>0</xdr:rowOff>
    </xdr:from>
    <xdr:to>
      <xdr:col>3</xdr:col>
      <xdr:colOff>3212484</xdr:colOff>
      <xdr:row>43</xdr:row>
      <xdr:rowOff>12346</xdr:rowOff>
    </xdr:to>
    <xdr:sp macro="" textlink="">
      <xdr:nvSpPr>
        <xdr:cNvPr id="197" name="Estrela: 5 Pontas 196">
          <a:extLst>
            <a:ext uri="{FF2B5EF4-FFF2-40B4-BE49-F238E27FC236}">
              <a16:creationId xmlns:a16="http://schemas.microsoft.com/office/drawing/2014/main" id="{35A6D5DC-09B9-43C7-BF52-87114C06E9EF}"/>
            </a:ext>
          </a:extLst>
        </xdr:cNvPr>
        <xdr:cNvSpPr/>
      </xdr:nvSpPr>
      <xdr:spPr>
        <a:xfrm>
          <a:off x="5517668" y="6410739"/>
          <a:ext cx="129903" cy="21941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42</xdr:row>
      <xdr:rowOff>0</xdr:rowOff>
    </xdr:from>
    <xdr:to>
      <xdr:col>7</xdr:col>
      <xdr:colOff>3194802</xdr:colOff>
      <xdr:row>42</xdr:row>
      <xdr:rowOff>7682</xdr:rowOff>
    </xdr:to>
    <xdr:sp macro="" textlink="">
      <xdr:nvSpPr>
        <xdr:cNvPr id="198" name="Estrela: 5 Pontas 197">
          <a:extLst>
            <a:ext uri="{FF2B5EF4-FFF2-40B4-BE49-F238E27FC236}">
              <a16:creationId xmlns:a16="http://schemas.microsoft.com/office/drawing/2014/main" id="{A021FDA8-9A9B-41D0-982E-41FBBF14B4AA}"/>
            </a:ext>
          </a:extLst>
        </xdr:cNvPr>
        <xdr:cNvSpPr/>
      </xdr:nvSpPr>
      <xdr:spPr>
        <a:xfrm>
          <a:off x="13296593" y="6038850"/>
          <a:ext cx="4234" cy="7682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42</xdr:row>
      <xdr:rowOff>0</xdr:rowOff>
    </xdr:from>
    <xdr:to>
      <xdr:col>8</xdr:col>
      <xdr:colOff>7000</xdr:colOff>
      <xdr:row>42</xdr:row>
      <xdr:rowOff>183843</xdr:rowOff>
    </xdr:to>
    <xdr:sp macro="" textlink="">
      <xdr:nvSpPr>
        <xdr:cNvPr id="199" name="Estrela: 5 Pontas 198">
          <a:extLst>
            <a:ext uri="{FF2B5EF4-FFF2-40B4-BE49-F238E27FC236}">
              <a16:creationId xmlns:a16="http://schemas.microsoft.com/office/drawing/2014/main" id="{602E08B1-A1C3-44C6-AFCA-675CD887783D}"/>
            </a:ext>
          </a:extLst>
        </xdr:cNvPr>
        <xdr:cNvSpPr/>
      </xdr:nvSpPr>
      <xdr:spPr>
        <a:xfrm>
          <a:off x="13292906" y="6038850"/>
          <a:ext cx="10994" cy="18384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44</xdr:row>
      <xdr:rowOff>0</xdr:rowOff>
    </xdr:from>
    <xdr:to>
      <xdr:col>7</xdr:col>
      <xdr:colOff>3194802</xdr:colOff>
      <xdr:row>44</xdr:row>
      <xdr:rowOff>7682</xdr:rowOff>
    </xdr:to>
    <xdr:sp macro="" textlink="">
      <xdr:nvSpPr>
        <xdr:cNvPr id="200" name="Estrela: 5 Pontas 199">
          <a:extLst>
            <a:ext uri="{FF2B5EF4-FFF2-40B4-BE49-F238E27FC236}">
              <a16:creationId xmlns:a16="http://schemas.microsoft.com/office/drawing/2014/main" id="{5B254513-3AEB-483E-A2B3-1EFAAB858938}"/>
            </a:ext>
          </a:extLst>
        </xdr:cNvPr>
        <xdr:cNvSpPr/>
      </xdr:nvSpPr>
      <xdr:spPr>
        <a:xfrm>
          <a:off x="13296593" y="6419850"/>
          <a:ext cx="4234" cy="7682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44</xdr:row>
      <xdr:rowOff>0</xdr:rowOff>
    </xdr:from>
    <xdr:to>
      <xdr:col>8</xdr:col>
      <xdr:colOff>7000</xdr:colOff>
      <xdr:row>44</xdr:row>
      <xdr:rowOff>183843</xdr:rowOff>
    </xdr:to>
    <xdr:sp macro="" textlink="">
      <xdr:nvSpPr>
        <xdr:cNvPr id="208" name="Estrela: 5 Pontas 207">
          <a:extLst>
            <a:ext uri="{FF2B5EF4-FFF2-40B4-BE49-F238E27FC236}">
              <a16:creationId xmlns:a16="http://schemas.microsoft.com/office/drawing/2014/main" id="{36B2211E-2EF1-4780-A88D-952E3FB4EFE1}"/>
            </a:ext>
          </a:extLst>
        </xdr:cNvPr>
        <xdr:cNvSpPr/>
      </xdr:nvSpPr>
      <xdr:spPr>
        <a:xfrm>
          <a:off x="13292906" y="6419850"/>
          <a:ext cx="10994" cy="18384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3076575</xdr:colOff>
      <xdr:row>44</xdr:row>
      <xdr:rowOff>23813</xdr:rowOff>
    </xdr:from>
    <xdr:to>
      <xdr:col>8</xdr:col>
      <xdr:colOff>15603</xdr:colOff>
      <xdr:row>45</xdr:row>
      <xdr:rowOff>0</xdr:rowOff>
    </xdr:to>
    <xdr:sp macro="" textlink="">
      <xdr:nvSpPr>
        <xdr:cNvPr id="209" name="Estrela: 5 Pontas 208">
          <a:extLst>
            <a:ext uri="{FF2B5EF4-FFF2-40B4-BE49-F238E27FC236}">
              <a16:creationId xmlns:a16="http://schemas.microsoft.com/office/drawing/2014/main" id="{4C08918B-CB4F-4B72-A242-79D0D5E58285}"/>
            </a:ext>
          </a:extLst>
        </xdr:cNvPr>
        <xdr:cNvSpPr/>
      </xdr:nvSpPr>
      <xdr:spPr>
        <a:xfrm>
          <a:off x="13296900" y="6443663"/>
          <a:ext cx="15603" cy="166687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3093554</xdr:colOff>
      <xdr:row>44</xdr:row>
      <xdr:rowOff>161925</xdr:rowOff>
    </xdr:from>
    <xdr:to>
      <xdr:col>3</xdr:col>
      <xdr:colOff>3223457</xdr:colOff>
      <xdr:row>45</xdr:row>
      <xdr:rowOff>161925</xdr:rowOff>
    </xdr:to>
    <xdr:sp macro="" textlink="">
      <xdr:nvSpPr>
        <xdr:cNvPr id="210" name="Estrela: 5 Pontas 209">
          <a:extLst>
            <a:ext uri="{FF2B5EF4-FFF2-40B4-BE49-F238E27FC236}">
              <a16:creationId xmlns:a16="http://schemas.microsoft.com/office/drawing/2014/main" id="{29357CF7-9986-4FD9-932B-B90DC027CA84}"/>
            </a:ext>
          </a:extLst>
        </xdr:cNvPr>
        <xdr:cNvSpPr/>
      </xdr:nvSpPr>
      <xdr:spPr>
        <a:xfrm>
          <a:off x="5528641" y="5661577"/>
          <a:ext cx="12990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3099352</xdr:colOff>
      <xdr:row>27</xdr:row>
      <xdr:rowOff>173935</xdr:rowOff>
    </xdr:from>
    <xdr:to>
      <xdr:col>3</xdr:col>
      <xdr:colOff>3229255</xdr:colOff>
      <xdr:row>28</xdr:row>
      <xdr:rowOff>171889</xdr:rowOff>
    </xdr:to>
    <xdr:sp macro="" textlink="">
      <xdr:nvSpPr>
        <xdr:cNvPr id="213" name="Estrela: 5 Pontas 212">
          <a:extLst>
            <a:ext uri="{FF2B5EF4-FFF2-40B4-BE49-F238E27FC236}">
              <a16:creationId xmlns:a16="http://schemas.microsoft.com/office/drawing/2014/main" id="{59D36E17-162E-4A35-A04F-DC45F46E54B6}"/>
            </a:ext>
          </a:extLst>
        </xdr:cNvPr>
        <xdr:cNvSpPr/>
      </xdr:nvSpPr>
      <xdr:spPr>
        <a:xfrm>
          <a:off x="5534439" y="7744239"/>
          <a:ext cx="129903" cy="18845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30</xdr:row>
      <xdr:rowOff>11906</xdr:rowOff>
    </xdr:from>
    <xdr:to>
      <xdr:col>8</xdr:col>
      <xdr:colOff>10841</xdr:colOff>
      <xdr:row>31</xdr:row>
      <xdr:rowOff>57485</xdr:rowOff>
    </xdr:to>
    <xdr:sp macro="" textlink="">
      <xdr:nvSpPr>
        <xdr:cNvPr id="214" name="Estrela: 5 Pontas 213">
          <a:extLst>
            <a:ext uri="{FF2B5EF4-FFF2-40B4-BE49-F238E27FC236}">
              <a16:creationId xmlns:a16="http://schemas.microsoft.com/office/drawing/2014/main" id="{534909AA-0AF0-4398-9990-2438E89E69E5}"/>
            </a:ext>
          </a:extLst>
        </xdr:cNvPr>
        <xdr:cNvSpPr/>
      </xdr:nvSpPr>
      <xdr:spPr>
        <a:xfrm>
          <a:off x="12701588" y="6079331"/>
          <a:ext cx="156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31</xdr:row>
      <xdr:rowOff>1</xdr:rowOff>
    </xdr:from>
    <xdr:to>
      <xdr:col>7</xdr:col>
      <xdr:colOff>3194802</xdr:colOff>
      <xdr:row>32</xdr:row>
      <xdr:rowOff>0</xdr:rowOff>
    </xdr:to>
    <xdr:sp macro="" textlink="">
      <xdr:nvSpPr>
        <xdr:cNvPr id="217" name="Estrela: 5 Pontas 216">
          <a:extLst>
            <a:ext uri="{FF2B5EF4-FFF2-40B4-BE49-F238E27FC236}">
              <a16:creationId xmlns:a16="http://schemas.microsoft.com/office/drawing/2014/main" id="{8EB90FFC-5B56-4C5C-BCD0-680953C1AAAA}"/>
            </a:ext>
          </a:extLst>
        </xdr:cNvPr>
        <xdr:cNvSpPr/>
      </xdr:nvSpPr>
      <xdr:spPr>
        <a:xfrm>
          <a:off x="12706043" y="6257926"/>
          <a:ext cx="4234" cy="16192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31</xdr:row>
      <xdr:rowOff>153630</xdr:rowOff>
    </xdr:from>
    <xdr:to>
      <xdr:col>8</xdr:col>
      <xdr:colOff>7000</xdr:colOff>
      <xdr:row>32</xdr:row>
      <xdr:rowOff>0</xdr:rowOff>
    </xdr:to>
    <xdr:sp macro="" textlink="">
      <xdr:nvSpPr>
        <xdr:cNvPr id="218" name="Estrela: 5 Pontas 217">
          <a:extLst>
            <a:ext uri="{FF2B5EF4-FFF2-40B4-BE49-F238E27FC236}">
              <a16:creationId xmlns:a16="http://schemas.microsoft.com/office/drawing/2014/main" id="{0F1F9FE4-78ED-42F4-868A-32C64DA25163}"/>
            </a:ext>
          </a:extLst>
        </xdr:cNvPr>
        <xdr:cNvSpPr/>
      </xdr:nvSpPr>
      <xdr:spPr>
        <a:xfrm>
          <a:off x="12702356" y="6411555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31</xdr:row>
      <xdr:rowOff>1</xdr:rowOff>
    </xdr:from>
    <xdr:to>
      <xdr:col>7</xdr:col>
      <xdr:colOff>3194802</xdr:colOff>
      <xdr:row>32</xdr:row>
      <xdr:rowOff>0</xdr:rowOff>
    </xdr:to>
    <xdr:sp macro="" textlink="">
      <xdr:nvSpPr>
        <xdr:cNvPr id="220" name="Estrela: 5 Pontas 219">
          <a:extLst>
            <a:ext uri="{FF2B5EF4-FFF2-40B4-BE49-F238E27FC236}">
              <a16:creationId xmlns:a16="http://schemas.microsoft.com/office/drawing/2014/main" id="{664E5C62-8BC3-4785-B6CD-3467E1BF954F}"/>
            </a:ext>
          </a:extLst>
        </xdr:cNvPr>
        <xdr:cNvSpPr/>
      </xdr:nvSpPr>
      <xdr:spPr>
        <a:xfrm>
          <a:off x="12706043" y="6257926"/>
          <a:ext cx="4234" cy="16192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31</xdr:row>
      <xdr:rowOff>153630</xdr:rowOff>
    </xdr:from>
    <xdr:to>
      <xdr:col>8</xdr:col>
      <xdr:colOff>7000</xdr:colOff>
      <xdr:row>32</xdr:row>
      <xdr:rowOff>0</xdr:rowOff>
    </xdr:to>
    <xdr:sp macro="" textlink="">
      <xdr:nvSpPr>
        <xdr:cNvPr id="222" name="Estrela: 5 Pontas 221">
          <a:extLst>
            <a:ext uri="{FF2B5EF4-FFF2-40B4-BE49-F238E27FC236}">
              <a16:creationId xmlns:a16="http://schemas.microsoft.com/office/drawing/2014/main" id="{33681C89-D7F7-4FCE-9AD1-64F5A070F901}"/>
            </a:ext>
          </a:extLst>
        </xdr:cNvPr>
        <xdr:cNvSpPr/>
      </xdr:nvSpPr>
      <xdr:spPr>
        <a:xfrm>
          <a:off x="12702356" y="6411555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3089413</xdr:colOff>
      <xdr:row>43</xdr:row>
      <xdr:rowOff>182218</xdr:rowOff>
    </xdr:from>
    <xdr:to>
      <xdr:col>3</xdr:col>
      <xdr:colOff>3219316</xdr:colOff>
      <xdr:row>44</xdr:row>
      <xdr:rowOff>182218</xdr:rowOff>
    </xdr:to>
    <xdr:sp macro="" textlink="">
      <xdr:nvSpPr>
        <xdr:cNvPr id="225" name="Estrela: 5 Pontas 224">
          <a:extLst>
            <a:ext uri="{FF2B5EF4-FFF2-40B4-BE49-F238E27FC236}">
              <a16:creationId xmlns:a16="http://schemas.microsoft.com/office/drawing/2014/main" id="{2A862D2C-88EE-48A9-988A-87FC11B82313}"/>
            </a:ext>
          </a:extLst>
        </xdr:cNvPr>
        <xdr:cNvSpPr/>
      </xdr:nvSpPr>
      <xdr:spPr>
        <a:xfrm>
          <a:off x="5524500" y="6800022"/>
          <a:ext cx="12990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3114261</xdr:colOff>
      <xdr:row>38</xdr:row>
      <xdr:rowOff>165652</xdr:rowOff>
    </xdr:from>
    <xdr:to>
      <xdr:col>3</xdr:col>
      <xdr:colOff>3244164</xdr:colOff>
      <xdr:row>41</xdr:row>
      <xdr:rowOff>17004</xdr:rowOff>
    </xdr:to>
    <xdr:sp macro="" textlink="">
      <xdr:nvSpPr>
        <xdr:cNvPr id="189" name="Estrela: 5 Pontas 188">
          <a:extLst>
            <a:ext uri="{FF2B5EF4-FFF2-40B4-BE49-F238E27FC236}">
              <a16:creationId xmlns:a16="http://schemas.microsoft.com/office/drawing/2014/main" id="{BDD6DCF0-CB91-4982-A6C4-29324CAA81B9}"/>
            </a:ext>
          </a:extLst>
        </xdr:cNvPr>
        <xdr:cNvSpPr/>
      </xdr:nvSpPr>
      <xdr:spPr>
        <a:xfrm>
          <a:off x="5549348" y="8970065"/>
          <a:ext cx="129903" cy="20750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3114260</xdr:colOff>
      <xdr:row>39</xdr:row>
      <xdr:rowOff>149087</xdr:rowOff>
    </xdr:from>
    <xdr:to>
      <xdr:col>3</xdr:col>
      <xdr:colOff>3244163</xdr:colOff>
      <xdr:row>41</xdr:row>
      <xdr:rowOff>173935</xdr:rowOff>
    </xdr:to>
    <xdr:sp macro="" textlink="">
      <xdr:nvSpPr>
        <xdr:cNvPr id="190" name="Estrela: 5 Pontas 189">
          <a:extLst>
            <a:ext uri="{FF2B5EF4-FFF2-40B4-BE49-F238E27FC236}">
              <a16:creationId xmlns:a16="http://schemas.microsoft.com/office/drawing/2014/main" id="{15CD348F-FAE6-4884-889B-F13CEA8EB489}"/>
            </a:ext>
          </a:extLst>
        </xdr:cNvPr>
        <xdr:cNvSpPr/>
      </xdr:nvSpPr>
      <xdr:spPr>
        <a:xfrm>
          <a:off x="5549347" y="9144000"/>
          <a:ext cx="12990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60</xdr:row>
      <xdr:rowOff>1</xdr:rowOff>
    </xdr:from>
    <xdr:to>
      <xdr:col>7</xdr:col>
      <xdr:colOff>3194802</xdr:colOff>
      <xdr:row>61</xdr:row>
      <xdr:rowOff>0</xdr:rowOff>
    </xdr:to>
    <xdr:sp macro="" textlink="">
      <xdr:nvSpPr>
        <xdr:cNvPr id="159" name="Estrela: 5 Pontas 158">
          <a:extLst>
            <a:ext uri="{FF2B5EF4-FFF2-40B4-BE49-F238E27FC236}">
              <a16:creationId xmlns:a16="http://schemas.microsoft.com/office/drawing/2014/main" id="{2444692B-EEC4-4AFA-89C5-084139232B92}"/>
            </a:ext>
          </a:extLst>
        </xdr:cNvPr>
        <xdr:cNvSpPr/>
      </xdr:nvSpPr>
      <xdr:spPr>
        <a:xfrm>
          <a:off x="13296593" y="9058276"/>
          <a:ext cx="4234" cy="16192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60</xdr:row>
      <xdr:rowOff>153630</xdr:rowOff>
    </xdr:from>
    <xdr:to>
      <xdr:col>8</xdr:col>
      <xdr:colOff>7000</xdr:colOff>
      <xdr:row>61</xdr:row>
      <xdr:rowOff>0</xdr:rowOff>
    </xdr:to>
    <xdr:sp macro="" textlink="">
      <xdr:nvSpPr>
        <xdr:cNvPr id="163" name="Estrela: 5 Pontas 162">
          <a:extLst>
            <a:ext uri="{FF2B5EF4-FFF2-40B4-BE49-F238E27FC236}">
              <a16:creationId xmlns:a16="http://schemas.microsoft.com/office/drawing/2014/main" id="{92B5DAE5-F2C6-47B8-B36B-F320D7B9A608}"/>
            </a:ext>
          </a:extLst>
        </xdr:cNvPr>
        <xdr:cNvSpPr/>
      </xdr:nvSpPr>
      <xdr:spPr>
        <a:xfrm>
          <a:off x="13292906" y="9211905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60</xdr:row>
      <xdr:rowOff>1</xdr:rowOff>
    </xdr:from>
    <xdr:to>
      <xdr:col>7</xdr:col>
      <xdr:colOff>3194802</xdr:colOff>
      <xdr:row>61</xdr:row>
      <xdr:rowOff>0</xdr:rowOff>
    </xdr:to>
    <xdr:sp macro="" textlink="">
      <xdr:nvSpPr>
        <xdr:cNvPr id="171" name="Estrela: 5 Pontas 170">
          <a:extLst>
            <a:ext uri="{FF2B5EF4-FFF2-40B4-BE49-F238E27FC236}">
              <a16:creationId xmlns:a16="http://schemas.microsoft.com/office/drawing/2014/main" id="{7FB455B1-4A4B-4AED-88EF-7B26458AAF1A}"/>
            </a:ext>
          </a:extLst>
        </xdr:cNvPr>
        <xdr:cNvSpPr/>
      </xdr:nvSpPr>
      <xdr:spPr>
        <a:xfrm>
          <a:off x="13296593" y="9058276"/>
          <a:ext cx="4234" cy="16192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60</xdr:row>
      <xdr:rowOff>153630</xdr:rowOff>
    </xdr:from>
    <xdr:to>
      <xdr:col>8</xdr:col>
      <xdr:colOff>7000</xdr:colOff>
      <xdr:row>61</xdr:row>
      <xdr:rowOff>0</xdr:rowOff>
    </xdr:to>
    <xdr:sp macro="" textlink="">
      <xdr:nvSpPr>
        <xdr:cNvPr id="179" name="Estrela: 5 Pontas 178">
          <a:extLst>
            <a:ext uri="{FF2B5EF4-FFF2-40B4-BE49-F238E27FC236}">
              <a16:creationId xmlns:a16="http://schemas.microsoft.com/office/drawing/2014/main" id="{F31DC050-4571-4726-AE2D-58038A93557A}"/>
            </a:ext>
          </a:extLst>
        </xdr:cNvPr>
        <xdr:cNvSpPr/>
      </xdr:nvSpPr>
      <xdr:spPr>
        <a:xfrm>
          <a:off x="13292906" y="9211905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60</xdr:row>
      <xdr:rowOff>166687</xdr:rowOff>
    </xdr:from>
    <xdr:to>
      <xdr:col>7</xdr:col>
      <xdr:colOff>3106465</xdr:colOff>
      <xdr:row>81</xdr:row>
      <xdr:rowOff>21766</xdr:rowOff>
    </xdr:to>
    <xdr:sp macro="" textlink="">
      <xdr:nvSpPr>
        <xdr:cNvPr id="193" name="Estrela: 5 Pontas 192">
          <a:extLst>
            <a:ext uri="{FF2B5EF4-FFF2-40B4-BE49-F238E27FC236}">
              <a16:creationId xmlns:a16="http://schemas.microsoft.com/office/drawing/2014/main" id="{F02C0C46-E978-415E-9E48-979CA7F31F57}"/>
            </a:ext>
          </a:extLst>
        </xdr:cNvPr>
        <xdr:cNvSpPr/>
      </xdr:nvSpPr>
      <xdr:spPr>
        <a:xfrm>
          <a:off x="13301662" y="8272462"/>
          <a:ext cx="0" cy="455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3139109</xdr:colOff>
      <xdr:row>60</xdr:row>
      <xdr:rowOff>0</xdr:rowOff>
    </xdr:from>
    <xdr:to>
      <xdr:col>3</xdr:col>
      <xdr:colOff>3269012</xdr:colOff>
      <xdr:row>60</xdr:row>
      <xdr:rowOff>157370</xdr:rowOff>
    </xdr:to>
    <xdr:sp macro="" textlink="">
      <xdr:nvSpPr>
        <xdr:cNvPr id="196" name="Estrela: 5 Pontas 195">
          <a:extLst>
            <a:ext uri="{FF2B5EF4-FFF2-40B4-BE49-F238E27FC236}">
              <a16:creationId xmlns:a16="http://schemas.microsoft.com/office/drawing/2014/main" id="{4126B12D-2464-4C8A-B0A8-85DFC5BCAA85}"/>
            </a:ext>
          </a:extLst>
        </xdr:cNvPr>
        <xdr:cNvSpPr/>
      </xdr:nvSpPr>
      <xdr:spPr>
        <a:xfrm>
          <a:off x="5574196" y="9483587"/>
          <a:ext cx="12990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70</xdr:row>
      <xdr:rowOff>0</xdr:rowOff>
    </xdr:from>
    <xdr:to>
      <xdr:col>7</xdr:col>
      <xdr:colOff>3194802</xdr:colOff>
      <xdr:row>70</xdr:row>
      <xdr:rowOff>7682</xdr:rowOff>
    </xdr:to>
    <xdr:sp macro="" textlink="">
      <xdr:nvSpPr>
        <xdr:cNvPr id="227" name="Estrela: 5 Pontas 226">
          <a:extLst>
            <a:ext uri="{FF2B5EF4-FFF2-40B4-BE49-F238E27FC236}">
              <a16:creationId xmlns:a16="http://schemas.microsoft.com/office/drawing/2014/main" id="{D854976D-8C3F-47AA-A40C-29B9D12A62C2}"/>
            </a:ext>
          </a:extLst>
        </xdr:cNvPr>
        <xdr:cNvSpPr/>
      </xdr:nvSpPr>
      <xdr:spPr>
        <a:xfrm>
          <a:off x="13311916" y="6617804"/>
          <a:ext cx="4234" cy="7682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3079955</xdr:colOff>
      <xdr:row>66</xdr:row>
      <xdr:rowOff>28575</xdr:rowOff>
    </xdr:from>
    <xdr:to>
      <xdr:col>3</xdr:col>
      <xdr:colOff>3217539</xdr:colOff>
      <xdr:row>67</xdr:row>
      <xdr:rowOff>29600</xdr:rowOff>
    </xdr:to>
    <xdr:sp macro="" textlink="">
      <xdr:nvSpPr>
        <xdr:cNvPr id="108" name="Estrela: 5 Pontas 107">
          <a:extLst>
            <a:ext uri="{FF2B5EF4-FFF2-40B4-BE49-F238E27FC236}">
              <a16:creationId xmlns:a16="http://schemas.microsoft.com/office/drawing/2014/main" id="{4042B24E-5718-4078-B750-8303A4534902}"/>
            </a:ext>
          </a:extLst>
        </xdr:cNvPr>
        <xdr:cNvSpPr/>
      </xdr:nvSpPr>
      <xdr:spPr>
        <a:xfrm>
          <a:off x="5508830" y="10086975"/>
          <a:ext cx="137584" cy="191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63</xdr:row>
      <xdr:rowOff>152400</xdr:rowOff>
    </xdr:from>
    <xdr:to>
      <xdr:col>3</xdr:col>
      <xdr:colOff>3225528</xdr:colOff>
      <xdr:row>64</xdr:row>
      <xdr:rowOff>180975</xdr:rowOff>
    </xdr:to>
    <xdr:sp macro="" textlink="">
      <xdr:nvSpPr>
        <xdr:cNvPr id="109" name="Estrela: 5 Pontas 108">
          <a:extLst>
            <a:ext uri="{FF2B5EF4-FFF2-40B4-BE49-F238E27FC236}">
              <a16:creationId xmlns:a16="http://schemas.microsoft.com/office/drawing/2014/main" id="{9AD6DC7B-2420-4E74-9E2E-FDE24D61858B}"/>
            </a:ext>
          </a:extLst>
        </xdr:cNvPr>
        <xdr:cNvSpPr/>
      </xdr:nvSpPr>
      <xdr:spPr>
        <a:xfrm>
          <a:off x="5524500" y="10401300"/>
          <a:ext cx="129903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142</xdr:row>
      <xdr:rowOff>0</xdr:rowOff>
    </xdr:from>
    <xdr:to>
      <xdr:col>8</xdr:col>
      <xdr:colOff>10841</xdr:colOff>
      <xdr:row>144</xdr:row>
      <xdr:rowOff>0</xdr:rowOff>
    </xdr:to>
    <xdr:sp macro="" textlink="">
      <xdr:nvSpPr>
        <xdr:cNvPr id="111" name="Estrela: 5 Pontas 110">
          <a:extLst>
            <a:ext uri="{FF2B5EF4-FFF2-40B4-BE49-F238E27FC236}">
              <a16:creationId xmlns:a16="http://schemas.microsoft.com/office/drawing/2014/main" id="{342B1350-63BA-45B1-8096-DBD25B284683}"/>
            </a:ext>
          </a:extLst>
        </xdr:cNvPr>
        <xdr:cNvSpPr/>
      </xdr:nvSpPr>
      <xdr:spPr>
        <a:xfrm>
          <a:off x="13292138" y="13106400"/>
          <a:ext cx="15603" cy="3810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3086100</xdr:colOff>
      <xdr:row>67</xdr:row>
      <xdr:rowOff>142875</xdr:rowOff>
    </xdr:from>
    <xdr:to>
      <xdr:col>3</xdr:col>
      <xdr:colOff>3216003</xdr:colOff>
      <xdr:row>68</xdr:row>
      <xdr:rowOff>188454</xdr:rowOff>
    </xdr:to>
    <xdr:sp macro="" textlink="">
      <xdr:nvSpPr>
        <xdr:cNvPr id="113" name="Estrela: 5 Pontas 112">
          <a:extLst>
            <a:ext uri="{FF2B5EF4-FFF2-40B4-BE49-F238E27FC236}">
              <a16:creationId xmlns:a16="http://schemas.microsoft.com/office/drawing/2014/main" id="{76EEB052-B3C7-461C-A83C-88347AA67240}"/>
            </a:ext>
          </a:extLst>
        </xdr:cNvPr>
        <xdr:cNvSpPr/>
      </xdr:nvSpPr>
      <xdr:spPr>
        <a:xfrm>
          <a:off x="5514975" y="1248727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3086100</xdr:colOff>
      <xdr:row>78</xdr:row>
      <xdr:rowOff>0</xdr:rowOff>
    </xdr:from>
    <xdr:to>
      <xdr:col>3</xdr:col>
      <xdr:colOff>3216003</xdr:colOff>
      <xdr:row>79</xdr:row>
      <xdr:rowOff>36054</xdr:rowOff>
    </xdr:to>
    <xdr:sp macro="" textlink="">
      <xdr:nvSpPr>
        <xdr:cNvPr id="115" name="Estrela: 5 Pontas 114">
          <a:extLst>
            <a:ext uri="{FF2B5EF4-FFF2-40B4-BE49-F238E27FC236}">
              <a16:creationId xmlns:a16="http://schemas.microsoft.com/office/drawing/2014/main" id="{232117C7-32F3-4BD1-8EB7-16B475ADE395}"/>
            </a:ext>
          </a:extLst>
        </xdr:cNvPr>
        <xdr:cNvSpPr/>
      </xdr:nvSpPr>
      <xdr:spPr>
        <a:xfrm>
          <a:off x="5514975" y="12153900"/>
          <a:ext cx="129903" cy="22655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3081130</xdr:colOff>
      <xdr:row>61</xdr:row>
      <xdr:rowOff>8282</xdr:rowOff>
    </xdr:from>
    <xdr:to>
      <xdr:col>3</xdr:col>
      <xdr:colOff>3211033</xdr:colOff>
      <xdr:row>62</xdr:row>
      <xdr:rowOff>8282</xdr:rowOff>
    </xdr:to>
    <xdr:sp macro="" textlink="">
      <xdr:nvSpPr>
        <xdr:cNvPr id="117" name="Estrela: 5 Pontas 116">
          <a:extLst>
            <a:ext uri="{FF2B5EF4-FFF2-40B4-BE49-F238E27FC236}">
              <a16:creationId xmlns:a16="http://schemas.microsoft.com/office/drawing/2014/main" id="{74993E63-297D-468B-8CD9-A1B0D3C6B75A}"/>
            </a:ext>
          </a:extLst>
        </xdr:cNvPr>
        <xdr:cNvSpPr/>
      </xdr:nvSpPr>
      <xdr:spPr>
        <a:xfrm>
          <a:off x="5516217" y="9881152"/>
          <a:ext cx="12990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73</xdr:row>
      <xdr:rowOff>166687</xdr:rowOff>
    </xdr:from>
    <xdr:to>
      <xdr:col>7</xdr:col>
      <xdr:colOff>3146947</xdr:colOff>
      <xdr:row>74</xdr:row>
      <xdr:rowOff>0</xdr:rowOff>
    </xdr:to>
    <xdr:sp macro="" textlink="">
      <xdr:nvSpPr>
        <xdr:cNvPr id="122" name="Estrela: 5 Pontas 121">
          <a:extLst>
            <a:ext uri="{FF2B5EF4-FFF2-40B4-BE49-F238E27FC236}">
              <a16:creationId xmlns:a16="http://schemas.microsoft.com/office/drawing/2014/main" id="{1320BB20-0B22-464B-AAEE-78920F9CB0E1}"/>
            </a:ext>
          </a:extLst>
        </xdr:cNvPr>
        <xdr:cNvSpPr/>
      </xdr:nvSpPr>
      <xdr:spPr>
        <a:xfrm>
          <a:off x="13294519" y="11558587"/>
          <a:ext cx="6078" cy="238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3097695</xdr:colOff>
      <xdr:row>71</xdr:row>
      <xdr:rowOff>182217</xdr:rowOff>
    </xdr:from>
    <xdr:to>
      <xdr:col>3</xdr:col>
      <xdr:colOff>3227598</xdr:colOff>
      <xdr:row>72</xdr:row>
      <xdr:rowOff>182217</xdr:rowOff>
    </xdr:to>
    <xdr:sp macro="" textlink="">
      <xdr:nvSpPr>
        <xdr:cNvPr id="129" name="Estrela: 5 Pontas 128">
          <a:extLst>
            <a:ext uri="{FF2B5EF4-FFF2-40B4-BE49-F238E27FC236}">
              <a16:creationId xmlns:a16="http://schemas.microsoft.com/office/drawing/2014/main" id="{66D47EEA-5313-4E7D-8289-0E703EFF939F}"/>
            </a:ext>
          </a:extLst>
        </xdr:cNvPr>
        <xdr:cNvSpPr/>
      </xdr:nvSpPr>
      <xdr:spPr>
        <a:xfrm>
          <a:off x="5518166" y="13012952"/>
          <a:ext cx="12990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144</xdr:row>
      <xdr:rowOff>1</xdr:rowOff>
    </xdr:from>
    <xdr:to>
      <xdr:col>7</xdr:col>
      <xdr:colOff>3194802</xdr:colOff>
      <xdr:row>145</xdr:row>
      <xdr:rowOff>0</xdr:rowOff>
    </xdr:to>
    <xdr:sp macro="" textlink="">
      <xdr:nvSpPr>
        <xdr:cNvPr id="135" name="Estrela: 5 Pontas 134">
          <a:extLst>
            <a:ext uri="{FF2B5EF4-FFF2-40B4-BE49-F238E27FC236}">
              <a16:creationId xmlns:a16="http://schemas.microsoft.com/office/drawing/2014/main" id="{63DCF989-4570-4141-9AC2-12BB8AC97C72}"/>
            </a:ext>
          </a:extLst>
        </xdr:cNvPr>
        <xdr:cNvSpPr/>
      </xdr:nvSpPr>
      <xdr:spPr>
        <a:xfrm>
          <a:off x="12706043" y="8648701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144</xdr:row>
      <xdr:rowOff>153630</xdr:rowOff>
    </xdr:from>
    <xdr:to>
      <xdr:col>8</xdr:col>
      <xdr:colOff>7000</xdr:colOff>
      <xdr:row>145</xdr:row>
      <xdr:rowOff>0</xdr:rowOff>
    </xdr:to>
    <xdr:sp macro="" textlink="">
      <xdr:nvSpPr>
        <xdr:cNvPr id="136" name="Estrela: 5 Pontas 135">
          <a:extLst>
            <a:ext uri="{FF2B5EF4-FFF2-40B4-BE49-F238E27FC236}">
              <a16:creationId xmlns:a16="http://schemas.microsoft.com/office/drawing/2014/main" id="{D33713B3-1049-4F4A-B9F9-1912C9130908}"/>
            </a:ext>
          </a:extLst>
        </xdr:cNvPr>
        <xdr:cNvSpPr/>
      </xdr:nvSpPr>
      <xdr:spPr>
        <a:xfrm>
          <a:off x="12702356" y="8802330"/>
          <a:ext cx="10994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3086100</xdr:colOff>
      <xdr:row>79</xdr:row>
      <xdr:rowOff>123825</xdr:rowOff>
    </xdr:from>
    <xdr:to>
      <xdr:col>3</xdr:col>
      <xdr:colOff>3216003</xdr:colOff>
      <xdr:row>81</xdr:row>
      <xdr:rowOff>152400</xdr:rowOff>
    </xdr:to>
    <xdr:sp macro="" textlink="">
      <xdr:nvSpPr>
        <xdr:cNvPr id="137" name="Estrela: 5 Pontas 136">
          <a:extLst>
            <a:ext uri="{FF2B5EF4-FFF2-40B4-BE49-F238E27FC236}">
              <a16:creationId xmlns:a16="http://schemas.microsoft.com/office/drawing/2014/main" id="{3CD94874-4E11-42B3-A0C8-21B9BDA1C090}"/>
            </a:ext>
          </a:extLst>
        </xdr:cNvPr>
        <xdr:cNvSpPr/>
      </xdr:nvSpPr>
      <xdr:spPr>
        <a:xfrm>
          <a:off x="5514975" y="13935075"/>
          <a:ext cx="129903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3076575</xdr:colOff>
      <xdr:row>80</xdr:row>
      <xdr:rowOff>19050</xdr:rowOff>
    </xdr:from>
    <xdr:to>
      <xdr:col>3</xdr:col>
      <xdr:colOff>3200400</xdr:colOff>
      <xdr:row>80</xdr:row>
      <xdr:rowOff>171449</xdr:rowOff>
    </xdr:to>
    <xdr:sp macro="" textlink="">
      <xdr:nvSpPr>
        <xdr:cNvPr id="7" name="Estrela: 5 Pontas 6">
          <a:extLst>
            <a:ext uri="{FF2B5EF4-FFF2-40B4-BE49-F238E27FC236}">
              <a16:creationId xmlns:a16="http://schemas.microsoft.com/office/drawing/2014/main" id="{41A6DE87-F0CC-4A8C-831A-577B0DA3883E}"/>
            </a:ext>
          </a:extLst>
        </xdr:cNvPr>
        <xdr:cNvSpPr/>
      </xdr:nvSpPr>
      <xdr:spPr>
        <a:xfrm>
          <a:off x="5505450" y="13506450"/>
          <a:ext cx="123825" cy="1523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3028950</xdr:colOff>
      <xdr:row>2</xdr:row>
      <xdr:rowOff>28576</xdr:rowOff>
    </xdr:from>
    <xdr:to>
      <xdr:col>3</xdr:col>
      <xdr:colOff>3228361</xdr:colOff>
      <xdr:row>2</xdr:row>
      <xdr:rowOff>161926</xdr:rowOff>
    </xdr:to>
    <xdr:sp macro="" textlink="">
      <xdr:nvSpPr>
        <xdr:cNvPr id="10" name="Estrela: 5 Pontas 9">
          <a:extLst>
            <a:ext uri="{FF2B5EF4-FFF2-40B4-BE49-F238E27FC236}">
              <a16:creationId xmlns:a16="http://schemas.microsoft.com/office/drawing/2014/main" id="{C1663C2E-0300-4F52-94A9-EEE922C64FF8}"/>
            </a:ext>
          </a:extLst>
        </xdr:cNvPr>
        <xdr:cNvSpPr/>
      </xdr:nvSpPr>
      <xdr:spPr>
        <a:xfrm>
          <a:off x="5457825" y="13706476"/>
          <a:ext cx="199411" cy="1333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3076575</xdr:colOff>
      <xdr:row>5</xdr:row>
      <xdr:rowOff>19050</xdr:rowOff>
    </xdr:from>
    <xdr:to>
      <xdr:col>3</xdr:col>
      <xdr:colOff>3198018</xdr:colOff>
      <xdr:row>6</xdr:row>
      <xdr:rowOff>19050</xdr:rowOff>
    </xdr:to>
    <xdr:sp macro="" textlink="">
      <xdr:nvSpPr>
        <xdr:cNvPr id="14" name="Estrela: 5 Pontas 13">
          <a:extLst>
            <a:ext uri="{FF2B5EF4-FFF2-40B4-BE49-F238E27FC236}">
              <a16:creationId xmlns:a16="http://schemas.microsoft.com/office/drawing/2014/main" id="{156CD72E-3EC4-4D62-82EF-87D981EBA552}"/>
            </a:ext>
          </a:extLst>
        </xdr:cNvPr>
        <xdr:cNvSpPr/>
      </xdr:nvSpPr>
      <xdr:spPr>
        <a:xfrm>
          <a:off x="5505450" y="971550"/>
          <a:ext cx="12144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3133725</xdr:colOff>
      <xdr:row>15</xdr:row>
      <xdr:rowOff>180975</xdr:rowOff>
    </xdr:from>
    <xdr:to>
      <xdr:col>3</xdr:col>
      <xdr:colOff>3255168</xdr:colOff>
      <xdr:row>16</xdr:row>
      <xdr:rowOff>180975</xdr:rowOff>
    </xdr:to>
    <xdr:sp macro="" textlink="">
      <xdr:nvSpPr>
        <xdr:cNvPr id="15" name="Estrela: 5 Pontas 14">
          <a:extLst>
            <a:ext uri="{FF2B5EF4-FFF2-40B4-BE49-F238E27FC236}">
              <a16:creationId xmlns:a16="http://schemas.microsoft.com/office/drawing/2014/main" id="{8BAB808D-48E4-42C7-936F-B40E887ADEE0}"/>
            </a:ext>
          </a:extLst>
        </xdr:cNvPr>
        <xdr:cNvSpPr/>
      </xdr:nvSpPr>
      <xdr:spPr>
        <a:xfrm>
          <a:off x="5562600" y="1895475"/>
          <a:ext cx="12144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3124200</xdr:colOff>
      <xdr:row>14</xdr:row>
      <xdr:rowOff>152400</xdr:rowOff>
    </xdr:from>
    <xdr:to>
      <xdr:col>3</xdr:col>
      <xdr:colOff>3245643</xdr:colOff>
      <xdr:row>15</xdr:row>
      <xdr:rowOff>152400</xdr:rowOff>
    </xdr:to>
    <xdr:sp macro="" textlink="">
      <xdr:nvSpPr>
        <xdr:cNvPr id="16" name="Estrela: 5 Pontas 15">
          <a:extLst>
            <a:ext uri="{FF2B5EF4-FFF2-40B4-BE49-F238E27FC236}">
              <a16:creationId xmlns:a16="http://schemas.microsoft.com/office/drawing/2014/main" id="{4A48379A-B32F-4115-BB85-5A689C871766}"/>
            </a:ext>
          </a:extLst>
        </xdr:cNvPr>
        <xdr:cNvSpPr/>
      </xdr:nvSpPr>
      <xdr:spPr>
        <a:xfrm>
          <a:off x="5553075" y="2438400"/>
          <a:ext cx="121443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18</xdr:row>
      <xdr:rowOff>161925</xdr:rowOff>
    </xdr:from>
    <xdr:to>
      <xdr:col>3</xdr:col>
      <xdr:colOff>3225528</xdr:colOff>
      <xdr:row>19</xdr:row>
      <xdr:rowOff>180975</xdr:rowOff>
    </xdr:to>
    <xdr:sp macro="" textlink="">
      <xdr:nvSpPr>
        <xdr:cNvPr id="23" name="Estrela: 5 Pontas 22">
          <a:extLst>
            <a:ext uri="{FF2B5EF4-FFF2-40B4-BE49-F238E27FC236}">
              <a16:creationId xmlns:a16="http://schemas.microsoft.com/office/drawing/2014/main" id="{430056D4-2AA8-40DB-A219-C41E1E8AA831}"/>
            </a:ext>
          </a:extLst>
        </xdr:cNvPr>
        <xdr:cNvSpPr/>
      </xdr:nvSpPr>
      <xdr:spPr>
        <a:xfrm>
          <a:off x="5524500" y="3209925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82</xdr:row>
      <xdr:rowOff>142875</xdr:rowOff>
    </xdr:from>
    <xdr:to>
      <xdr:col>3</xdr:col>
      <xdr:colOff>3225528</xdr:colOff>
      <xdr:row>83</xdr:row>
      <xdr:rowOff>161925</xdr:rowOff>
    </xdr:to>
    <xdr:sp macro="" textlink="">
      <xdr:nvSpPr>
        <xdr:cNvPr id="31" name="Estrela: 5 Pontas 30">
          <a:extLst>
            <a:ext uri="{FF2B5EF4-FFF2-40B4-BE49-F238E27FC236}">
              <a16:creationId xmlns:a16="http://schemas.microsoft.com/office/drawing/2014/main" id="{B64D6CA8-08A2-48E4-880D-CF50E2F282B1}"/>
            </a:ext>
          </a:extLst>
        </xdr:cNvPr>
        <xdr:cNvSpPr/>
      </xdr:nvSpPr>
      <xdr:spPr>
        <a:xfrm>
          <a:off x="5524500" y="4143375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3133725</xdr:colOff>
      <xdr:row>24</xdr:row>
      <xdr:rowOff>152400</xdr:rowOff>
    </xdr:from>
    <xdr:to>
      <xdr:col>3</xdr:col>
      <xdr:colOff>3263628</xdr:colOff>
      <xdr:row>25</xdr:row>
      <xdr:rowOff>171450</xdr:rowOff>
    </xdr:to>
    <xdr:sp macro="" textlink="">
      <xdr:nvSpPr>
        <xdr:cNvPr id="139" name="Estrela: 5 Pontas 138">
          <a:extLst>
            <a:ext uri="{FF2B5EF4-FFF2-40B4-BE49-F238E27FC236}">
              <a16:creationId xmlns:a16="http://schemas.microsoft.com/office/drawing/2014/main" id="{3EDF7170-7A8E-4456-8351-B0B95344819E}"/>
            </a:ext>
          </a:extLst>
        </xdr:cNvPr>
        <xdr:cNvSpPr/>
      </xdr:nvSpPr>
      <xdr:spPr>
        <a:xfrm>
          <a:off x="5562600" y="4695825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37</xdr:row>
      <xdr:rowOff>152400</xdr:rowOff>
    </xdr:from>
    <xdr:to>
      <xdr:col>3</xdr:col>
      <xdr:colOff>3244578</xdr:colOff>
      <xdr:row>39</xdr:row>
      <xdr:rowOff>9525</xdr:rowOff>
    </xdr:to>
    <xdr:sp macro="" textlink="">
      <xdr:nvSpPr>
        <xdr:cNvPr id="145" name="Estrela: 5 Pontas 144">
          <a:extLst>
            <a:ext uri="{FF2B5EF4-FFF2-40B4-BE49-F238E27FC236}">
              <a16:creationId xmlns:a16="http://schemas.microsoft.com/office/drawing/2014/main" id="{C6EAD2AE-0195-42CA-B6D2-446F9875BF5B}"/>
            </a:ext>
          </a:extLst>
        </xdr:cNvPr>
        <xdr:cNvSpPr/>
      </xdr:nvSpPr>
      <xdr:spPr>
        <a:xfrm>
          <a:off x="5543550" y="7058025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30</xdr:row>
      <xdr:rowOff>133350</xdr:rowOff>
    </xdr:from>
    <xdr:to>
      <xdr:col>3</xdr:col>
      <xdr:colOff>3273153</xdr:colOff>
      <xdr:row>32</xdr:row>
      <xdr:rowOff>19050</xdr:rowOff>
    </xdr:to>
    <xdr:sp macro="" textlink="">
      <xdr:nvSpPr>
        <xdr:cNvPr id="140" name="Estrela: 5 Pontas 139">
          <a:extLst>
            <a:ext uri="{FF2B5EF4-FFF2-40B4-BE49-F238E27FC236}">
              <a16:creationId xmlns:a16="http://schemas.microsoft.com/office/drawing/2014/main" id="{65399665-7402-4DA0-88F9-164300C004C7}"/>
            </a:ext>
          </a:extLst>
        </xdr:cNvPr>
        <xdr:cNvSpPr/>
      </xdr:nvSpPr>
      <xdr:spPr>
        <a:xfrm>
          <a:off x="5572125" y="5819775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29</xdr:row>
      <xdr:rowOff>142875</xdr:rowOff>
    </xdr:from>
    <xdr:to>
      <xdr:col>3</xdr:col>
      <xdr:colOff>3273153</xdr:colOff>
      <xdr:row>31</xdr:row>
      <xdr:rowOff>0</xdr:rowOff>
    </xdr:to>
    <xdr:sp macro="" textlink="">
      <xdr:nvSpPr>
        <xdr:cNvPr id="142" name="Estrela: 5 Pontas 141">
          <a:extLst>
            <a:ext uri="{FF2B5EF4-FFF2-40B4-BE49-F238E27FC236}">
              <a16:creationId xmlns:a16="http://schemas.microsoft.com/office/drawing/2014/main" id="{7DB1A9E8-B24D-4642-801F-1FAB15F264E7}"/>
            </a:ext>
          </a:extLst>
        </xdr:cNvPr>
        <xdr:cNvSpPr/>
      </xdr:nvSpPr>
      <xdr:spPr>
        <a:xfrm>
          <a:off x="5572125" y="5638800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3076575</xdr:colOff>
      <xdr:row>33</xdr:row>
      <xdr:rowOff>114300</xdr:rowOff>
    </xdr:from>
    <xdr:to>
      <xdr:col>3</xdr:col>
      <xdr:colOff>3206478</xdr:colOff>
      <xdr:row>34</xdr:row>
      <xdr:rowOff>188454</xdr:rowOff>
    </xdr:to>
    <xdr:sp macro="" textlink="">
      <xdr:nvSpPr>
        <xdr:cNvPr id="143" name="Estrela: 5 Pontas 142">
          <a:extLst>
            <a:ext uri="{FF2B5EF4-FFF2-40B4-BE49-F238E27FC236}">
              <a16:creationId xmlns:a16="http://schemas.microsoft.com/office/drawing/2014/main" id="{64E89112-C921-49DB-9E25-EA737196F7F1}"/>
            </a:ext>
          </a:extLst>
        </xdr:cNvPr>
        <xdr:cNvSpPr/>
      </xdr:nvSpPr>
      <xdr:spPr>
        <a:xfrm>
          <a:off x="5505450" y="628650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3133418</xdr:colOff>
      <xdr:row>36</xdr:row>
      <xdr:rowOff>9526</xdr:rowOff>
    </xdr:from>
    <xdr:to>
      <xdr:col>3</xdr:col>
      <xdr:colOff>3271002</xdr:colOff>
      <xdr:row>37</xdr:row>
      <xdr:rowOff>17207</xdr:rowOff>
    </xdr:to>
    <xdr:sp macro="" textlink="">
      <xdr:nvSpPr>
        <xdr:cNvPr id="148" name="Estrela: 5 Pontas 147">
          <a:extLst>
            <a:ext uri="{FF2B5EF4-FFF2-40B4-BE49-F238E27FC236}">
              <a16:creationId xmlns:a16="http://schemas.microsoft.com/office/drawing/2014/main" id="{034AA0A9-A2CF-4E50-9E1E-EF1765498D4E}"/>
            </a:ext>
          </a:extLst>
        </xdr:cNvPr>
        <xdr:cNvSpPr/>
      </xdr:nvSpPr>
      <xdr:spPr>
        <a:xfrm>
          <a:off x="5562293" y="6724651"/>
          <a:ext cx="13758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32</xdr:row>
      <xdr:rowOff>123825</xdr:rowOff>
    </xdr:from>
    <xdr:to>
      <xdr:col>3</xdr:col>
      <xdr:colOff>3273153</xdr:colOff>
      <xdr:row>34</xdr:row>
      <xdr:rowOff>9525</xdr:rowOff>
    </xdr:to>
    <xdr:sp macro="" textlink="">
      <xdr:nvSpPr>
        <xdr:cNvPr id="150" name="Estrela: 5 Pontas 149">
          <a:extLst>
            <a:ext uri="{FF2B5EF4-FFF2-40B4-BE49-F238E27FC236}">
              <a16:creationId xmlns:a16="http://schemas.microsoft.com/office/drawing/2014/main" id="{4A3D055D-3EFB-4816-8010-D2323F9B71C0}"/>
            </a:ext>
          </a:extLst>
        </xdr:cNvPr>
        <xdr:cNvSpPr/>
      </xdr:nvSpPr>
      <xdr:spPr>
        <a:xfrm>
          <a:off x="5572125" y="6134100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3104029</xdr:colOff>
      <xdr:row>46</xdr:row>
      <xdr:rowOff>134471</xdr:rowOff>
    </xdr:from>
    <xdr:to>
      <xdr:col>3</xdr:col>
      <xdr:colOff>3233932</xdr:colOff>
      <xdr:row>47</xdr:row>
      <xdr:rowOff>153521</xdr:rowOff>
    </xdr:to>
    <xdr:sp macro="" textlink="">
      <xdr:nvSpPr>
        <xdr:cNvPr id="144" name="Estrela: 5 Pontas 143">
          <a:extLst>
            <a:ext uri="{FF2B5EF4-FFF2-40B4-BE49-F238E27FC236}">
              <a16:creationId xmlns:a16="http://schemas.microsoft.com/office/drawing/2014/main" id="{FF7F2D44-9587-4E73-8D20-89FCEABAFB43}"/>
            </a:ext>
          </a:extLst>
        </xdr:cNvPr>
        <xdr:cNvSpPr/>
      </xdr:nvSpPr>
      <xdr:spPr>
        <a:xfrm>
          <a:off x="5524500" y="8594912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3126441</xdr:colOff>
      <xdr:row>47</xdr:row>
      <xdr:rowOff>134471</xdr:rowOff>
    </xdr:from>
    <xdr:to>
      <xdr:col>3</xdr:col>
      <xdr:colOff>3256344</xdr:colOff>
      <xdr:row>48</xdr:row>
      <xdr:rowOff>187138</xdr:rowOff>
    </xdr:to>
    <xdr:sp macro="" textlink="">
      <xdr:nvSpPr>
        <xdr:cNvPr id="151" name="Estrela: 5 Pontas 150">
          <a:extLst>
            <a:ext uri="{FF2B5EF4-FFF2-40B4-BE49-F238E27FC236}">
              <a16:creationId xmlns:a16="http://schemas.microsoft.com/office/drawing/2014/main" id="{1DE9D495-9905-4FDF-A6F8-70F6550CA02C}"/>
            </a:ext>
          </a:extLst>
        </xdr:cNvPr>
        <xdr:cNvSpPr/>
      </xdr:nvSpPr>
      <xdr:spPr>
        <a:xfrm>
          <a:off x="5546912" y="8785412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49</xdr:row>
      <xdr:rowOff>1</xdr:rowOff>
    </xdr:from>
    <xdr:to>
      <xdr:col>7</xdr:col>
      <xdr:colOff>3194802</xdr:colOff>
      <xdr:row>50</xdr:row>
      <xdr:rowOff>0</xdr:rowOff>
    </xdr:to>
    <xdr:sp macro="" textlink="">
      <xdr:nvSpPr>
        <xdr:cNvPr id="156" name="Estrela: 5 Pontas 155">
          <a:extLst>
            <a:ext uri="{FF2B5EF4-FFF2-40B4-BE49-F238E27FC236}">
              <a16:creationId xmlns:a16="http://schemas.microsoft.com/office/drawing/2014/main" id="{1B2BA6AB-AF71-4525-8C96-9DA7BF0ABC5F}"/>
            </a:ext>
          </a:extLst>
        </xdr:cNvPr>
        <xdr:cNvSpPr/>
      </xdr:nvSpPr>
      <xdr:spPr>
        <a:xfrm>
          <a:off x="13296593" y="9220201"/>
          <a:ext cx="4234" cy="16192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49</xdr:row>
      <xdr:rowOff>153630</xdr:rowOff>
    </xdr:from>
    <xdr:to>
      <xdr:col>8</xdr:col>
      <xdr:colOff>7000</xdr:colOff>
      <xdr:row>50</xdr:row>
      <xdr:rowOff>0</xdr:rowOff>
    </xdr:to>
    <xdr:sp macro="" textlink="">
      <xdr:nvSpPr>
        <xdr:cNvPr id="157" name="Estrela: 5 Pontas 156">
          <a:extLst>
            <a:ext uri="{FF2B5EF4-FFF2-40B4-BE49-F238E27FC236}">
              <a16:creationId xmlns:a16="http://schemas.microsoft.com/office/drawing/2014/main" id="{9D9FA33D-7EF2-432F-9197-DBD232A233C3}"/>
            </a:ext>
          </a:extLst>
        </xdr:cNvPr>
        <xdr:cNvSpPr/>
      </xdr:nvSpPr>
      <xdr:spPr>
        <a:xfrm>
          <a:off x="13292906" y="9373830"/>
          <a:ext cx="10994" cy="82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3071533</xdr:colOff>
      <xdr:row>48</xdr:row>
      <xdr:rowOff>115981</xdr:rowOff>
    </xdr:from>
    <xdr:to>
      <xdr:col>3</xdr:col>
      <xdr:colOff>3201436</xdr:colOff>
      <xdr:row>49</xdr:row>
      <xdr:rowOff>144556</xdr:rowOff>
    </xdr:to>
    <xdr:sp macro="" textlink="">
      <xdr:nvSpPr>
        <xdr:cNvPr id="158" name="Estrela: 5 Pontas 157">
          <a:extLst>
            <a:ext uri="{FF2B5EF4-FFF2-40B4-BE49-F238E27FC236}">
              <a16:creationId xmlns:a16="http://schemas.microsoft.com/office/drawing/2014/main" id="{AFBEA5A3-D23B-4CF4-8AC1-B49CD973EA81}"/>
            </a:ext>
          </a:extLst>
        </xdr:cNvPr>
        <xdr:cNvSpPr/>
      </xdr:nvSpPr>
      <xdr:spPr>
        <a:xfrm>
          <a:off x="5492004" y="8923805"/>
          <a:ext cx="129903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3092824</xdr:colOff>
      <xdr:row>49</xdr:row>
      <xdr:rowOff>145676</xdr:rowOff>
    </xdr:from>
    <xdr:to>
      <xdr:col>3</xdr:col>
      <xdr:colOff>3222727</xdr:colOff>
      <xdr:row>51</xdr:row>
      <xdr:rowOff>41462</xdr:rowOff>
    </xdr:to>
    <xdr:sp macro="" textlink="">
      <xdr:nvSpPr>
        <xdr:cNvPr id="141" name="Estrela: 5 Pontas 140">
          <a:extLst>
            <a:ext uri="{FF2B5EF4-FFF2-40B4-BE49-F238E27FC236}">
              <a16:creationId xmlns:a16="http://schemas.microsoft.com/office/drawing/2014/main" id="{A9F2167A-2297-4B3B-B6FE-1A37C4005581}"/>
            </a:ext>
          </a:extLst>
        </xdr:cNvPr>
        <xdr:cNvSpPr/>
      </xdr:nvSpPr>
      <xdr:spPr>
        <a:xfrm>
          <a:off x="5513295" y="9144000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3057525</xdr:colOff>
      <xdr:row>52</xdr:row>
      <xdr:rowOff>19050</xdr:rowOff>
    </xdr:from>
    <xdr:to>
      <xdr:col>3</xdr:col>
      <xdr:colOff>3181350</xdr:colOff>
      <xdr:row>52</xdr:row>
      <xdr:rowOff>171449</xdr:rowOff>
    </xdr:to>
    <xdr:sp macro="" textlink="">
      <xdr:nvSpPr>
        <xdr:cNvPr id="152" name="Estrela: 5 Pontas 151">
          <a:extLst>
            <a:ext uri="{FF2B5EF4-FFF2-40B4-BE49-F238E27FC236}">
              <a16:creationId xmlns:a16="http://schemas.microsoft.com/office/drawing/2014/main" id="{57D67CFE-1081-4837-953F-64ACF2F9958D}"/>
            </a:ext>
          </a:extLst>
        </xdr:cNvPr>
        <xdr:cNvSpPr/>
      </xdr:nvSpPr>
      <xdr:spPr>
        <a:xfrm>
          <a:off x="5477996" y="8479491"/>
          <a:ext cx="123825" cy="1523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3104028</xdr:colOff>
      <xdr:row>50</xdr:row>
      <xdr:rowOff>123266</xdr:rowOff>
    </xdr:from>
    <xdr:to>
      <xdr:col>3</xdr:col>
      <xdr:colOff>3233931</xdr:colOff>
      <xdr:row>52</xdr:row>
      <xdr:rowOff>19051</xdr:rowOff>
    </xdr:to>
    <xdr:sp macro="" textlink="">
      <xdr:nvSpPr>
        <xdr:cNvPr id="172" name="Estrela: 5 Pontas 171">
          <a:extLst>
            <a:ext uri="{FF2B5EF4-FFF2-40B4-BE49-F238E27FC236}">
              <a16:creationId xmlns:a16="http://schemas.microsoft.com/office/drawing/2014/main" id="{E051A12B-E632-4BFF-8F82-2FDA914EB0E5}"/>
            </a:ext>
          </a:extLst>
        </xdr:cNvPr>
        <xdr:cNvSpPr/>
      </xdr:nvSpPr>
      <xdr:spPr>
        <a:xfrm>
          <a:off x="5524499" y="9278472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3104029</xdr:colOff>
      <xdr:row>53</xdr:row>
      <xdr:rowOff>134471</xdr:rowOff>
    </xdr:from>
    <xdr:to>
      <xdr:col>3</xdr:col>
      <xdr:colOff>3233932</xdr:colOff>
      <xdr:row>54</xdr:row>
      <xdr:rowOff>153521</xdr:rowOff>
    </xdr:to>
    <xdr:sp macro="" textlink="">
      <xdr:nvSpPr>
        <xdr:cNvPr id="149" name="Estrela: 5 Pontas 148">
          <a:extLst>
            <a:ext uri="{FF2B5EF4-FFF2-40B4-BE49-F238E27FC236}">
              <a16:creationId xmlns:a16="http://schemas.microsoft.com/office/drawing/2014/main" id="{D1236686-1A9F-4E32-A43C-0693CAAF7A37}"/>
            </a:ext>
          </a:extLst>
        </xdr:cNvPr>
        <xdr:cNvSpPr/>
      </xdr:nvSpPr>
      <xdr:spPr>
        <a:xfrm>
          <a:off x="5524500" y="8594912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54</xdr:row>
      <xdr:rowOff>166687</xdr:rowOff>
    </xdr:from>
    <xdr:to>
      <xdr:col>7</xdr:col>
      <xdr:colOff>3106465</xdr:colOff>
      <xdr:row>57</xdr:row>
      <xdr:rowOff>21766</xdr:rowOff>
    </xdr:to>
    <xdr:sp macro="" textlink="">
      <xdr:nvSpPr>
        <xdr:cNvPr id="181" name="Estrela: 5 Pontas 180">
          <a:extLst>
            <a:ext uri="{FF2B5EF4-FFF2-40B4-BE49-F238E27FC236}">
              <a16:creationId xmlns:a16="http://schemas.microsoft.com/office/drawing/2014/main" id="{C5E655FB-F298-42ED-94A7-1CD21BBEE4C6}"/>
            </a:ext>
          </a:extLst>
        </xdr:cNvPr>
        <xdr:cNvSpPr/>
      </xdr:nvSpPr>
      <xdr:spPr>
        <a:xfrm>
          <a:off x="13292137" y="24584305"/>
          <a:ext cx="0" cy="1196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3028950</xdr:colOff>
      <xdr:row>54</xdr:row>
      <xdr:rowOff>142875</xdr:rowOff>
    </xdr:from>
    <xdr:to>
      <xdr:col>3</xdr:col>
      <xdr:colOff>3158853</xdr:colOff>
      <xdr:row>57</xdr:row>
      <xdr:rowOff>188454</xdr:rowOff>
    </xdr:to>
    <xdr:sp macro="" textlink="">
      <xdr:nvSpPr>
        <xdr:cNvPr id="187" name="Estrela: 5 Pontas 186">
          <a:extLst>
            <a:ext uri="{FF2B5EF4-FFF2-40B4-BE49-F238E27FC236}">
              <a16:creationId xmlns:a16="http://schemas.microsoft.com/office/drawing/2014/main" id="{57AC7964-AB4C-448E-B60B-2494DF700433}"/>
            </a:ext>
          </a:extLst>
        </xdr:cNvPr>
        <xdr:cNvSpPr/>
      </xdr:nvSpPr>
      <xdr:spPr>
        <a:xfrm>
          <a:off x="5449421" y="24560493"/>
          <a:ext cx="129903" cy="20246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3139109</xdr:colOff>
      <xdr:row>58</xdr:row>
      <xdr:rowOff>156883</xdr:rowOff>
    </xdr:from>
    <xdr:to>
      <xdr:col>3</xdr:col>
      <xdr:colOff>3269012</xdr:colOff>
      <xdr:row>59</xdr:row>
      <xdr:rowOff>123753</xdr:rowOff>
    </xdr:to>
    <xdr:sp macro="" textlink="">
      <xdr:nvSpPr>
        <xdr:cNvPr id="188" name="Estrela: 5 Pontas 187">
          <a:extLst>
            <a:ext uri="{FF2B5EF4-FFF2-40B4-BE49-F238E27FC236}">
              <a16:creationId xmlns:a16="http://schemas.microsoft.com/office/drawing/2014/main" id="{681CEAF3-895D-4680-B398-6771B2D7ACF6}"/>
            </a:ext>
          </a:extLst>
        </xdr:cNvPr>
        <xdr:cNvSpPr/>
      </xdr:nvSpPr>
      <xdr:spPr>
        <a:xfrm>
          <a:off x="5559580" y="10354236"/>
          <a:ext cx="129903" cy="1573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3115235</xdr:colOff>
      <xdr:row>62</xdr:row>
      <xdr:rowOff>145676</xdr:rowOff>
    </xdr:from>
    <xdr:to>
      <xdr:col>3</xdr:col>
      <xdr:colOff>3245138</xdr:colOff>
      <xdr:row>63</xdr:row>
      <xdr:rowOff>164726</xdr:rowOff>
    </xdr:to>
    <xdr:sp macro="" textlink="">
      <xdr:nvSpPr>
        <xdr:cNvPr id="6" name="Estrela: 5 Pontas 5">
          <a:extLst>
            <a:ext uri="{FF2B5EF4-FFF2-40B4-BE49-F238E27FC236}">
              <a16:creationId xmlns:a16="http://schemas.microsoft.com/office/drawing/2014/main" id="{53664F92-CFD3-417C-A9C2-D9360070E4CC}"/>
            </a:ext>
          </a:extLst>
        </xdr:cNvPr>
        <xdr:cNvSpPr/>
      </xdr:nvSpPr>
      <xdr:spPr>
        <a:xfrm>
          <a:off x="5535706" y="11452411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3092824</xdr:colOff>
      <xdr:row>69</xdr:row>
      <xdr:rowOff>179294</xdr:rowOff>
    </xdr:from>
    <xdr:to>
      <xdr:col>3</xdr:col>
      <xdr:colOff>3222727</xdr:colOff>
      <xdr:row>72</xdr:row>
      <xdr:rowOff>7844</xdr:rowOff>
    </xdr:to>
    <xdr:sp macro="" textlink="">
      <xdr:nvSpPr>
        <xdr:cNvPr id="191" name="Estrela: 5 Pontas 190">
          <a:extLst>
            <a:ext uri="{FF2B5EF4-FFF2-40B4-BE49-F238E27FC236}">
              <a16:creationId xmlns:a16="http://schemas.microsoft.com/office/drawing/2014/main" id="{0D6BADFE-352C-4BE1-BD14-E0C0EECCD6EE}"/>
            </a:ext>
          </a:extLst>
        </xdr:cNvPr>
        <xdr:cNvSpPr/>
      </xdr:nvSpPr>
      <xdr:spPr>
        <a:xfrm>
          <a:off x="5513295" y="12819529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3115235</xdr:colOff>
      <xdr:row>73</xdr:row>
      <xdr:rowOff>22411</xdr:rowOff>
    </xdr:from>
    <xdr:to>
      <xdr:col>3</xdr:col>
      <xdr:colOff>3245138</xdr:colOff>
      <xdr:row>74</xdr:row>
      <xdr:rowOff>41461</xdr:rowOff>
    </xdr:to>
    <xdr:sp macro="" textlink="">
      <xdr:nvSpPr>
        <xdr:cNvPr id="195" name="Estrela: 5 Pontas 194">
          <a:extLst>
            <a:ext uri="{FF2B5EF4-FFF2-40B4-BE49-F238E27FC236}">
              <a16:creationId xmlns:a16="http://schemas.microsoft.com/office/drawing/2014/main" id="{C34D9254-99DC-40DD-BF48-ED363B853B4A}"/>
            </a:ext>
          </a:extLst>
        </xdr:cNvPr>
        <xdr:cNvSpPr/>
      </xdr:nvSpPr>
      <xdr:spPr>
        <a:xfrm>
          <a:off x="5535706" y="13234146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3115235</xdr:colOff>
      <xdr:row>73</xdr:row>
      <xdr:rowOff>179294</xdr:rowOff>
    </xdr:from>
    <xdr:to>
      <xdr:col>3</xdr:col>
      <xdr:colOff>3245138</xdr:colOff>
      <xdr:row>75</xdr:row>
      <xdr:rowOff>7844</xdr:rowOff>
    </xdr:to>
    <xdr:sp macro="" textlink="">
      <xdr:nvSpPr>
        <xdr:cNvPr id="212" name="Estrela: 5 Pontas 211">
          <a:extLst>
            <a:ext uri="{FF2B5EF4-FFF2-40B4-BE49-F238E27FC236}">
              <a16:creationId xmlns:a16="http://schemas.microsoft.com/office/drawing/2014/main" id="{AE4E8497-867B-4373-908A-C4522136F37A}"/>
            </a:ext>
          </a:extLst>
        </xdr:cNvPr>
        <xdr:cNvSpPr/>
      </xdr:nvSpPr>
      <xdr:spPr>
        <a:xfrm>
          <a:off x="5535706" y="13391029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3115235</xdr:colOff>
      <xdr:row>74</xdr:row>
      <xdr:rowOff>156882</xdr:rowOff>
    </xdr:from>
    <xdr:to>
      <xdr:col>3</xdr:col>
      <xdr:colOff>3245138</xdr:colOff>
      <xdr:row>75</xdr:row>
      <xdr:rowOff>175932</xdr:rowOff>
    </xdr:to>
    <xdr:sp macro="" textlink="">
      <xdr:nvSpPr>
        <xdr:cNvPr id="215" name="Estrela: 5 Pontas 214">
          <a:extLst>
            <a:ext uri="{FF2B5EF4-FFF2-40B4-BE49-F238E27FC236}">
              <a16:creationId xmlns:a16="http://schemas.microsoft.com/office/drawing/2014/main" id="{A1C64B93-F7B1-42AC-930B-1CD23D92F6F3}"/>
            </a:ext>
          </a:extLst>
        </xdr:cNvPr>
        <xdr:cNvSpPr/>
      </xdr:nvSpPr>
      <xdr:spPr>
        <a:xfrm>
          <a:off x="5535706" y="13559117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75</xdr:row>
      <xdr:rowOff>1</xdr:rowOff>
    </xdr:from>
    <xdr:to>
      <xdr:col>7</xdr:col>
      <xdr:colOff>3194802</xdr:colOff>
      <xdr:row>76</xdr:row>
      <xdr:rowOff>0</xdr:rowOff>
    </xdr:to>
    <xdr:sp macro="" textlink="">
      <xdr:nvSpPr>
        <xdr:cNvPr id="216" name="Estrela: 5 Pontas 215">
          <a:extLst>
            <a:ext uri="{FF2B5EF4-FFF2-40B4-BE49-F238E27FC236}">
              <a16:creationId xmlns:a16="http://schemas.microsoft.com/office/drawing/2014/main" id="{F6A0F014-D6B7-459C-AEB3-A119D9067169}"/>
            </a:ext>
          </a:extLst>
        </xdr:cNvPr>
        <xdr:cNvSpPr/>
      </xdr:nvSpPr>
      <xdr:spPr>
        <a:xfrm>
          <a:off x="13287068" y="10578354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75</xdr:row>
      <xdr:rowOff>153630</xdr:rowOff>
    </xdr:from>
    <xdr:to>
      <xdr:col>8</xdr:col>
      <xdr:colOff>7000</xdr:colOff>
      <xdr:row>76</xdr:row>
      <xdr:rowOff>0</xdr:rowOff>
    </xdr:to>
    <xdr:sp macro="" textlink="">
      <xdr:nvSpPr>
        <xdr:cNvPr id="219" name="Estrela: 5 Pontas 218">
          <a:extLst>
            <a:ext uri="{FF2B5EF4-FFF2-40B4-BE49-F238E27FC236}">
              <a16:creationId xmlns:a16="http://schemas.microsoft.com/office/drawing/2014/main" id="{B3086694-A120-4793-A386-50CC73B91D8D}"/>
            </a:ext>
          </a:extLst>
        </xdr:cNvPr>
        <xdr:cNvSpPr/>
      </xdr:nvSpPr>
      <xdr:spPr>
        <a:xfrm>
          <a:off x="13283381" y="10731983"/>
          <a:ext cx="13795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75</xdr:row>
      <xdr:rowOff>1</xdr:rowOff>
    </xdr:from>
    <xdr:to>
      <xdr:col>7</xdr:col>
      <xdr:colOff>3194802</xdr:colOff>
      <xdr:row>76</xdr:row>
      <xdr:rowOff>0</xdr:rowOff>
    </xdr:to>
    <xdr:sp macro="" textlink="">
      <xdr:nvSpPr>
        <xdr:cNvPr id="221" name="Estrela: 5 Pontas 220">
          <a:extLst>
            <a:ext uri="{FF2B5EF4-FFF2-40B4-BE49-F238E27FC236}">
              <a16:creationId xmlns:a16="http://schemas.microsoft.com/office/drawing/2014/main" id="{0F94869E-2BF1-4C0B-956A-F98FF8E5808F}"/>
            </a:ext>
          </a:extLst>
        </xdr:cNvPr>
        <xdr:cNvSpPr/>
      </xdr:nvSpPr>
      <xdr:spPr>
        <a:xfrm>
          <a:off x="13287068" y="10578354"/>
          <a:ext cx="4234" cy="1904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75</xdr:row>
      <xdr:rowOff>153630</xdr:rowOff>
    </xdr:from>
    <xdr:to>
      <xdr:col>8</xdr:col>
      <xdr:colOff>7000</xdr:colOff>
      <xdr:row>76</xdr:row>
      <xdr:rowOff>0</xdr:rowOff>
    </xdr:to>
    <xdr:sp macro="" textlink="">
      <xdr:nvSpPr>
        <xdr:cNvPr id="224" name="Estrela: 5 Pontas 223">
          <a:extLst>
            <a:ext uri="{FF2B5EF4-FFF2-40B4-BE49-F238E27FC236}">
              <a16:creationId xmlns:a16="http://schemas.microsoft.com/office/drawing/2014/main" id="{3D6DF3CB-F2FE-4375-BABB-F74CD0391E8A}"/>
            </a:ext>
          </a:extLst>
        </xdr:cNvPr>
        <xdr:cNvSpPr/>
      </xdr:nvSpPr>
      <xdr:spPr>
        <a:xfrm>
          <a:off x="13283381" y="10731983"/>
          <a:ext cx="13795" cy="3687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3137647</xdr:colOff>
      <xdr:row>75</xdr:row>
      <xdr:rowOff>156883</xdr:rowOff>
    </xdr:from>
    <xdr:to>
      <xdr:col>3</xdr:col>
      <xdr:colOff>3267550</xdr:colOff>
      <xdr:row>76</xdr:row>
      <xdr:rowOff>175933</xdr:rowOff>
    </xdr:to>
    <xdr:sp macro="" textlink="">
      <xdr:nvSpPr>
        <xdr:cNvPr id="192" name="Estrela: 5 Pontas 191">
          <a:extLst>
            <a:ext uri="{FF2B5EF4-FFF2-40B4-BE49-F238E27FC236}">
              <a16:creationId xmlns:a16="http://schemas.microsoft.com/office/drawing/2014/main" id="{A7DF0B16-54A3-42CA-98C1-7757949DF228}"/>
            </a:ext>
          </a:extLst>
        </xdr:cNvPr>
        <xdr:cNvSpPr/>
      </xdr:nvSpPr>
      <xdr:spPr>
        <a:xfrm>
          <a:off x="5558118" y="13940118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3148853</xdr:colOff>
      <xdr:row>76</xdr:row>
      <xdr:rowOff>168089</xdr:rowOff>
    </xdr:from>
    <xdr:to>
      <xdr:col>3</xdr:col>
      <xdr:colOff>3278756</xdr:colOff>
      <xdr:row>77</xdr:row>
      <xdr:rowOff>187139</xdr:rowOff>
    </xdr:to>
    <xdr:sp macro="" textlink="">
      <xdr:nvSpPr>
        <xdr:cNvPr id="194" name="Estrela: 5 Pontas 193">
          <a:extLst>
            <a:ext uri="{FF2B5EF4-FFF2-40B4-BE49-F238E27FC236}">
              <a16:creationId xmlns:a16="http://schemas.microsoft.com/office/drawing/2014/main" id="{8F4E32E6-35B7-4AB2-AFD8-106393D27031}"/>
            </a:ext>
          </a:extLst>
        </xdr:cNvPr>
        <xdr:cNvSpPr/>
      </xdr:nvSpPr>
      <xdr:spPr>
        <a:xfrm>
          <a:off x="5569324" y="14141824"/>
          <a:ext cx="129903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2024/12%20-%20DEZEMBRO/RECEITAS%20-%20DEZEMB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2024/08%20-%20AGOSTO/AGOSTO%20-%20RECEI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2024/09%20-%20SETEMBRO/SETEMBRO%20-%20RECEIT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2025/02%20-%20FEVEREIRO/RECEITAS%20-%20FEVEREIR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2025/01%20-%20JANEIRO/RECEITAS%20-%20JANE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</sheetNames>
    <sheetDataSet>
      <sheetData sheetId="0">
        <row r="34">
          <cell r="J34" t="str">
            <v>PIX JS PJ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</sheetNames>
    <sheetDataSet>
      <sheetData sheetId="0">
        <row r="36">
          <cell r="E36" t="str">
            <v>EMPRESARIAL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</sheetNames>
    <sheetDataSet>
      <sheetData sheetId="0">
        <row r="51">
          <cell r="W51" t="str">
            <v>CONTRATO ABRIL 2024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</sheetNames>
    <sheetDataSet>
      <sheetData sheetId="0">
        <row r="85">
          <cell r="AH85">
            <v>6.8008376652951483</v>
          </cell>
        </row>
        <row r="86">
          <cell r="AH86">
            <v>-17.739295668091472</v>
          </cell>
        </row>
        <row r="87">
          <cell r="AH87">
            <v>-12.218333333334158</v>
          </cell>
        </row>
        <row r="90">
          <cell r="AH90">
            <v>3.3333333332734583E-3</v>
          </cell>
        </row>
        <row r="91">
          <cell r="AH91">
            <v>2.2222222224854704E-3</v>
          </cell>
        </row>
        <row r="92">
          <cell r="AH92">
            <v>3.9999999999054126E-3</v>
          </cell>
        </row>
        <row r="94">
          <cell r="AH94">
            <v>0</v>
          </cell>
        </row>
        <row r="100">
          <cell r="AH100">
            <v>-3.3333333394693909E-3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</sheetNames>
    <sheetDataSet>
      <sheetData sheetId="0">
        <row r="85">
          <cell r="AH85">
            <v>-4.1666666666666856</v>
          </cell>
        </row>
        <row r="90">
          <cell r="AH9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2024/06%20-%20JUNHO/1%20-%20MENU%20PRINCIP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2BF3-B7F2-491C-9E05-4B513F8CCE5B}">
  <dimension ref="A1:AN270"/>
  <sheetViews>
    <sheetView tabSelected="1" topLeftCell="A116" zoomScale="85" zoomScaleNormal="85" workbookViewId="0">
      <selection activeCell="A127" sqref="A127:XFD127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2" bestFit="1" customWidth="1"/>
    <col min="4" max="4" width="49.28515625" bestFit="1" customWidth="1"/>
    <col min="5" max="5" width="14.140625" bestFit="1" customWidth="1"/>
    <col min="6" max="6" width="44.5703125" bestFit="1" customWidth="1"/>
    <col min="7" max="7" width="15.7109375" bestFit="1" customWidth="1"/>
    <col min="8" max="8" width="39.28515625" bestFit="1" customWidth="1"/>
    <col min="9" max="9" width="14.28515625" style="68" bestFit="1" customWidth="1"/>
    <col min="10" max="10" width="23" style="13" bestFit="1" customWidth="1"/>
    <col min="11" max="11" width="14.140625" bestFit="1" customWidth="1"/>
    <col min="12" max="12" width="11.5703125" bestFit="1" customWidth="1"/>
    <col min="13" max="13" width="20" bestFit="1" customWidth="1"/>
    <col min="14" max="14" width="14.140625" style="13" bestFit="1" customWidth="1"/>
    <col min="15" max="15" width="23" bestFit="1" customWidth="1"/>
    <col min="16" max="16" width="10.7109375" bestFit="1" customWidth="1"/>
    <col min="17" max="18" width="11.7109375" style="13" bestFit="1" customWidth="1"/>
    <col min="19" max="19" width="12.7109375" bestFit="1" customWidth="1"/>
    <col min="20" max="20" width="12" bestFit="1" customWidth="1"/>
    <col min="21" max="21" width="15" bestFit="1" customWidth="1"/>
    <col min="22" max="22" width="25" style="13" bestFit="1" customWidth="1"/>
    <col min="23" max="23" width="32.85546875" style="13" bestFit="1" customWidth="1"/>
    <col min="24" max="24" width="36.28515625" style="13" bestFit="1" customWidth="1"/>
    <col min="25" max="25" width="27.28515625" bestFit="1" customWidth="1"/>
    <col min="26" max="26" width="17" bestFit="1" customWidth="1"/>
    <col min="27" max="27" width="14.7109375" bestFit="1" customWidth="1"/>
    <col min="28" max="28" width="13.85546875" customWidth="1"/>
    <col min="29" max="29" width="12.28515625" bestFit="1" customWidth="1"/>
    <col min="30" max="31" width="11.85546875" bestFit="1" customWidth="1"/>
    <col min="32" max="32" width="14.28515625" bestFit="1" customWidth="1"/>
    <col min="33" max="33" width="16.42578125" bestFit="1" customWidth="1"/>
    <col min="34" max="34" width="13.140625" bestFit="1" customWidth="1"/>
    <col min="35" max="35" width="14.5703125" bestFit="1" customWidth="1"/>
    <col min="36" max="36" width="11.7109375" style="223" bestFit="1" customWidth="1"/>
    <col min="37" max="37" width="11.85546875" bestFit="1" customWidth="1"/>
  </cols>
  <sheetData>
    <row r="1" spans="1:40" s="94" customFormat="1" x14ac:dyDescent="0.25">
      <c r="A1" s="275" t="s">
        <v>0</v>
      </c>
      <c r="B1" s="318" t="s">
        <v>282</v>
      </c>
      <c r="C1" s="276"/>
      <c r="D1" s="277" t="s">
        <v>1</v>
      </c>
      <c r="E1" s="278"/>
      <c r="F1" s="279"/>
      <c r="G1" s="280"/>
      <c r="H1" s="276"/>
      <c r="I1" s="280"/>
      <c r="J1" s="276"/>
      <c r="K1" s="276"/>
      <c r="L1" s="276"/>
      <c r="M1" s="276"/>
      <c r="N1" s="276"/>
      <c r="O1" s="281" t="s">
        <v>2</v>
      </c>
      <c r="P1" s="282" t="s">
        <v>80</v>
      </c>
      <c r="Q1" s="283" t="s">
        <v>3</v>
      </c>
      <c r="R1" s="284" t="s">
        <v>4</v>
      </c>
      <c r="S1" s="285" t="s">
        <v>5</v>
      </c>
      <c r="T1" s="278"/>
      <c r="U1" s="276"/>
      <c r="V1" s="276"/>
      <c r="W1" s="280"/>
      <c r="X1" s="280"/>
      <c r="Y1" s="207"/>
      <c r="Z1" s="207"/>
      <c r="AA1" s="207"/>
      <c r="AB1" s="208"/>
      <c r="AC1" s="208"/>
      <c r="AD1" s="207"/>
      <c r="AE1" s="207"/>
      <c r="AF1" s="207"/>
      <c r="AG1" s="207"/>
      <c r="AH1" s="207"/>
      <c r="AI1" s="207"/>
      <c r="AJ1" s="347"/>
      <c r="AK1" s="207"/>
      <c r="AL1" s="207"/>
      <c r="AM1" s="207"/>
    </row>
    <row r="2" spans="1:40" s="94" customFormat="1" x14ac:dyDescent="0.25">
      <c r="A2" s="83" t="s">
        <v>6</v>
      </c>
      <c r="B2" s="84" t="s">
        <v>7</v>
      </c>
      <c r="C2" s="84" t="s">
        <v>8</v>
      </c>
      <c r="D2" s="85" t="s">
        <v>9</v>
      </c>
      <c r="E2" s="86" t="s">
        <v>10</v>
      </c>
      <c r="F2" s="87" t="s">
        <v>11</v>
      </c>
      <c r="G2" s="86" t="s">
        <v>12</v>
      </c>
      <c r="H2" s="86" t="s">
        <v>13</v>
      </c>
      <c r="I2" s="95" t="s">
        <v>14</v>
      </c>
      <c r="J2" s="86" t="s">
        <v>15</v>
      </c>
      <c r="K2" s="88" t="s">
        <v>16</v>
      </c>
      <c r="L2" s="89">
        <v>0.1</v>
      </c>
      <c r="M2" s="14" t="s">
        <v>17</v>
      </c>
      <c r="N2" s="15">
        <v>0.33333332999999998</v>
      </c>
      <c r="O2" s="16">
        <v>0.23330000000000001</v>
      </c>
      <c r="P2" s="90"/>
      <c r="Q2" s="91"/>
      <c r="R2" s="17">
        <f>N2</f>
        <v>0.33333332999999998</v>
      </c>
      <c r="S2" s="18">
        <v>1</v>
      </c>
      <c r="T2" s="19" t="s">
        <v>18</v>
      </c>
      <c r="U2" s="241" t="s">
        <v>19</v>
      </c>
      <c r="V2" s="240" t="s">
        <v>20</v>
      </c>
      <c r="W2" s="240" t="s">
        <v>21</v>
      </c>
      <c r="X2" s="240" t="s">
        <v>22</v>
      </c>
      <c r="Y2" s="92"/>
      <c r="Z2" s="207"/>
      <c r="AA2" s="207"/>
      <c r="AB2" s="208"/>
      <c r="AC2" s="208"/>
      <c r="AD2" s="207"/>
      <c r="AE2" s="207"/>
      <c r="AF2" s="207"/>
      <c r="AG2" s="207"/>
      <c r="AH2" s="207"/>
      <c r="AI2" s="207"/>
      <c r="AJ2" s="347"/>
      <c r="AK2" s="207"/>
      <c r="AL2" s="207"/>
      <c r="AM2" s="207"/>
    </row>
    <row r="3" spans="1:40" x14ac:dyDescent="0.25">
      <c r="A3" s="20">
        <v>45719</v>
      </c>
      <c r="B3" s="221">
        <v>1</v>
      </c>
      <c r="C3" s="20" t="s">
        <v>27</v>
      </c>
      <c r="D3" s="319" t="s">
        <v>290</v>
      </c>
      <c r="E3" s="331" t="s">
        <v>132</v>
      </c>
      <c r="F3" s="320" t="s">
        <v>291</v>
      </c>
      <c r="G3" s="321">
        <v>4000</v>
      </c>
      <c r="H3" s="221" t="s">
        <v>292</v>
      </c>
      <c r="I3" s="332">
        <v>600</v>
      </c>
      <c r="J3" s="322" t="str">
        <f>J4</f>
        <v>PIX JS PJ ITAÚ</v>
      </c>
      <c r="K3" s="323" t="s">
        <v>44</v>
      </c>
      <c r="L3" s="323">
        <f>I3*10/100</f>
        <v>60</v>
      </c>
      <c r="M3" s="329" t="s">
        <v>32</v>
      </c>
      <c r="N3" s="330">
        <f>I3/3</f>
        <v>200</v>
      </c>
      <c r="O3" s="324">
        <f>I3/3-L3</f>
        <v>140</v>
      </c>
      <c r="P3" s="27">
        <v>2</v>
      </c>
      <c r="Q3" s="28">
        <f>O3/2</f>
        <v>70</v>
      </c>
      <c r="R3" s="325">
        <f>I3/3</f>
        <v>200</v>
      </c>
      <c r="S3" s="326">
        <f>L3+N3+O3+R3</f>
        <v>600</v>
      </c>
      <c r="T3" s="327">
        <f>I3-S3</f>
        <v>0</v>
      </c>
      <c r="U3" s="328">
        <f>200*17</f>
        <v>3400</v>
      </c>
      <c r="V3" s="221" t="s">
        <v>293</v>
      </c>
      <c r="W3" s="321" t="s">
        <v>104</v>
      </c>
      <c r="X3" s="321" t="s">
        <v>294</v>
      </c>
      <c r="Y3" s="313"/>
      <c r="Z3" s="218"/>
      <c r="AA3" s="218"/>
      <c r="AD3" s="218"/>
      <c r="AE3" s="13"/>
      <c r="AF3" s="13"/>
    </row>
    <row r="4" spans="1:40" ht="15" customHeight="1" x14ac:dyDescent="0.25">
      <c r="A4" s="20">
        <v>45719</v>
      </c>
      <c r="B4" s="1">
        <v>2</v>
      </c>
      <c r="C4" s="20" t="s">
        <v>27</v>
      </c>
      <c r="D4" s="3" t="s">
        <v>40</v>
      </c>
      <c r="E4" s="48" t="s">
        <v>35</v>
      </c>
      <c r="F4" s="3" t="s">
        <v>41</v>
      </c>
      <c r="G4" s="7">
        <v>3000</v>
      </c>
      <c r="H4" s="1" t="s">
        <v>42</v>
      </c>
      <c r="I4" s="49">
        <v>300</v>
      </c>
      <c r="J4" s="50" t="s">
        <v>43</v>
      </c>
      <c r="K4" s="24" t="s">
        <v>44</v>
      </c>
      <c r="L4" s="24">
        <f>I4*10/100</f>
        <v>30</v>
      </c>
      <c r="M4" s="51" t="s">
        <v>37</v>
      </c>
      <c r="N4" s="51">
        <f>I4/3</f>
        <v>100</v>
      </c>
      <c r="O4" s="26">
        <f>I4/3-L4</f>
        <v>70</v>
      </c>
      <c r="P4" s="52">
        <v>3</v>
      </c>
      <c r="Q4" s="51">
        <f>O4/P4</f>
        <v>23.333333333333332</v>
      </c>
      <c r="R4" s="53">
        <f>I4/3</f>
        <v>100</v>
      </c>
      <c r="S4" s="30">
        <f>L4+N4+O4+R4</f>
        <v>300</v>
      </c>
      <c r="T4" s="54">
        <v>0</v>
      </c>
      <c r="U4" s="55">
        <f>I4*1</f>
        <v>300</v>
      </c>
      <c r="V4" s="56" t="s">
        <v>286</v>
      </c>
      <c r="W4" s="7" t="s">
        <v>45</v>
      </c>
      <c r="X4" s="7" t="s">
        <v>287</v>
      </c>
      <c r="Y4" s="7"/>
      <c r="Z4" s="178"/>
      <c r="AA4" s="178"/>
      <c r="AB4" s="129"/>
      <c r="AC4" s="129"/>
      <c r="AD4" s="178"/>
      <c r="AE4" s="129"/>
      <c r="AF4" s="129"/>
      <c r="AG4" s="72"/>
      <c r="AH4" s="72"/>
      <c r="AI4" s="72"/>
      <c r="AJ4" s="299"/>
      <c r="AK4" s="72"/>
      <c r="AL4" s="72"/>
      <c r="AM4" s="72"/>
    </row>
    <row r="5" spans="1:40" x14ac:dyDescent="0.25">
      <c r="A5" s="20">
        <v>45720</v>
      </c>
      <c r="B5" s="1">
        <v>3</v>
      </c>
      <c r="C5" s="20" t="s">
        <v>27</v>
      </c>
      <c r="D5" s="3" t="s">
        <v>50</v>
      </c>
      <c r="E5" s="62" t="s">
        <v>51</v>
      </c>
      <c r="F5" s="3" t="s">
        <v>52</v>
      </c>
      <c r="G5" s="7">
        <v>5000</v>
      </c>
      <c r="H5" s="1" t="s">
        <v>53</v>
      </c>
      <c r="I5" s="63">
        <v>500</v>
      </c>
      <c r="J5" s="50" t="s">
        <v>39</v>
      </c>
      <c r="K5" s="64" t="s">
        <v>54</v>
      </c>
      <c r="L5" s="65">
        <f>I5*20/100</f>
        <v>100</v>
      </c>
      <c r="M5" s="38" t="s">
        <v>32</v>
      </c>
      <c r="N5" s="66">
        <f>(I5-L5)/3</f>
        <v>133.33333333333334</v>
      </c>
      <c r="O5" s="26">
        <f>I5-L5-N5-R5</f>
        <v>133.33333333333329</v>
      </c>
      <c r="P5" s="27">
        <v>2</v>
      </c>
      <c r="Q5" s="28">
        <f>O5/P5</f>
        <v>66.666666666666643</v>
      </c>
      <c r="R5" s="53">
        <f>(I5-L5)/3</f>
        <v>133.33333333333334</v>
      </c>
      <c r="S5" s="30">
        <f>L5+N5+O5+R5</f>
        <v>500</v>
      </c>
      <c r="T5" s="54">
        <f>I5-S5</f>
        <v>0</v>
      </c>
      <c r="U5" s="55">
        <f>I5*2</f>
        <v>1000</v>
      </c>
      <c r="V5" s="56" t="s">
        <v>288</v>
      </c>
      <c r="W5" s="7" t="s">
        <v>55</v>
      </c>
      <c r="X5" s="7" t="s">
        <v>56</v>
      </c>
      <c r="Y5" s="3"/>
      <c r="Z5" s="72"/>
      <c r="AA5" s="72"/>
      <c r="AB5" s="129"/>
      <c r="AC5" s="129"/>
      <c r="AD5" s="72"/>
      <c r="AE5" s="72"/>
      <c r="AF5" s="72"/>
      <c r="AG5" s="72"/>
      <c r="AH5" s="72"/>
      <c r="AI5" s="72"/>
      <c r="AJ5" s="299"/>
      <c r="AK5" s="72"/>
      <c r="AL5" s="72"/>
      <c r="AM5" s="72"/>
    </row>
    <row r="6" spans="1:40" x14ac:dyDescent="0.25">
      <c r="A6" s="20">
        <v>45721</v>
      </c>
      <c r="B6" s="1">
        <v>4</v>
      </c>
      <c r="C6" s="20" t="s">
        <v>27</v>
      </c>
      <c r="D6" s="96" t="s">
        <v>81</v>
      </c>
      <c r="E6" s="34" t="s">
        <v>29</v>
      </c>
      <c r="F6" s="4" t="s">
        <v>30</v>
      </c>
      <c r="G6" s="7">
        <v>3000</v>
      </c>
      <c r="H6" s="1" t="s">
        <v>33</v>
      </c>
      <c r="I6" s="35">
        <v>200</v>
      </c>
      <c r="J6" s="23" t="s">
        <v>82</v>
      </c>
      <c r="K6" s="24" t="str">
        <f>M6</f>
        <v>JS</v>
      </c>
      <c r="L6" s="24">
        <f>I6*10/100</f>
        <v>20</v>
      </c>
      <c r="M6" s="25" t="s">
        <v>25</v>
      </c>
      <c r="N6" s="25">
        <f>I6/3/2</f>
        <v>33.333333333333336</v>
      </c>
      <c r="O6" s="26">
        <f>I6/3-L6</f>
        <v>46.666666666666671</v>
      </c>
      <c r="P6" s="27">
        <v>2</v>
      </c>
      <c r="Q6" s="28">
        <f>O6/P6</f>
        <v>23.333333333333336</v>
      </c>
      <c r="R6" s="29">
        <f>I6/3</f>
        <v>66.666666666666671</v>
      </c>
      <c r="S6" s="30">
        <f>L6+N6+N7+O6+R6</f>
        <v>200</v>
      </c>
      <c r="T6" s="31">
        <f>I6-S6</f>
        <v>0</v>
      </c>
      <c r="U6" s="32">
        <f>I6*3</f>
        <v>600</v>
      </c>
      <c r="V6" s="1" t="s">
        <v>283</v>
      </c>
      <c r="W6" s="7" t="s">
        <v>31</v>
      </c>
      <c r="X6" s="7"/>
      <c r="Y6" s="313"/>
      <c r="Z6" s="218"/>
      <c r="AA6" s="218"/>
      <c r="AB6" s="13"/>
      <c r="AD6" s="218"/>
      <c r="AE6" s="13"/>
      <c r="AF6" s="13"/>
      <c r="AJ6" s="299"/>
      <c r="AK6" s="72"/>
      <c r="AL6" s="72"/>
      <c r="AM6" s="72"/>
      <c r="AN6" s="72"/>
    </row>
    <row r="7" spans="1:40" x14ac:dyDescent="0.25">
      <c r="A7" s="97"/>
      <c r="B7" s="1"/>
      <c r="C7" s="97"/>
      <c r="D7" s="3"/>
      <c r="E7" s="3"/>
      <c r="F7" s="37"/>
      <c r="G7" s="7"/>
      <c r="H7" s="7"/>
      <c r="I7" s="7"/>
      <c r="J7" s="7"/>
      <c r="K7" s="1"/>
      <c r="L7" s="6"/>
      <c r="M7" s="38" t="s">
        <v>32</v>
      </c>
      <c r="N7" s="33">
        <f>I6/3/2</f>
        <v>33.333333333333336</v>
      </c>
      <c r="O7" s="1"/>
      <c r="P7" s="27"/>
      <c r="Q7" s="28"/>
      <c r="R7" s="1"/>
      <c r="S7" s="1"/>
      <c r="T7" s="1"/>
      <c r="U7" s="1"/>
      <c r="V7" s="1"/>
      <c r="W7" s="7"/>
      <c r="X7" s="7"/>
      <c r="Y7" s="313"/>
      <c r="Z7" s="218"/>
      <c r="AA7" s="218"/>
      <c r="AB7" s="13"/>
      <c r="AD7" s="218"/>
      <c r="AE7" s="13"/>
      <c r="AF7" s="13"/>
      <c r="AJ7" s="299"/>
      <c r="AK7" s="72"/>
      <c r="AL7" s="72"/>
      <c r="AM7" s="72"/>
      <c r="AN7" s="72"/>
    </row>
    <row r="8" spans="1:40" x14ac:dyDescent="0.25">
      <c r="A8" s="20">
        <v>45721</v>
      </c>
      <c r="B8" s="1">
        <v>5</v>
      </c>
      <c r="C8" s="20" t="s">
        <v>27</v>
      </c>
      <c r="D8" s="3" t="s">
        <v>47</v>
      </c>
      <c r="E8" s="21" t="s">
        <v>23</v>
      </c>
      <c r="F8" s="4" t="s">
        <v>24</v>
      </c>
      <c r="G8" s="7">
        <v>5000</v>
      </c>
      <c r="H8" s="1" t="s">
        <v>48</v>
      </c>
      <c r="I8" s="22">
        <v>200</v>
      </c>
      <c r="J8" s="23" t="s">
        <v>39</v>
      </c>
      <c r="K8" s="24" t="s">
        <v>44</v>
      </c>
      <c r="L8" s="24">
        <f>I8*10/100</f>
        <v>20</v>
      </c>
      <c r="M8" s="25" t="s">
        <v>44</v>
      </c>
      <c r="N8" s="25">
        <f>I8/3/2</f>
        <v>33.333333333333336</v>
      </c>
      <c r="O8" s="26">
        <f>I8/3-L8</f>
        <v>46.666666666666671</v>
      </c>
      <c r="P8" s="27">
        <v>2</v>
      </c>
      <c r="Q8" s="28">
        <f>O8/P8</f>
        <v>23.333333333333336</v>
      </c>
      <c r="R8" s="29">
        <f>I8/3</f>
        <v>66.666666666666671</v>
      </c>
      <c r="S8" s="30">
        <f>L8+N8+N9+O8+R8</f>
        <v>200</v>
      </c>
      <c r="T8" s="31">
        <f>I8-S8</f>
        <v>0</v>
      </c>
      <c r="U8" s="32">
        <f>200*9</f>
        <v>1800</v>
      </c>
      <c r="V8" s="1" t="s">
        <v>289</v>
      </c>
      <c r="W8" s="7" t="s">
        <v>49</v>
      </c>
      <c r="X8" s="7"/>
      <c r="Y8" s="7"/>
      <c r="Z8" s="178"/>
      <c r="AA8" s="178"/>
      <c r="AB8" s="129"/>
      <c r="AC8" s="72"/>
      <c r="AD8" s="178"/>
      <c r="AE8" s="129"/>
      <c r="AF8" s="129"/>
      <c r="AG8" s="72"/>
      <c r="AH8" s="72"/>
      <c r="AI8" s="72"/>
      <c r="AJ8" s="299"/>
      <c r="AK8" s="72"/>
      <c r="AL8" s="72"/>
      <c r="AM8" s="72"/>
    </row>
    <row r="9" spans="1:40" x14ac:dyDescent="0.25">
      <c r="A9" s="57"/>
      <c r="B9" s="1"/>
      <c r="C9" s="1"/>
      <c r="D9" s="3"/>
      <c r="E9" s="1"/>
      <c r="F9" s="4"/>
      <c r="G9" s="7"/>
      <c r="H9" s="3"/>
      <c r="I9" s="7"/>
      <c r="J9" s="1"/>
      <c r="K9" s="7"/>
      <c r="L9" s="3"/>
      <c r="M9" s="58" t="s">
        <v>26</v>
      </c>
      <c r="N9" s="33">
        <f>I8/3/2</f>
        <v>33.333333333333336</v>
      </c>
      <c r="O9" s="1"/>
      <c r="P9" s="27"/>
      <c r="Q9" s="28"/>
      <c r="R9" s="1"/>
      <c r="S9" s="1"/>
      <c r="T9" s="1"/>
      <c r="U9" s="1"/>
      <c r="V9" s="1"/>
      <c r="W9" s="7"/>
      <c r="X9" s="7"/>
      <c r="Y9" s="7"/>
      <c r="Z9" s="178"/>
      <c r="AA9" s="178"/>
      <c r="AB9" s="129"/>
      <c r="AC9" s="72"/>
      <c r="AD9" s="178"/>
      <c r="AE9" s="129"/>
      <c r="AF9" s="129"/>
      <c r="AG9" s="72"/>
      <c r="AH9" s="72"/>
      <c r="AI9" s="72"/>
      <c r="AJ9" s="299"/>
      <c r="AK9" s="72"/>
      <c r="AL9" s="72"/>
      <c r="AM9" s="72"/>
    </row>
    <row r="10" spans="1:40" x14ac:dyDescent="0.25">
      <c r="A10" s="20">
        <v>45721</v>
      </c>
      <c r="B10" s="1">
        <v>6</v>
      </c>
      <c r="C10" s="20" t="s">
        <v>27</v>
      </c>
      <c r="D10" s="3" t="s">
        <v>208</v>
      </c>
      <c r="E10" s="21" t="s">
        <v>23</v>
      </c>
      <c r="F10" s="4" t="s">
        <v>24</v>
      </c>
      <c r="G10" s="7">
        <v>2600</v>
      </c>
      <c r="H10" s="1" t="s">
        <v>209</v>
      </c>
      <c r="I10" s="22">
        <v>200</v>
      </c>
      <c r="J10" s="23" t="s">
        <v>227</v>
      </c>
      <c r="K10" s="24" t="s">
        <v>25</v>
      </c>
      <c r="L10" s="24">
        <f>I10*10/100</f>
        <v>20</v>
      </c>
      <c r="M10" s="25" t="s">
        <v>25</v>
      </c>
      <c r="N10" s="25">
        <f>I10/3/2</f>
        <v>33.333333333333336</v>
      </c>
      <c r="O10" s="26">
        <f>I10/3-L10</f>
        <v>46.666666666666671</v>
      </c>
      <c r="P10" s="27">
        <v>2</v>
      </c>
      <c r="Q10" s="28">
        <f>O10/P10</f>
        <v>23.333333333333336</v>
      </c>
      <c r="R10" s="29">
        <f>I10/3</f>
        <v>66.666666666666671</v>
      </c>
      <c r="S10" s="30">
        <f>L10+N10+N11+O10+R10</f>
        <v>200</v>
      </c>
      <c r="T10" s="31">
        <f>I10-S10</f>
        <v>0</v>
      </c>
      <c r="U10" s="32">
        <f>I10*10</f>
        <v>2000</v>
      </c>
      <c r="V10" s="1" t="s">
        <v>228</v>
      </c>
      <c r="W10" s="1" t="s">
        <v>211</v>
      </c>
      <c r="X10" s="1" t="s">
        <v>210</v>
      </c>
      <c r="Y10" s="7"/>
      <c r="Z10" s="178"/>
      <c r="AA10" s="129"/>
      <c r="AB10" s="72"/>
      <c r="AC10" s="178"/>
      <c r="AD10" s="129"/>
      <c r="AE10" s="129"/>
      <c r="AF10" s="72"/>
      <c r="AG10" s="72"/>
      <c r="AH10" s="72"/>
      <c r="AI10" s="72"/>
      <c r="AJ10" s="299"/>
      <c r="AK10" s="72"/>
      <c r="AL10" s="72"/>
      <c r="AM10" s="72"/>
    </row>
    <row r="11" spans="1:40" s="72" customFormat="1" ht="12.75" x14ac:dyDescent="0.2">
      <c r="A11" s="1"/>
      <c r="B11" s="1"/>
      <c r="C11" s="1"/>
      <c r="D11" s="3"/>
      <c r="E11" s="1"/>
      <c r="F11" s="4"/>
      <c r="G11" s="7"/>
      <c r="H11" s="3"/>
      <c r="I11" s="7"/>
      <c r="J11" s="1"/>
      <c r="K11" s="7"/>
      <c r="L11" s="1"/>
      <c r="M11" s="33" t="s">
        <v>26</v>
      </c>
      <c r="N11" s="33">
        <f>I10/3/2</f>
        <v>33.333333333333336</v>
      </c>
      <c r="O11" s="1"/>
      <c r="P11" s="27"/>
      <c r="Q11" s="28"/>
      <c r="R11" s="1"/>
      <c r="S11" s="1"/>
      <c r="T11" s="1"/>
      <c r="U11" s="1"/>
      <c r="V11" s="1"/>
      <c r="W11" s="1"/>
      <c r="X11" s="1"/>
      <c r="Y11" s="3"/>
      <c r="AB11" s="129"/>
      <c r="AC11" s="129"/>
      <c r="AJ11" s="299"/>
    </row>
    <row r="12" spans="1:40" x14ac:dyDescent="0.25">
      <c r="A12" s="20">
        <v>45721</v>
      </c>
      <c r="B12" s="1">
        <v>7</v>
      </c>
      <c r="C12" s="20" t="s">
        <v>27</v>
      </c>
      <c r="D12" s="3" t="s">
        <v>57</v>
      </c>
      <c r="E12" s="202" t="s">
        <v>58</v>
      </c>
      <c r="F12" s="3" t="s">
        <v>59</v>
      </c>
      <c r="G12" s="7">
        <v>5000</v>
      </c>
      <c r="H12" s="1" t="s">
        <v>60</v>
      </c>
      <c r="I12" s="203">
        <v>500</v>
      </c>
      <c r="J12" s="23" t="str">
        <f>J5</f>
        <v>PIX JS PJ</v>
      </c>
      <c r="K12" s="38" t="s">
        <v>32</v>
      </c>
      <c r="L12" s="38">
        <f>I12*10/100</f>
        <v>50</v>
      </c>
      <c r="M12" s="58" t="str">
        <f>K12</f>
        <v>JÉTER</v>
      </c>
      <c r="N12" s="58">
        <f>I12/3</f>
        <v>166.66666666666666</v>
      </c>
      <c r="O12" s="26">
        <f>I12/3-L12</f>
        <v>116.66666666666666</v>
      </c>
      <c r="P12" s="27">
        <v>2</v>
      </c>
      <c r="Q12" s="28">
        <f>O12/P12</f>
        <v>58.333333333333329</v>
      </c>
      <c r="R12" s="53">
        <f>I12/3</f>
        <v>166.66666666666666</v>
      </c>
      <c r="S12" s="30">
        <f>L12+N12+O12+R12</f>
        <v>500</v>
      </c>
      <c r="T12" s="54">
        <f>I12-S12</f>
        <v>0</v>
      </c>
      <c r="U12" s="55">
        <f>I12*3</f>
        <v>1500</v>
      </c>
      <c r="V12" s="1" t="s">
        <v>295</v>
      </c>
      <c r="W12" s="1" t="s">
        <v>62</v>
      </c>
      <c r="X12" s="1" t="s">
        <v>117</v>
      </c>
      <c r="Y12" s="3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299"/>
      <c r="AK12" s="72"/>
      <c r="AL12" s="72"/>
      <c r="AM12" s="72"/>
    </row>
    <row r="13" spans="1:40" x14ac:dyDescent="0.25">
      <c r="A13" s="20">
        <v>45722</v>
      </c>
      <c r="B13" s="1">
        <v>8</v>
      </c>
      <c r="C13" s="2" t="s">
        <v>27</v>
      </c>
      <c r="D13" s="3" t="s">
        <v>76</v>
      </c>
      <c r="E13" s="48" t="s">
        <v>35</v>
      </c>
      <c r="F13" s="3" t="s">
        <v>77</v>
      </c>
      <c r="G13" s="7">
        <v>2000</v>
      </c>
      <c r="H13" s="1" t="s">
        <v>78</v>
      </c>
      <c r="I13" s="75">
        <v>160</v>
      </c>
      <c r="J13" s="30" t="s">
        <v>39</v>
      </c>
      <c r="K13" s="38" t="s">
        <v>32</v>
      </c>
      <c r="L13" s="38">
        <f>I13*10/100</f>
        <v>16</v>
      </c>
      <c r="M13" s="58" t="str">
        <f>M12</f>
        <v>JÉTER</v>
      </c>
      <c r="N13" s="58">
        <f>I13/3</f>
        <v>53.333333333333336</v>
      </c>
      <c r="O13" s="26">
        <f>I13/3-L13</f>
        <v>37.333333333333336</v>
      </c>
      <c r="P13" s="27">
        <v>2</v>
      </c>
      <c r="Q13" s="28">
        <f>O13/P13</f>
        <v>18.666666666666668</v>
      </c>
      <c r="R13" s="60">
        <f>I13/3</f>
        <v>53.333333333333336</v>
      </c>
      <c r="S13" s="30">
        <f>L13+N13+O13+R13</f>
        <v>160.00000000000003</v>
      </c>
      <c r="T13" s="31">
        <f t="shared" ref="T13" si="0">I13-S13</f>
        <v>0</v>
      </c>
      <c r="U13" s="32">
        <f>1267-160</f>
        <v>1107</v>
      </c>
      <c r="V13" s="1" t="s">
        <v>296</v>
      </c>
      <c r="W13" s="7" t="s">
        <v>79</v>
      </c>
      <c r="X13" s="7"/>
      <c r="Y13" s="7"/>
      <c r="Z13" s="178"/>
      <c r="AA13" s="178"/>
      <c r="AB13" s="129"/>
      <c r="AC13" s="129"/>
      <c r="AD13" s="178"/>
      <c r="AE13" s="129"/>
      <c r="AF13" s="129"/>
      <c r="AG13" s="72"/>
      <c r="AH13" s="72"/>
      <c r="AI13" s="72"/>
      <c r="AJ13" s="299"/>
      <c r="AK13" s="72"/>
      <c r="AL13" s="72"/>
      <c r="AM13" s="72"/>
    </row>
    <row r="14" spans="1:40" x14ac:dyDescent="0.25">
      <c r="A14" s="20">
        <v>45722</v>
      </c>
      <c r="B14" s="1">
        <v>9</v>
      </c>
      <c r="C14" s="20" t="s">
        <v>27</v>
      </c>
      <c r="D14" s="3" t="s">
        <v>172</v>
      </c>
      <c r="E14" s="136" t="s">
        <v>23</v>
      </c>
      <c r="F14" s="4" t="s">
        <v>171</v>
      </c>
      <c r="G14" s="7">
        <v>2000</v>
      </c>
      <c r="H14" s="1" t="s">
        <v>173</v>
      </c>
      <c r="I14" s="137">
        <v>200</v>
      </c>
      <c r="J14" s="23" t="s">
        <v>39</v>
      </c>
      <c r="K14" s="38" t="s">
        <v>32</v>
      </c>
      <c r="L14" s="38">
        <f>I14*10/100</f>
        <v>20</v>
      </c>
      <c r="M14" s="33" t="str">
        <f>M64</f>
        <v>JÉTER</v>
      </c>
      <c r="N14" s="33">
        <f>I14/3/2</f>
        <v>33.333333333333336</v>
      </c>
      <c r="O14" s="26">
        <f t="shared" ref="O14" si="1">I14/3-L14</f>
        <v>46.666666666666671</v>
      </c>
      <c r="P14" s="148">
        <v>3</v>
      </c>
      <c r="Q14" s="117">
        <f>O14/P14</f>
        <v>15.555555555555557</v>
      </c>
      <c r="R14" s="29">
        <v>66.666666666666671</v>
      </c>
      <c r="S14" s="30">
        <f>L14+N14+N15+O14+R14</f>
        <v>200</v>
      </c>
      <c r="T14" s="31">
        <v>0</v>
      </c>
      <c r="U14" s="32">
        <f>I14*6</f>
        <v>1200</v>
      </c>
      <c r="V14" s="1" t="s">
        <v>105</v>
      </c>
      <c r="W14" s="7" t="s">
        <v>174</v>
      </c>
      <c r="X14" s="7"/>
      <c r="Y14" s="3"/>
      <c r="Z14" s="72"/>
      <c r="AA14" s="129"/>
      <c r="AB14" s="72"/>
      <c r="AC14" s="72"/>
      <c r="AD14" s="72"/>
      <c r="AE14" s="72"/>
      <c r="AF14" s="72"/>
      <c r="AG14" s="72"/>
      <c r="AH14" s="72"/>
      <c r="AI14" s="72"/>
      <c r="AJ14" s="299"/>
      <c r="AK14" s="72"/>
    </row>
    <row r="15" spans="1:40" x14ac:dyDescent="0.25">
      <c r="A15" s="3"/>
      <c r="B15" s="3"/>
      <c r="C15" s="3"/>
      <c r="D15" s="3"/>
      <c r="E15" s="3"/>
      <c r="F15" s="3"/>
      <c r="G15" s="3"/>
      <c r="H15" s="3"/>
      <c r="I15" s="134"/>
      <c r="J15" s="1"/>
      <c r="K15" s="3"/>
      <c r="L15" s="3"/>
      <c r="M15" s="117" t="s">
        <v>92</v>
      </c>
      <c r="N15" s="117">
        <f>N14</f>
        <v>33.333333333333336</v>
      </c>
      <c r="O15" s="3"/>
      <c r="P15" s="3"/>
      <c r="Q15" s="1"/>
      <c r="R15" s="1"/>
      <c r="S15" s="3"/>
      <c r="T15" s="3"/>
      <c r="U15" s="3"/>
      <c r="V15" s="1"/>
      <c r="W15" s="1"/>
      <c r="X15" s="1"/>
      <c r="Y15" s="3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299"/>
      <c r="AK15" s="72"/>
    </row>
    <row r="16" spans="1:40" x14ac:dyDescent="0.25">
      <c r="A16" s="20">
        <v>45723</v>
      </c>
      <c r="B16" s="1">
        <v>10</v>
      </c>
      <c r="C16" s="20" t="s">
        <v>27</v>
      </c>
      <c r="D16" s="96" t="s">
        <v>279</v>
      </c>
      <c r="E16" s="48" t="s">
        <v>269</v>
      </c>
      <c r="F16" s="4" t="s">
        <v>280</v>
      </c>
      <c r="G16" s="7">
        <v>4200</v>
      </c>
      <c r="H16" s="1" t="s">
        <v>270</v>
      </c>
      <c r="I16" s="49">
        <v>300</v>
      </c>
      <c r="J16" s="23" t="str">
        <f>[1]RECEITAS!J34</f>
        <v>PIX JS PJ</v>
      </c>
      <c r="K16" s="71" t="s">
        <v>44</v>
      </c>
      <c r="L16" s="71">
        <f t="shared" ref="L16:L26" si="2">I16*10/100</f>
        <v>30</v>
      </c>
      <c r="M16" s="71" t="s">
        <v>44</v>
      </c>
      <c r="N16" s="71">
        <f t="shared" ref="N16:N26" si="3">I16/3</f>
        <v>100</v>
      </c>
      <c r="O16" s="26">
        <f t="shared" ref="O16:O26" si="4">I16/3-L16</f>
        <v>70</v>
      </c>
      <c r="P16" s="27">
        <v>3</v>
      </c>
      <c r="Q16" s="28">
        <f>O16/P16</f>
        <v>23.333333333333332</v>
      </c>
      <c r="R16" s="29">
        <f t="shared" ref="R16:R26" si="5">I16/3</f>
        <v>100</v>
      </c>
      <c r="S16" s="30">
        <f t="shared" ref="S16:S26" si="6">L16+N16+O16+R16</f>
        <v>300</v>
      </c>
      <c r="T16" s="31">
        <v>0</v>
      </c>
      <c r="U16" s="61">
        <f>I16*3</f>
        <v>900</v>
      </c>
      <c r="V16" s="1" t="s">
        <v>271</v>
      </c>
      <c r="W16" s="7" t="s">
        <v>167</v>
      </c>
      <c r="X16" s="7" t="s">
        <v>284</v>
      </c>
      <c r="Y16" s="313"/>
      <c r="Z16" s="218"/>
      <c r="AA16" s="218"/>
      <c r="AB16" s="13"/>
      <c r="AD16" s="218"/>
      <c r="AE16" s="13"/>
      <c r="AF16" s="13"/>
    </row>
    <row r="17" spans="1:39" x14ac:dyDescent="0.25">
      <c r="A17" s="20">
        <v>45723</v>
      </c>
      <c r="B17" s="1">
        <v>11</v>
      </c>
      <c r="C17" s="20" t="s">
        <v>27</v>
      </c>
      <c r="D17" s="96" t="s">
        <v>279</v>
      </c>
      <c r="E17" s="21" t="s">
        <v>23</v>
      </c>
      <c r="F17" s="4" t="s">
        <v>281</v>
      </c>
      <c r="G17" s="7">
        <v>2000</v>
      </c>
      <c r="H17" s="1" t="s">
        <v>275</v>
      </c>
      <c r="I17" s="22">
        <v>200</v>
      </c>
      <c r="J17" s="23" t="str">
        <f>J16</f>
        <v>PIX JS PJ</v>
      </c>
      <c r="K17" s="71" t="s">
        <v>44</v>
      </c>
      <c r="L17" s="71">
        <f t="shared" si="2"/>
        <v>20</v>
      </c>
      <c r="M17" s="314" t="s">
        <v>61</v>
      </c>
      <c r="N17" s="315">
        <f t="shared" si="3"/>
        <v>66.666666666666671</v>
      </c>
      <c r="O17" s="26">
        <f t="shared" si="4"/>
        <v>46.666666666666671</v>
      </c>
      <c r="P17" s="316">
        <v>5</v>
      </c>
      <c r="Q17" s="317">
        <f>O17/5</f>
        <v>9.3333333333333339</v>
      </c>
      <c r="R17" s="29">
        <f t="shared" si="5"/>
        <v>66.666666666666671</v>
      </c>
      <c r="S17" s="30">
        <f t="shared" si="6"/>
        <v>200</v>
      </c>
      <c r="T17" s="31">
        <v>0</v>
      </c>
      <c r="U17" s="61">
        <f>I17*5</f>
        <v>1000</v>
      </c>
      <c r="V17" s="1" t="s">
        <v>285</v>
      </c>
      <c r="W17" s="7" t="s">
        <v>153</v>
      </c>
      <c r="X17" s="7" t="str">
        <f>X16</f>
        <v>PARCELA REF. JANEIRO 2025</v>
      </c>
      <c r="Y17" s="313"/>
      <c r="Z17" s="218"/>
      <c r="AA17" s="218"/>
      <c r="AB17" s="13"/>
      <c r="AD17" s="218"/>
      <c r="AE17" s="13"/>
      <c r="AF17" s="13"/>
    </row>
    <row r="18" spans="1:39" x14ac:dyDescent="0.25">
      <c r="A18" s="20">
        <v>45723</v>
      </c>
      <c r="B18" s="1">
        <v>12</v>
      </c>
      <c r="C18" s="20" t="s">
        <v>27</v>
      </c>
      <c r="D18" s="3" t="s">
        <v>196</v>
      </c>
      <c r="E18" s="62" t="s">
        <v>51</v>
      </c>
      <c r="F18" s="3" t="s">
        <v>157</v>
      </c>
      <c r="G18" s="7">
        <v>3965</v>
      </c>
      <c r="H18" s="1" t="s">
        <v>197</v>
      </c>
      <c r="I18" s="63">
        <v>205</v>
      </c>
      <c r="J18" s="23" t="s">
        <v>39</v>
      </c>
      <c r="K18" s="38" t="s">
        <v>32</v>
      </c>
      <c r="L18" s="38">
        <f t="shared" si="2"/>
        <v>20.5</v>
      </c>
      <c r="M18" s="58" t="s">
        <v>26</v>
      </c>
      <c r="N18" s="38">
        <f t="shared" si="3"/>
        <v>68.333333333333329</v>
      </c>
      <c r="O18" s="26">
        <f t="shared" si="4"/>
        <v>47.833333333333329</v>
      </c>
      <c r="P18" s="27">
        <v>2</v>
      </c>
      <c r="Q18" s="28">
        <f>O18/P18</f>
        <v>23.916666666666664</v>
      </c>
      <c r="R18" s="131">
        <f t="shared" si="5"/>
        <v>68.333333333333329</v>
      </c>
      <c r="S18" s="30">
        <f t="shared" si="6"/>
        <v>205</v>
      </c>
      <c r="T18" s="186">
        <f>I18-S18</f>
        <v>0</v>
      </c>
      <c r="U18" s="187">
        <f>205*7</f>
        <v>1435</v>
      </c>
      <c r="V18" s="188" t="s">
        <v>297</v>
      </c>
      <c r="W18" s="7" t="s">
        <v>198</v>
      </c>
      <c r="X18" s="7" t="s">
        <v>199</v>
      </c>
      <c r="Y18" s="7"/>
      <c r="Z18" s="178"/>
      <c r="AA18" s="178"/>
      <c r="AB18" s="129"/>
      <c r="AC18" s="72"/>
      <c r="AD18" s="178"/>
      <c r="AE18" s="129"/>
      <c r="AF18" s="129"/>
      <c r="AG18" s="72"/>
      <c r="AH18" s="72"/>
      <c r="AI18" s="72"/>
      <c r="AJ18" s="299"/>
      <c r="AK18" s="72"/>
    </row>
    <row r="19" spans="1:39" x14ac:dyDescent="0.25">
      <c r="A19" s="20">
        <v>45723</v>
      </c>
      <c r="B19" s="1">
        <v>13</v>
      </c>
      <c r="C19" s="20" t="s">
        <v>27</v>
      </c>
      <c r="D19" s="185" t="s">
        <v>106</v>
      </c>
      <c r="E19" s="136" t="s">
        <v>23</v>
      </c>
      <c r="F19" s="3" t="s">
        <v>107</v>
      </c>
      <c r="G19" s="7">
        <v>1800</v>
      </c>
      <c r="H19" s="1" t="s">
        <v>108</v>
      </c>
      <c r="I19" s="137">
        <v>150</v>
      </c>
      <c r="J19" s="50" t="str">
        <f>J4</f>
        <v>PIX JS PJ ITAÚ</v>
      </c>
      <c r="K19" s="24" t="s">
        <v>44</v>
      </c>
      <c r="L19" s="24">
        <f t="shared" si="2"/>
        <v>15</v>
      </c>
      <c r="M19" s="114" t="s">
        <v>37</v>
      </c>
      <c r="N19" s="114">
        <f t="shared" si="3"/>
        <v>50</v>
      </c>
      <c r="O19" s="26">
        <f t="shared" si="4"/>
        <v>35</v>
      </c>
      <c r="P19" s="52">
        <v>3</v>
      </c>
      <c r="Q19" s="51">
        <f>O19/P19</f>
        <v>11.666666666666666</v>
      </c>
      <c r="R19" s="53">
        <f t="shared" si="5"/>
        <v>50</v>
      </c>
      <c r="S19" s="30">
        <f t="shared" si="6"/>
        <v>150</v>
      </c>
      <c r="T19" s="54">
        <f>I19-S19</f>
        <v>0</v>
      </c>
      <c r="U19" s="55">
        <f>I19*8</f>
        <v>1200</v>
      </c>
      <c r="V19" s="56" t="s">
        <v>298</v>
      </c>
      <c r="W19" s="7" t="s">
        <v>109</v>
      </c>
      <c r="X19" s="7" t="s">
        <v>55</v>
      </c>
      <c r="Y19" s="7" t="s">
        <v>179</v>
      </c>
      <c r="Z19" s="178"/>
      <c r="AA19" s="129"/>
      <c r="AB19" s="129"/>
      <c r="AC19" s="178"/>
      <c r="AD19" s="129"/>
      <c r="AE19" s="129"/>
      <c r="AF19" s="72"/>
      <c r="AG19" s="72"/>
      <c r="AH19" s="72"/>
      <c r="AI19" s="72"/>
      <c r="AJ19" s="299"/>
      <c r="AK19" s="72"/>
    </row>
    <row r="20" spans="1:39" x14ac:dyDescent="0.25">
      <c r="A20" s="20">
        <v>45723</v>
      </c>
      <c r="B20" s="1">
        <v>14</v>
      </c>
      <c r="C20" s="20" t="s">
        <v>27</v>
      </c>
      <c r="D20" s="3" t="s">
        <v>200</v>
      </c>
      <c r="E20" s="59" t="s">
        <v>35</v>
      </c>
      <c r="F20" s="200" t="s">
        <v>201</v>
      </c>
      <c r="G20" s="7">
        <v>5000</v>
      </c>
      <c r="H20" s="1" t="s">
        <v>53</v>
      </c>
      <c r="I20" s="48">
        <v>500</v>
      </c>
      <c r="J20" s="23" t="str">
        <f>J12</f>
        <v>PIX JS PJ</v>
      </c>
      <c r="K20" s="38" t="s">
        <v>32</v>
      </c>
      <c r="L20" s="38">
        <f t="shared" si="2"/>
        <v>50</v>
      </c>
      <c r="M20" s="58" t="str">
        <f>K20</f>
        <v>JÉTER</v>
      </c>
      <c r="N20" s="58">
        <f t="shared" si="3"/>
        <v>166.66666666666666</v>
      </c>
      <c r="O20" s="26">
        <f t="shared" si="4"/>
        <v>116.66666666666666</v>
      </c>
      <c r="P20" s="27">
        <v>2</v>
      </c>
      <c r="Q20" s="28">
        <f>O20/P20</f>
        <v>58.333333333333329</v>
      </c>
      <c r="R20" s="53">
        <f t="shared" si="5"/>
        <v>166.66666666666666</v>
      </c>
      <c r="S20" s="30">
        <f t="shared" si="6"/>
        <v>500</v>
      </c>
      <c r="T20" s="54">
        <f>I20-S20</f>
        <v>0</v>
      </c>
      <c r="U20" s="55">
        <f>I20*7</f>
        <v>3500</v>
      </c>
      <c r="V20" s="1" t="s">
        <v>299</v>
      </c>
      <c r="W20" s="1" t="s">
        <v>174</v>
      </c>
      <c r="X20" s="1" t="s">
        <v>117</v>
      </c>
      <c r="Y20" s="3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299"/>
      <c r="AK20" s="72"/>
    </row>
    <row r="21" spans="1:39" x14ac:dyDescent="0.25">
      <c r="A21" s="20">
        <v>45723</v>
      </c>
      <c r="B21" s="1">
        <v>15</v>
      </c>
      <c r="C21" s="20" t="s">
        <v>27</v>
      </c>
      <c r="D21" s="3" t="s">
        <v>300</v>
      </c>
      <c r="E21" s="198" t="s">
        <v>162</v>
      </c>
      <c r="F21" s="180" t="s">
        <v>193</v>
      </c>
      <c r="G21" s="56">
        <v>2000</v>
      </c>
      <c r="H21" s="56" t="s">
        <v>301</v>
      </c>
      <c r="I21" s="199">
        <v>1356.57</v>
      </c>
      <c r="J21" s="130" t="str">
        <f>J20</f>
        <v>PIX JS PJ</v>
      </c>
      <c r="K21" s="38" t="s">
        <v>32</v>
      </c>
      <c r="L21" s="38">
        <f t="shared" si="2"/>
        <v>135.65699999999998</v>
      </c>
      <c r="M21" s="38" t="s">
        <v>32</v>
      </c>
      <c r="N21" s="66">
        <f t="shared" si="3"/>
        <v>452.19</v>
      </c>
      <c r="O21" s="26">
        <f t="shared" si="4"/>
        <v>316.53300000000002</v>
      </c>
      <c r="P21" s="27">
        <v>2</v>
      </c>
      <c r="Q21" s="28">
        <f>O21/P21</f>
        <v>158.26650000000001</v>
      </c>
      <c r="R21" s="131">
        <f t="shared" si="5"/>
        <v>452.19</v>
      </c>
      <c r="S21" s="30">
        <f t="shared" si="6"/>
        <v>1356.57</v>
      </c>
      <c r="T21" s="132">
        <f>I21-S21</f>
        <v>0</v>
      </c>
      <c r="U21" s="61">
        <v>0</v>
      </c>
      <c r="V21" s="67" t="s">
        <v>230</v>
      </c>
      <c r="W21" s="7" t="s">
        <v>302</v>
      </c>
      <c r="X21" s="7" t="s">
        <v>303</v>
      </c>
      <c r="Y21" s="7" t="s">
        <v>304</v>
      </c>
      <c r="Z21" s="178"/>
      <c r="AA21" s="178"/>
      <c r="AB21" s="178"/>
      <c r="AC21" s="178"/>
      <c r="AD21" s="178"/>
      <c r="AE21" s="129"/>
      <c r="AF21" s="129"/>
      <c r="AG21" s="72"/>
      <c r="AH21" s="72"/>
      <c r="AI21" s="72"/>
      <c r="AJ21" s="299"/>
      <c r="AK21" s="72"/>
      <c r="AL21" s="72"/>
      <c r="AM21" s="72"/>
    </row>
    <row r="22" spans="1:39" x14ac:dyDescent="0.25">
      <c r="A22" s="20">
        <v>45723</v>
      </c>
      <c r="B22" s="1">
        <v>16</v>
      </c>
      <c r="C22" s="20" t="s">
        <v>27</v>
      </c>
      <c r="D22" s="96" t="s">
        <v>165</v>
      </c>
      <c r="E22" s="34" t="s">
        <v>29</v>
      </c>
      <c r="F22" s="4" t="s">
        <v>30</v>
      </c>
      <c r="G22" s="7">
        <v>3000</v>
      </c>
      <c r="H22" s="1" t="s">
        <v>33</v>
      </c>
      <c r="I22" s="35">
        <v>200</v>
      </c>
      <c r="J22" s="23" t="s">
        <v>189</v>
      </c>
      <c r="K22" s="24" t="str">
        <f>M22</f>
        <v>JS</v>
      </c>
      <c r="L22" s="24">
        <f>I22*10/100</f>
        <v>20</v>
      </c>
      <c r="M22" s="25" t="s">
        <v>25</v>
      </c>
      <c r="N22" s="25">
        <f>I22/3/2</f>
        <v>33.333333333333336</v>
      </c>
      <c r="O22" s="26">
        <f>I22/3-L22</f>
        <v>46.666666666666671</v>
      </c>
      <c r="P22" s="27">
        <v>2</v>
      </c>
      <c r="Q22" s="28">
        <f>O22/P22</f>
        <v>23.333333333333336</v>
      </c>
      <c r="R22" s="29">
        <f>I22/3</f>
        <v>66.666666666666671</v>
      </c>
      <c r="S22" s="30">
        <f>L22+N22+N23+O22+R22</f>
        <v>200</v>
      </c>
      <c r="T22" s="196">
        <f>I22-S22</f>
        <v>0</v>
      </c>
      <c r="U22" s="32">
        <f>I22*5</f>
        <v>1000</v>
      </c>
      <c r="V22" s="1" t="s">
        <v>220</v>
      </c>
      <c r="W22" s="7" t="s">
        <v>31</v>
      </c>
      <c r="X22" s="1" t="s">
        <v>226</v>
      </c>
      <c r="Y22" s="7"/>
      <c r="Z22" s="178"/>
      <c r="AA22" s="129"/>
      <c r="AB22" s="178"/>
      <c r="AC22" s="178"/>
      <c r="AD22" s="129"/>
      <c r="AE22" s="129"/>
      <c r="AF22" s="72"/>
      <c r="AG22" s="72"/>
      <c r="AH22" s="72"/>
      <c r="AI22" s="72"/>
      <c r="AJ22" s="299"/>
      <c r="AK22" s="72"/>
    </row>
    <row r="23" spans="1:39" x14ac:dyDescent="0.25">
      <c r="A23" s="3"/>
      <c r="B23" s="1"/>
      <c r="C23" s="3"/>
      <c r="D23" s="3"/>
      <c r="E23" s="3"/>
      <c r="F23" s="37"/>
      <c r="G23" s="7"/>
      <c r="H23" s="7"/>
      <c r="I23" s="7"/>
      <c r="J23" s="7"/>
      <c r="K23" s="1"/>
      <c r="L23" s="6"/>
      <c r="M23" s="38" t="s">
        <v>32</v>
      </c>
      <c r="N23" s="33">
        <f>I22/3/2</f>
        <v>33.333333333333336</v>
      </c>
      <c r="O23" s="1"/>
      <c r="P23" s="27"/>
      <c r="Q23" s="28"/>
      <c r="R23" s="1"/>
      <c r="S23" s="1"/>
      <c r="T23" s="1"/>
      <c r="U23" s="1"/>
      <c r="V23" s="1"/>
      <c r="W23" s="7"/>
      <c r="X23" s="7"/>
      <c r="Y23" s="7"/>
      <c r="Z23" s="178"/>
      <c r="AA23" s="178"/>
      <c r="AB23" s="178"/>
      <c r="AC23" s="178"/>
      <c r="AD23" s="129"/>
      <c r="AE23" s="129"/>
      <c r="AF23" s="72"/>
      <c r="AG23" s="72"/>
      <c r="AH23" s="72"/>
      <c r="AI23" s="72"/>
      <c r="AJ23" s="299"/>
      <c r="AK23" s="72"/>
    </row>
    <row r="24" spans="1:39" x14ac:dyDescent="0.25">
      <c r="A24" s="20">
        <v>45723</v>
      </c>
      <c r="B24" s="1">
        <v>17</v>
      </c>
      <c r="C24" s="20" t="s">
        <v>27</v>
      </c>
      <c r="D24" s="96" t="s">
        <v>166</v>
      </c>
      <c r="E24" s="34" t="s">
        <v>29</v>
      </c>
      <c r="F24" s="4" t="s">
        <v>30</v>
      </c>
      <c r="G24" s="7">
        <v>3000</v>
      </c>
      <c r="H24" s="1" t="s">
        <v>33</v>
      </c>
      <c r="I24" s="35">
        <v>200</v>
      </c>
      <c r="J24" s="23" t="s">
        <v>189</v>
      </c>
      <c r="K24" s="24" t="str">
        <f>M24</f>
        <v>JS</v>
      </c>
      <c r="L24" s="24">
        <f>I24*10/100</f>
        <v>20</v>
      </c>
      <c r="M24" s="25" t="s">
        <v>25</v>
      </c>
      <c r="N24" s="25">
        <f>I24/3/2</f>
        <v>33.333333333333336</v>
      </c>
      <c r="O24" s="26">
        <f>I24/3-L24</f>
        <v>46.666666666666671</v>
      </c>
      <c r="P24" s="27">
        <v>2</v>
      </c>
      <c r="Q24" s="28">
        <f>O24/P24</f>
        <v>23.333333333333336</v>
      </c>
      <c r="R24" s="29">
        <f>I24/3</f>
        <v>66.666666666666671</v>
      </c>
      <c r="S24" s="30">
        <f>L24+N24+N25+O24+R24</f>
        <v>200</v>
      </c>
      <c r="T24" s="196">
        <f>I24-S24</f>
        <v>0</v>
      </c>
      <c r="U24" s="32">
        <f>I24*5</f>
        <v>1000</v>
      </c>
      <c r="V24" s="1" t="str">
        <f>V22</f>
        <v>PARCELA 10 DE 15</v>
      </c>
      <c r="W24" s="7" t="s">
        <v>31</v>
      </c>
      <c r="X24" s="1" t="s">
        <v>190</v>
      </c>
      <c r="Y24" s="7"/>
      <c r="Z24" s="178"/>
      <c r="AA24" s="129"/>
      <c r="AB24" s="178"/>
      <c r="AC24" s="178"/>
      <c r="AD24" s="129"/>
      <c r="AE24" s="129"/>
      <c r="AF24" s="72"/>
      <c r="AG24" s="72"/>
      <c r="AH24" s="72"/>
      <c r="AI24" s="72"/>
      <c r="AJ24" s="299"/>
      <c r="AK24" s="72"/>
    </row>
    <row r="25" spans="1:39" x14ac:dyDescent="0.25">
      <c r="A25" s="3"/>
      <c r="B25" s="1"/>
      <c r="C25" s="3"/>
      <c r="D25" s="3"/>
      <c r="E25" s="3"/>
      <c r="F25" s="37"/>
      <c r="G25" s="7"/>
      <c r="H25" s="7"/>
      <c r="I25" s="7"/>
      <c r="J25" s="7"/>
      <c r="K25" s="1"/>
      <c r="L25" s="6"/>
      <c r="M25" s="38" t="s">
        <v>32</v>
      </c>
      <c r="N25" s="33">
        <f>I24/3/2</f>
        <v>33.333333333333336</v>
      </c>
      <c r="O25" s="1"/>
      <c r="P25" s="27"/>
      <c r="Q25" s="28"/>
      <c r="R25" s="1"/>
      <c r="S25" s="1"/>
      <c r="T25" s="1"/>
      <c r="U25" s="1"/>
      <c r="V25" s="1"/>
      <c r="W25" s="7"/>
      <c r="X25" s="7"/>
      <c r="Y25" s="7"/>
      <c r="Z25" s="178"/>
      <c r="AA25" s="178"/>
      <c r="AB25" s="178"/>
      <c r="AC25" s="178"/>
      <c r="AD25" s="129"/>
      <c r="AE25" s="129"/>
      <c r="AF25" s="72"/>
      <c r="AG25" s="72"/>
      <c r="AH25" s="72"/>
      <c r="AI25" s="72"/>
      <c r="AJ25" s="299"/>
      <c r="AK25" s="72"/>
    </row>
    <row r="26" spans="1:39" x14ac:dyDescent="0.25">
      <c r="A26" s="20">
        <v>45724</v>
      </c>
      <c r="B26" s="1">
        <v>18</v>
      </c>
      <c r="C26" s="20" t="s">
        <v>27</v>
      </c>
      <c r="D26" s="3" t="s">
        <v>205</v>
      </c>
      <c r="E26" s="59" t="s">
        <v>35</v>
      </c>
      <c r="F26" s="3" t="s">
        <v>65</v>
      </c>
      <c r="G26" s="7">
        <v>4236</v>
      </c>
      <c r="H26" s="1" t="s">
        <v>66</v>
      </c>
      <c r="I26" s="48">
        <v>423.6</v>
      </c>
      <c r="J26" s="23" t="s">
        <v>39</v>
      </c>
      <c r="K26" s="38" t="s">
        <v>32</v>
      </c>
      <c r="L26" s="38">
        <f t="shared" si="2"/>
        <v>42.36</v>
      </c>
      <c r="M26" s="51" t="s">
        <v>37</v>
      </c>
      <c r="N26" s="51">
        <f t="shared" si="3"/>
        <v>141.20000000000002</v>
      </c>
      <c r="O26" s="26">
        <f t="shared" si="4"/>
        <v>98.840000000000018</v>
      </c>
      <c r="P26" s="52">
        <v>3</v>
      </c>
      <c r="Q26" s="51">
        <f>O26/P26</f>
        <v>32.946666666666673</v>
      </c>
      <c r="R26" s="29">
        <f t="shared" si="5"/>
        <v>141.20000000000002</v>
      </c>
      <c r="S26" s="30">
        <f t="shared" si="6"/>
        <v>423.6</v>
      </c>
      <c r="T26" s="31">
        <f>I26-S26</f>
        <v>0</v>
      </c>
      <c r="U26" s="61">
        <f>I26*3</f>
        <v>1270.8000000000002</v>
      </c>
      <c r="V26" s="7" t="s">
        <v>262</v>
      </c>
      <c r="W26" s="7" t="s">
        <v>67</v>
      </c>
      <c r="X26" s="7"/>
      <c r="Y26" s="7"/>
      <c r="Z26" s="178"/>
      <c r="AA26" s="178"/>
      <c r="AB26" s="178"/>
      <c r="AC26" s="178"/>
      <c r="AD26" s="178"/>
      <c r="AE26" s="129"/>
      <c r="AF26" s="129"/>
      <c r="AG26" s="72"/>
      <c r="AH26" s="72"/>
      <c r="AI26" s="72"/>
      <c r="AJ26" s="299"/>
      <c r="AK26" s="72"/>
      <c r="AL26" s="72"/>
      <c r="AM26" s="72"/>
    </row>
    <row r="27" spans="1:39" x14ac:dyDescent="0.25">
      <c r="A27" s="20">
        <v>45724</v>
      </c>
      <c r="B27" s="1">
        <v>19</v>
      </c>
      <c r="C27" s="20" t="s">
        <v>27</v>
      </c>
      <c r="D27" s="3" t="s">
        <v>168</v>
      </c>
      <c r="E27" s="136" t="s">
        <v>23</v>
      </c>
      <c r="F27" s="4" t="s">
        <v>24</v>
      </c>
      <c r="G27" s="7">
        <v>5000</v>
      </c>
      <c r="H27" s="1" t="s">
        <v>48</v>
      </c>
      <c r="I27" s="137">
        <v>200</v>
      </c>
      <c r="J27" s="23" t="s">
        <v>39</v>
      </c>
      <c r="K27" s="24" t="s">
        <v>25</v>
      </c>
      <c r="L27" s="24">
        <v>20</v>
      </c>
      <c r="M27" s="25" t="s">
        <v>25</v>
      </c>
      <c r="N27" s="25">
        <v>33.333333333333336</v>
      </c>
      <c r="O27" s="26">
        <v>46.6666666666667</v>
      </c>
      <c r="P27" s="27">
        <v>2</v>
      </c>
      <c r="Q27" s="28">
        <v>15.555555555555557</v>
      </c>
      <c r="R27" s="29">
        <v>66.666666666666671</v>
      </c>
      <c r="S27" s="30">
        <v>200</v>
      </c>
      <c r="T27" s="31">
        <v>0</v>
      </c>
      <c r="U27" s="32">
        <f>I27*9</f>
        <v>1800</v>
      </c>
      <c r="V27" s="1" t="s">
        <v>203</v>
      </c>
      <c r="W27" s="7" t="s">
        <v>169</v>
      </c>
      <c r="X27" s="7" t="s">
        <v>204</v>
      </c>
      <c r="Y27" s="3"/>
      <c r="Z27" s="72"/>
      <c r="AA27" s="129"/>
      <c r="AB27" s="72"/>
      <c r="AC27" s="72"/>
      <c r="AD27" s="72"/>
      <c r="AE27" s="72"/>
      <c r="AF27" s="72"/>
      <c r="AG27" s="72"/>
      <c r="AH27" s="72"/>
      <c r="AI27" s="72"/>
      <c r="AJ27" s="299"/>
      <c r="AK27" s="72"/>
    </row>
    <row r="28" spans="1:39" x14ac:dyDescent="0.25">
      <c r="A28" s="1"/>
      <c r="B28" s="1"/>
      <c r="C28" s="1"/>
      <c r="D28" s="3"/>
      <c r="E28" s="3"/>
      <c r="F28" s="4"/>
      <c r="G28" s="7"/>
      <c r="H28" s="3"/>
      <c r="I28" s="7"/>
      <c r="J28" s="1"/>
      <c r="K28" s="7"/>
      <c r="L28" s="1"/>
      <c r="M28" s="33" t="s">
        <v>32</v>
      </c>
      <c r="N28" s="33">
        <v>33.333333333333336</v>
      </c>
      <c r="O28" s="3"/>
      <c r="P28" s="79"/>
      <c r="Q28" s="28"/>
      <c r="R28" s="1"/>
      <c r="S28" s="1"/>
      <c r="T28" s="1"/>
      <c r="U28" s="1"/>
      <c r="V28" s="1"/>
      <c r="W28" s="7"/>
      <c r="X28" s="7"/>
      <c r="Y28" s="3"/>
      <c r="Z28" s="72"/>
      <c r="AA28" s="129"/>
      <c r="AB28" s="72"/>
      <c r="AC28" s="72"/>
      <c r="AD28" s="72"/>
      <c r="AE28" s="72"/>
      <c r="AF28" s="72"/>
      <c r="AG28" s="72"/>
      <c r="AH28" s="72"/>
      <c r="AI28" s="72"/>
      <c r="AJ28" s="299"/>
      <c r="AK28" s="72"/>
    </row>
    <row r="29" spans="1:39" x14ac:dyDescent="0.25">
      <c r="A29" s="20">
        <v>45724</v>
      </c>
      <c r="B29" s="1">
        <v>20</v>
      </c>
      <c r="C29" s="20" t="s">
        <v>27</v>
      </c>
      <c r="D29" s="3" t="s">
        <v>115</v>
      </c>
      <c r="E29" s="21" t="s">
        <v>23</v>
      </c>
      <c r="F29" s="4" t="s">
        <v>24</v>
      </c>
      <c r="G29" s="7">
        <v>5000</v>
      </c>
      <c r="H29" s="1" t="s">
        <v>48</v>
      </c>
      <c r="I29" s="22">
        <v>200</v>
      </c>
      <c r="J29" s="23" t="str">
        <f>J27</f>
        <v>PIX JS PJ</v>
      </c>
      <c r="K29" s="24" t="s">
        <v>25</v>
      </c>
      <c r="L29" s="24">
        <f>I29*10/100</f>
        <v>20</v>
      </c>
      <c r="M29" s="25" t="s">
        <v>25</v>
      </c>
      <c r="N29" s="25">
        <f>I29/3/2</f>
        <v>33.333333333333336</v>
      </c>
      <c r="O29" s="26">
        <f>I29/3-L29</f>
        <v>46.666666666666671</v>
      </c>
      <c r="P29" s="27">
        <v>2</v>
      </c>
      <c r="Q29" s="28">
        <f>O29/P29</f>
        <v>23.333333333333336</v>
      </c>
      <c r="R29" s="29">
        <f>I29/3</f>
        <v>66.666666666666671</v>
      </c>
      <c r="S29" s="30">
        <f>L29+N29+N30+O29+R29</f>
        <v>200</v>
      </c>
      <c r="T29" s="31">
        <f>I29-S29</f>
        <v>0</v>
      </c>
      <c r="U29" s="32">
        <f>200*7</f>
        <v>1400</v>
      </c>
      <c r="V29" s="1" t="s">
        <v>202</v>
      </c>
      <c r="W29" s="7" t="s">
        <v>116</v>
      </c>
      <c r="X29" s="7"/>
      <c r="Y29" s="7"/>
      <c r="Z29" s="178"/>
      <c r="AA29" s="129"/>
      <c r="AB29" s="72"/>
      <c r="AC29" s="178"/>
      <c r="AD29" s="129"/>
      <c r="AE29" s="129"/>
      <c r="AF29" s="72"/>
      <c r="AG29" s="72"/>
      <c r="AH29" s="72"/>
      <c r="AI29" s="72"/>
      <c r="AJ29" s="299"/>
      <c r="AK29" s="72"/>
    </row>
    <row r="30" spans="1:39" x14ac:dyDescent="0.25">
      <c r="A30" s="1"/>
      <c r="B30" s="1"/>
      <c r="C30" s="1"/>
      <c r="D30" s="3"/>
      <c r="E30" s="1"/>
      <c r="F30" s="4"/>
      <c r="G30" s="7"/>
      <c r="H30" s="3"/>
      <c r="I30" s="7"/>
      <c r="J30" s="1"/>
      <c r="K30" s="7"/>
      <c r="L30" s="1"/>
      <c r="M30" s="33" t="s">
        <v>26</v>
      </c>
      <c r="N30" s="33">
        <f>I29/3/2</f>
        <v>33.333333333333336</v>
      </c>
      <c r="O30" s="1"/>
      <c r="P30" s="27"/>
      <c r="Q30" s="28"/>
      <c r="R30" s="1"/>
      <c r="S30" s="1"/>
      <c r="T30" s="1"/>
      <c r="U30" s="1"/>
      <c r="V30" s="1"/>
      <c r="W30" s="7"/>
      <c r="X30" s="7"/>
      <c r="Y30" s="7"/>
      <c r="Z30" s="178"/>
      <c r="AA30" s="129"/>
      <c r="AB30" s="72"/>
      <c r="AC30" s="178"/>
      <c r="AD30" s="129"/>
      <c r="AE30" s="129"/>
      <c r="AF30" s="72"/>
      <c r="AG30" s="72"/>
      <c r="AH30" s="72"/>
      <c r="AI30" s="72"/>
      <c r="AJ30" s="299"/>
      <c r="AK30" s="72"/>
    </row>
    <row r="31" spans="1:39" s="72" customFormat="1" ht="12.75" x14ac:dyDescent="0.2">
      <c r="A31" s="20">
        <v>45726</v>
      </c>
      <c r="B31" s="1">
        <v>21</v>
      </c>
      <c r="C31" s="20" t="s">
        <v>27</v>
      </c>
      <c r="D31" s="3" t="s">
        <v>139</v>
      </c>
      <c r="E31" s="62" t="s">
        <v>51</v>
      </c>
      <c r="F31" s="3" t="s">
        <v>140</v>
      </c>
      <c r="G31" s="7">
        <v>3150</v>
      </c>
      <c r="H31" s="1" t="s">
        <v>141</v>
      </c>
      <c r="I31" s="63">
        <v>500</v>
      </c>
      <c r="J31" s="50" t="s">
        <v>39</v>
      </c>
      <c r="K31" s="24" t="s">
        <v>25</v>
      </c>
      <c r="L31" s="24">
        <f>I31*10/100</f>
        <v>50</v>
      </c>
      <c r="M31" s="38" t="s">
        <v>32</v>
      </c>
      <c r="N31" s="66">
        <f>I31/3</f>
        <v>166.66666666666666</v>
      </c>
      <c r="O31" s="26">
        <f>I31/3-L31</f>
        <v>116.66666666666666</v>
      </c>
      <c r="P31" s="27">
        <v>2</v>
      </c>
      <c r="Q31" s="28">
        <f>O31/P31</f>
        <v>58.333333333333329</v>
      </c>
      <c r="R31" s="29">
        <f>I31/3</f>
        <v>166.66666666666666</v>
      </c>
      <c r="S31" s="30">
        <f>L31+N31+O31+R31</f>
        <v>500</v>
      </c>
      <c r="T31" s="31">
        <f>I31-S31</f>
        <v>0</v>
      </c>
      <c r="U31" s="32">
        <f>I31*1</f>
        <v>500</v>
      </c>
      <c r="V31" s="1" t="s">
        <v>312</v>
      </c>
      <c r="W31" s="1" t="s">
        <v>142</v>
      </c>
      <c r="X31" s="7"/>
      <c r="Y31" s="3"/>
      <c r="AB31" s="129"/>
      <c r="AC31" s="129"/>
      <c r="AJ31" s="299"/>
    </row>
    <row r="32" spans="1:39" s="72" customFormat="1" ht="12.75" x14ac:dyDescent="0.2">
      <c r="A32" s="20">
        <v>45726</v>
      </c>
      <c r="B32" s="1">
        <v>22</v>
      </c>
      <c r="C32" s="20" t="s">
        <v>27</v>
      </c>
      <c r="D32" s="3" t="s">
        <v>101</v>
      </c>
      <c r="E32" s="62" t="s">
        <v>51</v>
      </c>
      <c r="F32" s="3" t="s">
        <v>102</v>
      </c>
      <c r="G32" s="7">
        <v>5000</v>
      </c>
      <c r="H32" s="1" t="s">
        <v>103</v>
      </c>
      <c r="I32" s="63">
        <v>600</v>
      </c>
      <c r="J32" s="50" t="s">
        <v>39</v>
      </c>
      <c r="K32" s="69" t="s">
        <v>61</v>
      </c>
      <c r="L32" s="70">
        <f t="shared" ref="L32" si="7">I32*10/100</f>
        <v>60</v>
      </c>
      <c r="M32" s="38" t="s">
        <v>32</v>
      </c>
      <c r="N32" s="66">
        <f>I32/3/2</f>
        <v>100</v>
      </c>
      <c r="O32" s="26">
        <f>I32/3-L32</f>
        <v>140</v>
      </c>
      <c r="P32" s="69">
        <v>3</v>
      </c>
      <c r="Q32" s="70">
        <f>O32/P32</f>
        <v>46.666666666666664</v>
      </c>
      <c r="R32" s="53">
        <f>N32+N33</f>
        <v>200</v>
      </c>
      <c r="S32" s="30">
        <f>L32+N32+N33+O32+R32</f>
        <v>600</v>
      </c>
      <c r="T32" s="54">
        <f>I32-S32</f>
        <v>0</v>
      </c>
      <c r="U32" s="55">
        <f>I32*4+200</f>
        <v>2600</v>
      </c>
      <c r="V32" s="56" t="s">
        <v>313</v>
      </c>
      <c r="W32" s="7" t="s">
        <v>104</v>
      </c>
      <c r="X32" s="7"/>
      <c r="Y32" s="3"/>
      <c r="AB32" s="129"/>
      <c r="AC32" s="129"/>
      <c r="AJ32" s="299"/>
    </row>
    <row r="33" spans="1:40" s="260" customFormat="1" ht="12.75" x14ac:dyDescent="0.2">
      <c r="A33" s="251"/>
      <c r="B33" s="1"/>
      <c r="C33" s="251"/>
      <c r="D33" s="96"/>
      <c r="E33" s="252"/>
      <c r="F33" s="96"/>
      <c r="G33" s="253"/>
      <c r="H33" s="252"/>
      <c r="I33" s="253"/>
      <c r="J33" s="254"/>
      <c r="K33" s="255"/>
      <c r="L33" s="256"/>
      <c r="M33" s="69" t="s">
        <v>61</v>
      </c>
      <c r="N33" s="70">
        <f>N32</f>
        <v>100</v>
      </c>
      <c r="O33" s="256"/>
      <c r="P33" s="27"/>
      <c r="Q33" s="28"/>
      <c r="R33" s="257"/>
      <c r="S33" s="28"/>
      <c r="T33" s="258"/>
      <c r="U33" s="259"/>
      <c r="V33" s="259"/>
      <c r="W33" s="253"/>
      <c r="X33" s="253"/>
      <c r="Y33" s="96"/>
      <c r="AB33" s="261"/>
      <c r="AC33" s="261"/>
      <c r="AJ33" s="348"/>
    </row>
    <row r="34" spans="1:40" s="72" customFormat="1" ht="12.75" x14ac:dyDescent="0.2">
      <c r="A34" s="20">
        <v>45726</v>
      </c>
      <c r="B34" s="1">
        <v>23</v>
      </c>
      <c r="C34" s="20" t="s">
        <v>27</v>
      </c>
      <c r="D34" s="3" t="s">
        <v>129</v>
      </c>
      <c r="E34" s="21" t="s">
        <v>23</v>
      </c>
      <c r="F34" s="4" t="s">
        <v>130</v>
      </c>
      <c r="G34" s="7">
        <v>2200</v>
      </c>
      <c r="H34" s="1" t="s">
        <v>131</v>
      </c>
      <c r="I34" s="22">
        <v>100</v>
      </c>
      <c r="J34" s="23" t="s">
        <v>189</v>
      </c>
      <c r="K34" s="38" t="s">
        <v>32</v>
      </c>
      <c r="L34" s="38">
        <f>I34*10/100</f>
        <v>10</v>
      </c>
      <c r="M34" s="58" t="str">
        <f>M47</f>
        <v>JÉTER</v>
      </c>
      <c r="N34" s="58">
        <f>I34/3</f>
        <v>33.333333333333336</v>
      </c>
      <c r="O34" s="26">
        <f>I34/3-L34</f>
        <v>23.333333333333336</v>
      </c>
      <c r="P34" s="27">
        <v>2</v>
      </c>
      <c r="Q34" s="28">
        <f>O34/P34</f>
        <v>11.666666666666668</v>
      </c>
      <c r="R34" s="60">
        <f>I34/3</f>
        <v>33.333333333333336</v>
      </c>
      <c r="S34" s="30">
        <f>L34+N34+O34+R34</f>
        <v>100</v>
      </c>
      <c r="T34" s="31">
        <f>I34-S34</f>
        <v>0</v>
      </c>
      <c r="U34" s="61">
        <f>I34*4</f>
        <v>400</v>
      </c>
      <c r="V34" s="1" t="s">
        <v>314</v>
      </c>
      <c r="W34" s="7" t="s">
        <v>79</v>
      </c>
      <c r="X34" s="7"/>
      <c r="Y34" s="3"/>
      <c r="AB34" s="129"/>
      <c r="AC34" s="129"/>
      <c r="AJ34" s="299"/>
    </row>
    <row r="35" spans="1:40" x14ac:dyDescent="0.25">
      <c r="A35" s="20">
        <v>45726</v>
      </c>
      <c r="B35" s="1">
        <v>24</v>
      </c>
      <c r="C35" s="20" t="s">
        <v>27</v>
      </c>
      <c r="D35" s="3" t="s">
        <v>316</v>
      </c>
      <c r="E35" s="21" t="s">
        <v>23</v>
      </c>
      <c r="F35" s="4" t="s">
        <v>24</v>
      </c>
      <c r="G35" s="7">
        <v>5000</v>
      </c>
      <c r="H35" s="1" t="s">
        <v>317</v>
      </c>
      <c r="I35" s="22">
        <v>500</v>
      </c>
      <c r="J35" s="23" t="s">
        <v>39</v>
      </c>
      <c r="K35" s="24" t="s">
        <v>44</v>
      </c>
      <c r="L35" s="24">
        <f t="shared" ref="L35" si="8">I35*10/100</f>
        <v>50</v>
      </c>
      <c r="M35" s="25" t="s">
        <v>44</v>
      </c>
      <c r="N35" s="25">
        <f>I35/3/2</f>
        <v>83.333333333333329</v>
      </c>
      <c r="O35" s="26">
        <f>I35*23.3333/100</f>
        <v>116.66650000000001</v>
      </c>
      <c r="P35" s="27">
        <v>3</v>
      </c>
      <c r="Q35" s="28">
        <v>19.444444444444443</v>
      </c>
      <c r="R35" s="29">
        <f t="shared" ref="R35" si="9">I35/3</f>
        <v>166.66666666666666</v>
      </c>
      <c r="S35" s="23">
        <f>L35+N35+N36+O35+R35</f>
        <v>499.9998333333333</v>
      </c>
      <c r="T35" s="36">
        <v>0</v>
      </c>
      <c r="U35" s="32">
        <f>250*10</f>
        <v>2500</v>
      </c>
      <c r="V35" s="1" t="s">
        <v>319</v>
      </c>
      <c r="W35" s="7" t="s">
        <v>318</v>
      </c>
      <c r="X35" s="7"/>
      <c r="Y35" s="3"/>
      <c r="Z35" s="72"/>
      <c r="AA35" s="72"/>
      <c r="AB35" s="129"/>
      <c r="AC35" s="72"/>
      <c r="AD35" s="72"/>
      <c r="AE35" s="72"/>
      <c r="AF35" s="72"/>
      <c r="AG35" s="72"/>
      <c r="AH35" s="72"/>
      <c r="AI35" s="72"/>
      <c r="AJ35" s="299"/>
      <c r="AK35" s="72"/>
      <c r="AL35" s="72"/>
      <c r="AM35" s="72"/>
      <c r="AN35" s="72"/>
    </row>
    <row r="36" spans="1:40" x14ac:dyDescent="0.25">
      <c r="A36" s="57"/>
      <c r="B36" s="1"/>
      <c r="C36" s="1"/>
      <c r="D36" s="3"/>
      <c r="E36" s="1"/>
      <c r="F36" s="4"/>
      <c r="G36" s="7"/>
      <c r="H36" s="3"/>
      <c r="I36" s="7"/>
      <c r="J36" s="1"/>
      <c r="K36" s="7"/>
      <c r="L36" s="3"/>
      <c r="M36" s="58" t="s">
        <v>26</v>
      </c>
      <c r="N36" s="33">
        <f>N35</f>
        <v>83.333333333333329</v>
      </c>
      <c r="O36" s="1"/>
      <c r="P36" s="1"/>
      <c r="Q36" s="1"/>
      <c r="R36" s="1"/>
      <c r="S36" s="1"/>
      <c r="T36" s="1"/>
      <c r="U36" s="1"/>
      <c r="V36" s="1"/>
      <c r="W36" s="7"/>
      <c r="X36" s="7"/>
      <c r="Y36" s="3"/>
      <c r="Z36" s="72"/>
      <c r="AA36" s="72"/>
      <c r="AB36" s="129"/>
      <c r="AC36" s="72"/>
      <c r="AD36" s="72"/>
      <c r="AE36" s="72"/>
      <c r="AF36" s="72"/>
      <c r="AG36" s="72"/>
      <c r="AH36" s="72"/>
      <c r="AI36" s="72"/>
      <c r="AJ36" s="299"/>
      <c r="AK36" s="72"/>
      <c r="AL36" s="72"/>
      <c r="AM36" s="72"/>
      <c r="AN36" s="72"/>
    </row>
    <row r="37" spans="1:40" x14ac:dyDescent="0.25">
      <c r="A37" s="20">
        <v>45728</v>
      </c>
      <c r="B37" s="1">
        <v>25</v>
      </c>
      <c r="C37" s="20" t="s">
        <v>27</v>
      </c>
      <c r="D37" s="3" t="s">
        <v>180</v>
      </c>
      <c r="E37" s="21" t="s">
        <v>23</v>
      </c>
      <c r="F37" s="4" t="s">
        <v>24</v>
      </c>
      <c r="G37" s="7">
        <v>5000</v>
      </c>
      <c r="H37" s="1" t="s">
        <v>48</v>
      </c>
      <c r="I37" s="22">
        <v>200</v>
      </c>
      <c r="J37" s="23" t="str">
        <f>J39</f>
        <v xml:space="preserve">BOLETO PJ </v>
      </c>
      <c r="K37" s="24" t="s">
        <v>44</v>
      </c>
      <c r="L37" s="24">
        <f>I37*10/100</f>
        <v>20</v>
      </c>
      <c r="M37" s="25" t="str">
        <f>K37</f>
        <v>J.S</v>
      </c>
      <c r="N37" s="25">
        <f>I37/3/2</f>
        <v>33.333333333333336</v>
      </c>
      <c r="O37" s="26">
        <f>I37/3-L37</f>
        <v>46.666666666666671</v>
      </c>
      <c r="P37" s="27">
        <v>2</v>
      </c>
      <c r="Q37" s="28">
        <f>O37/P37</f>
        <v>23.333333333333336</v>
      </c>
      <c r="R37" s="29">
        <f>I37/3</f>
        <v>66.666666666666671</v>
      </c>
      <c r="S37" s="30">
        <f>L37+N37+N38+O37+R37</f>
        <v>200</v>
      </c>
      <c r="T37" s="31">
        <f>I37-S37</f>
        <v>0</v>
      </c>
      <c r="U37" s="32">
        <f>200*8</f>
        <v>1600</v>
      </c>
      <c r="V37" s="1" t="s">
        <v>203</v>
      </c>
      <c r="W37" s="7" t="s">
        <v>169</v>
      </c>
      <c r="X37" s="1" t="s">
        <v>226</v>
      </c>
      <c r="Y37" s="1"/>
      <c r="Z37" s="129"/>
      <c r="AA37" s="72"/>
      <c r="AB37" s="178"/>
      <c r="AC37" s="72"/>
      <c r="AD37" s="72"/>
      <c r="AE37" s="72"/>
      <c r="AF37" s="72"/>
      <c r="AG37" s="72"/>
      <c r="AH37" s="72"/>
      <c r="AI37" s="72"/>
      <c r="AJ37" s="299"/>
      <c r="AK37" s="72"/>
      <c r="AL37" s="72"/>
      <c r="AM37" s="72"/>
    </row>
    <row r="38" spans="1:40" x14ac:dyDescent="0.25">
      <c r="A38" s="1"/>
      <c r="B38" s="1"/>
      <c r="C38" s="1"/>
      <c r="D38" s="3"/>
      <c r="E38" s="1"/>
      <c r="F38" s="4"/>
      <c r="G38" s="7"/>
      <c r="H38" s="3"/>
      <c r="I38" s="7"/>
      <c r="J38" s="1"/>
      <c r="K38" s="7"/>
      <c r="L38" s="1"/>
      <c r="M38" s="33" t="s">
        <v>26</v>
      </c>
      <c r="N38" s="33">
        <f>I37/3/2</f>
        <v>33.333333333333336</v>
      </c>
      <c r="O38" s="1"/>
      <c r="P38" s="27"/>
      <c r="Q38" s="28"/>
      <c r="R38" s="1"/>
      <c r="S38" s="1"/>
      <c r="T38" s="1"/>
      <c r="U38" s="1"/>
      <c r="V38" s="1"/>
      <c r="W38" s="7"/>
      <c r="X38" s="7"/>
      <c r="Y38" s="7"/>
      <c r="Z38" s="178"/>
      <c r="AA38" s="129"/>
      <c r="AB38" s="72"/>
      <c r="AC38" s="178"/>
      <c r="AD38" s="129"/>
      <c r="AE38" s="129"/>
      <c r="AF38" s="72"/>
      <c r="AG38" s="72"/>
      <c r="AH38" s="72"/>
      <c r="AI38" s="72"/>
      <c r="AJ38" s="299"/>
      <c r="AK38" s="72"/>
      <c r="AL38" s="72"/>
      <c r="AM38" s="72"/>
    </row>
    <row r="39" spans="1:40" s="135" customFormat="1" ht="12.75" x14ac:dyDescent="0.2">
      <c r="A39" s="20">
        <v>45728</v>
      </c>
      <c r="B39" s="1">
        <v>26</v>
      </c>
      <c r="C39" s="20" t="s">
        <v>27</v>
      </c>
      <c r="D39" s="180" t="s">
        <v>136</v>
      </c>
      <c r="E39" s="182" t="str">
        <f>[2]RECEITAS!$E$36</f>
        <v>EMPRESARIAL</v>
      </c>
      <c r="F39" s="180" t="s">
        <v>137</v>
      </c>
      <c r="G39" s="56">
        <v>11880</v>
      </c>
      <c r="H39" s="56" t="s">
        <v>215</v>
      </c>
      <c r="I39" s="183">
        <v>378</v>
      </c>
      <c r="J39" s="184" t="str">
        <f>J24</f>
        <v xml:space="preserve">BOLETO PJ </v>
      </c>
      <c r="K39" s="71" t="s">
        <v>44</v>
      </c>
      <c r="L39" s="71">
        <f t="shared" ref="L39" si="10">I39*10/100</f>
        <v>37.799999999999997</v>
      </c>
      <c r="M39" s="71" t="s">
        <v>44</v>
      </c>
      <c r="N39" s="71">
        <f t="shared" ref="N39" si="11">I39/3</f>
        <v>126</v>
      </c>
      <c r="O39" s="26">
        <f t="shared" ref="O39" si="12">I39/3-L39</f>
        <v>88.2</v>
      </c>
      <c r="P39" s="27">
        <v>2</v>
      </c>
      <c r="Q39" s="28">
        <f>O39/P39</f>
        <v>44.1</v>
      </c>
      <c r="R39" s="53">
        <f t="shared" ref="R39" si="13">I39/3</f>
        <v>126</v>
      </c>
      <c r="S39" s="30">
        <f t="shared" ref="S39" si="14">L39+N39+O39+R39</f>
        <v>378</v>
      </c>
      <c r="T39" s="54">
        <f>I39-S39</f>
        <v>0</v>
      </c>
      <c r="U39" s="55">
        <f>I39*18</f>
        <v>6804</v>
      </c>
      <c r="V39" s="56" t="s">
        <v>310</v>
      </c>
      <c r="W39" s="56" t="s">
        <v>138</v>
      </c>
      <c r="X39" s="7" t="s">
        <v>311</v>
      </c>
      <c r="Y39" s="7"/>
      <c r="Z39" s="178"/>
      <c r="AA39" s="178"/>
      <c r="AB39" s="129"/>
      <c r="AC39" s="72"/>
      <c r="AD39" s="178"/>
      <c r="AE39" s="129"/>
      <c r="AF39" s="129"/>
      <c r="AG39" s="72"/>
      <c r="AH39" s="72"/>
      <c r="AI39" s="72"/>
      <c r="AJ39" s="299"/>
      <c r="AK39" s="72"/>
      <c r="AL39" s="72"/>
      <c r="AM39" s="72"/>
      <c r="AN39" s="72"/>
    </row>
    <row r="40" spans="1:40" s="135" customFormat="1" ht="12.75" x14ac:dyDescent="0.2">
      <c r="A40" s="20">
        <v>45728</v>
      </c>
      <c r="B40" s="1">
        <v>27</v>
      </c>
      <c r="C40" s="20" t="s">
        <v>27</v>
      </c>
      <c r="D40" s="3" t="s">
        <v>320</v>
      </c>
      <c r="E40" s="48" t="s">
        <v>35</v>
      </c>
      <c r="F40" s="3" t="s">
        <v>321</v>
      </c>
      <c r="G40" s="7">
        <v>773.13</v>
      </c>
      <c r="H40" s="1" t="s">
        <v>322</v>
      </c>
      <c r="I40" s="49">
        <v>773.13</v>
      </c>
      <c r="J40" s="50" t="s">
        <v>323</v>
      </c>
      <c r="K40" s="38" t="s">
        <v>32</v>
      </c>
      <c r="L40" s="38">
        <f>I40*10/100</f>
        <v>77.313000000000002</v>
      </c>
      <c r="M40" s="58" t="e">
        <f>#REF!</f>
        <v>#REF!</v>
      </c>
      <c r="N40" s="58">
        <f>I40/3</f>
        <v>257.70999999999998</v>
      </c>
      <c r="O40" s="26">
        <f>I40/3-L40</f>
        <v>180.39699999999999</v>
      </c>
      <c r="P40" s="27">
        <v>2</v>
      </c>
      <c r="Q40" s="28">
        <f>O40/P40</f>
        <v>90.198499999999996</v>
      </c>
      <c r="R40" s="60">
        <f>I40/3</f>
        <v>257.70999999999998</v>
      </c>
      <c r="S40" s="30">
        <f>L40+N40+O40+R40</f>
        <v>773.12999999999988</v>
      </c>
      <c r="T40" s="31">
        <f>I40-S40</f>
        <v>0</v>
      </c>
      <c r="U40" s="61">
        <f>I40*4</f>
        <v>3092.52</v>
      </c>
      <c r="V40" s="1" t="s">
        <v>314</v>
      </c>
      <c r="W40" s="7" t="s">
        <v>79</v>
      </c>
      <c r="X40" s="7"/>
      <c r="Y40" s="7"/>
      <c r="Z40" s="178"/>
      <c r="AA40" s="178"/>
      <c r="AB40" s="129"/>
      <c r="AC40" s="72"/>
      <c r="AD40" s="178"/>
      <c r="AE40" s="129"/>
      <c r="AF40" s="129"/>
      <c r="AG40" s="72"/>
      <c r="AH40" s="72"/>
      <c r="AI40" s="72"/>
      <c r="AJ40" s="299"/>
      <c r="AK40" s="72"/>
      <c r="AL40" s="72"/>
      <c r="AM40" s="72"/>
      <c r="AN40" s="72"/>
    </row>
    <row r="41" spans="1:40" s="135" customFormat="1" ht="12.75" x14ac:dyDescent="0.2">
      <c r="A41" s="20">
        <v>45728</v>
      </c>
      <c r="B41" s="1">
        <v>28</v>
      </c>
      <c r="C41" s="20" t="s">
        <v>27</v>
      </c>
      <c r="D41" s="3" t="s">
        <v>143</v>
      </c>
      <c r="E41" s="48" t="s">
        <v>35</v>
      </c>
      <c r="F41" s="3" t="s">
        <v>144</v>
      </c>
      <c r="G41" s="7">
        <v>12000</v>
      </c>
      <c r="H41" s="1" t="s">
        <v>145</v>
      </c>
      <c r="I41" s="49">
        <v>1000</v>
      </c>
      <c r="J41" s="50" t="str">
        <f>J54</f>
        <v xml:space="preserve">BOLETO PJ </v>
      </c>
      <c r="K41" s="24" t="s">
        <v>44</v>
      </c>
      <c r="L41" s="24">
        <f>I41*10/100</f>
        <v>100</v>
      </c>
      <c r="M41" s="114" t="s">
        <v>37</v>
      </c>
      <c r="N41" s="114">
        <f>I41/3</f>
        <v>333.33333333333331</v>
      </c>
      <c r="O41" s="26">
        <f>I41/3-L41</f>
        <v>233.33333333333331</v>
      </c>
      <c r="P41" s="52">
        <v>3</v>
      </c>
      <c r="Q41" s="51">
        <f>O41/3</f>
        <v>77.777777777777771</v>
      </c>
      <c r="R41" s="53">
        <f>I41/3</f>
        <v>333.33333333333331</v>
      </c>
      <c r="S41" s="30">
        <f>L41+N41+O41+R41</f>
        <v>1000</v>
      </c>
      <c r="T41" s="54">
        <v>0</v>
      </c>
      <c r="U41" s="55">
        <f>I41*4</f>
        <v>4000</v>
      </c>
      <c r="V41" s="56" t="s">
        <v>372</v>
      </c>
      <c r="W41" s="7" t="s">
        <v>55</v>
      </c>
      <c r="X41" s="7"/>
      <c r="Y41" s="7"/>
      <c r="Z41" s="178"/>
      <c r="AA41" s="178"/>
      <c r="AB41" s="129"/>
      <c r="AC41" s="72"/>
      <c r="AD41" s="178"/>
      <c r="AE41" s="129"/>
      <c r="AF41" s="129"/>
      <c r="AG41" s="72"/>
      <c r="AH41" s="72"/>
      <c r="AI41" s="72"/>
      <c r="AJ41" s="299"/>
      <c r="AK41" s="72"/>
      <c r="AL41" s="72"/>
      <c r="AM41" s="72"/>
      <c r="AN41" s="72"/>
    </row>
    <row r="42" spans="1:40" s="72" customFormat="1" ht="12.75" x14ac:dyDescent="0.2">
      <c r="A42" s="20">
        <v>45729</v>
      </c>
      <c r="B42" s="1">
        <v>29</v>
      </c>
      <c r="C42" s="20" t="s">
        <v>27</v>
      </c>
      <c r="D42" s="3" t="s">
        <v>306</v>
      </c>
      <c r="E42" s="21" t="s">
        <v>23</v>
      </c>
      <c r="F42" s="4" t="s">
        <v>307</v>
      </c>
      <c r="G42" s="7">
        <v>11777.84</v>
      </c>
      <c r="H42" s="1" t="s">
        <v>308</v>
      </c>
      <c r="I42" s="22">
        <v>3251.33</v>
      </c>
      <c r="J42" s="23" t="str">
        <f>J22</f>
        <v xml:space="preserve">BOLETO PJ </v>
      </c>
      <c r="K42" s="308" t="s">
        <v>44</v>
      </c>
      <c r="L42" s="308">
        <f>I42*10/100</f>
        <v>325.13299999999998</v>
      </c>
      <c r="M42" s="114" t="s">
        <v>37</v>
      </c>
      <c r="N42" s="114">
        <f>I42/3</f>
        <v>1083.7766666666666</v>
      </c>
      <c r="O42" s="26">
        <f>I42/3-L42</f>
        <v>758.6436666666666</v>
      </c>
      <c r="P42" s="52">
        <v>3</v>
      </c>
      <c r="Q42" s="51">
        <f>O42/3</f>
        <v>252.88122222222219</v>
      </c>
      <c r="R42" s="309">
        <f>I42/3</f>
        <v>1083.7766666666666</v>
      </c>
      <c r="S42" s="30">
        <f>L42+N42+O42+R42</f>
        <v>3251.33</v>
      </c>
      <c r="T42" s="310">
        <f>I42-S42</f>
        <v>0</v>
      </c>
      <c r="U42" s="311">
        <f>G42-6146.15-3251.33</f>
        <v>2380.3600000000006</v>
      </c>
      <c r="V42" s="306" t="s">
        <v>315</v>
      </c>
      <c r="W42" s="56" t="s">
        <v>309</v>
      </c>
      <c r="X42" s="7"/>
      <c r="Y42" s="3"/>
      <c r="AB42" s="129"/>
      <c r="AC42" s="129"/>
      <c r="AJ42" s="299"/>
    </row>
    <row r="43" spans="1:40" x14ac:dyDescent="0.25">
      <c r="A43" s="20">
        <v>45729</v>
      </c>
      <c r="B43" s="1">
        <v>30</v>
      </c>
      <c r="C43" s="20" t="s">
        <v>27</v>
      </c>
      <c r="D43" s="73" t="s">
        <v>68</v>
      </c>
      <c r="E43" s="48" t="s">
        <v>35</v>
      </c>
      <c r="F43" s="73" t="s">
        <v>69</v>
      </c>
      <c r="G43" s="67">
        <v>24500</v>
      </c>
      <c r="H43" s="74" t="s">
        <v>70</v>
      </c>
      <c r="I43" s="75">
        <v>750</v>
      </c>
      <c r="J43" s="30" t="s">
        <v>39</v>
      </c>
      <c r="K43" s="25" t="s">
        <v>44</v>
      </c>
      <c r="L43" s="76">
        <f t="shared" ref="L43" si="15">I43*10/100</f>
        <v>75</v>
      </c>
      <c r="M43" s="25" t="s">
        <v>44</v>
      </c>
      <c r="N43" s="25">
        <f>I43/3/2</f>
        <v>125</v>
      </c>
      <c r="O43" s="26">
        <f t="shared" ref="O43" si="16">I43/3-L43</f>
        <v>175</v>
      </c>
      <c r="P43" s="27">
        <v>2</v>
      </c>
      <c r="Q43" s="28">
        <f t="shared" ref="Q43" si="17">O43/P43</f>
        <v>87.5</v>
      </c>
      <c r="R43" s="60">
        <f>I43/3</f>
        <v>250</v>
      </c>
      <c r="S43" s="23">
        <f>L43+N43+N44+O43+R43</f>
        <v>750</v>
      </c>
      <c r="T43" s="77">
        <f t="shared" ref="T43" si="18">I43-S43</f>
        <v>0</v>
      </c>
      <c r="U43" s="78">
        <f>S43*2</f>
        <v>1500</v>
      </c>
      <c r="V43" s="67" t="s">
        <v>324</v>
      </c>
      <c r="W43" s="7"/>
      <c r="X43" s="7" t="s">
        <v>71</v>
      </c>
      <c r="Y43" s="7"/>
      <c r="Z43" s="178"/>
      <c r="AA43" s="178"/>
      <c r="AB43" s="129"/>
      <c r="AC43" s="72"/>
      <c r="AD43" s="178"/>
      <c r="AE43" s="129"/>
      <c r="AF43" s="129"/>
      <c r="AG43" s="72"/>
      <c r="AH43" s="72"/>
      <c r="AI43" s="72"/>
      <c r="AJ43" s="299"/>
      <c r="AK43" s="72"/>
      <c r="AL43" s="72"/>
      <c r="AM43" s="72"/>
    </row>
    <row r="44" spans="1:40" x14ac:dyDescent="0.25">
      <c r="A44" s="57"/>
      <c r="B44" s="1"/>
      <c r="C44" s="57"/>
      <c r="D44" s="3"/>
      <c r="E44" s="3"/>
      <c r="F44" s="4"/>
      <c r="G44" s="7"/>
      <c r="H44" s="3"/>
      <c r="I44" s="7"/>
      <c r="J44" s="1"/>
      <c r="K44" s="7"/>
      <c r="L44" s="1"/>
      <c r="M44" s="33" t="s">
        <v>32</v>
      </c>
      <c r="N44" s="33">
        <f>I43/3/2</f>
        <v>125</v>
      </c>
      <c r="O44" s="3"/>
      <c r="P44" s="79"/>
      <c r="Q44" s="28"/>
      <c r="R44" s="1"/>
      <c r="S44" s="1"/>
      <c r="T44" s="1"/>
      <c r="U44" s="1"/>
      <c r="V44" s="1"/>
      <c r="W44" s="7"/>
      <c r="X44" s="7"/>
      <c r="Y44" s="7"/>
      <c r="Z44" s="178"/>
      <c r="AA44" s="178"/>
      <c r="AB44" s="129"/>
      <c r="AC44" s="72"/>
      <c r="AD44" s="178"/>
      <c r="AE44" s="129"/>
      <c r="AF44" s="129"/>
      <c r="AG44" s="72"/>
      <c r="AH44" s="72"/>
      <c r="AI44" s="72"/>
      <c r="AJ44" s="299"/>
      <c r="AK44" s="72"/>
      <c r="AL44" s="72"/>
      <c r="AM44" s="72"/>
    </row>
    <row r="45" spans="1:40" x14ac:dyDescent="0.25">
      <c r="A45" s="20">
        <v>45729</v>
      </c>
      <c r="B45" s="1">
        <v>31</v>
      </c>
      <c r="C45" s="20" t="s">
        <v>27</v>
      </c>
      <c r="D45" s="73" t="s">
        <v>68</v>
      </c>
      <c r="E45" s="80" t="s">
        <v>72</v>
      </c>
      <c r="F45" s="73" t="s">
        <v>73</v>
      </c>
      <c r="G45" s="67">
        <v>4250</v>
      </c>
      <c r="H45" s="74" t="s">
        <v>74</v>
      </c>
      <c r="I45" s="64">
        <v>250</v>
      </c>
      <c r="J45" s="30" t="s">
        <v>39</v>
      </c>
      <c r="K45" s="24" t="s">
        <v>44</v>
      </c>
      <c r="L45" s="24">
        <f>I45*10/100</f>
        <v>25</v>
      </c>
      <c r="M45" s="51" t="s">
        <v>37</v>
      </c>
      <c r="N45" s="51">
        <f>I45/3</f>
        <v>83.333333333333329</v>
      </c>
      <c r="O45" s="26">
        <f>I45/3-L45</f>
        <v>58.333333333333329</v>
      </c>
      <c r="P45" s="52">
        <v>3</v>
      </c>
      <c r="Q45" s="51">
        <f>O45/P45</f>
        <v>19.444444444444443</v>
      </c>
      <c r="R45" s="53">
        <f>I45/3</f>
        <v>83.333333333333329</v>
      </c>
      <c r="S45" s="30">
        <f>L45+N45+O45+R45</f>
        <v>250</v>
      </c>
      <c r="T45" s="54">
        <v>0</v>
      </c>
      <c r="U45" s="55">
        <f>I45*11</f>
        <v>2750</v>
      </c>
      <c r="V45" s="56" t="s">
        <v>325</v>
      </c>
      <c r="W45" s="7" t="s">
        <v>75</v>
      </c>
      <c r="X45" s="7"/>
      <c r="Y45" s="7"/>
      <c r="Z45" s="178"/>
      <c r="AA45" s="178"/>
      <c r="AB45" s="129"/>
      <c r="AC45" s="72"/>
      <c r="AD45" s="178"/>
      <c r="AE45" s="129"/>
      <c r="AF45" s="129"/>
      <c r="AG45" s="72"/>
      <c r="AH45" s="72"/>
      <c r="AI45" s="72"/>
      <c r="AJ45" s="299"/>
      <c r="AK45" s="72"/>
      <c r="AL45" s="72"/>
      <c r="AM45" s="72"/>
    </row>
    <row r="46" spans="1:40" x14ac:dyDescent="0.25">
      <c r="A46" s="20">
        <v>45729</v>
      </c>
      <c r="B46" s="1">
        <v>32</v>
      </c>
      <c r="C46" s="20" t="s">
        <v>27</v>
      </c>
      <c r="D46" s="3" t="s">
        <v>212</v>
      </c>
      <c r="E46" s="59" t="s">
        <v>35</v>
      </c>
      <c r="F46" s="3" t="s">
        <v>36</v>
      </c>
      <c r="G46" s="7">
        <v>1500</v>
      </c>
      <c r="H46" s="1" t="s">
        <v>213</v>
      </c>
      <c r="I46" s="48">
        <v>500</v>
      </c>
      <c r="J46" s="50" t="s">
        <v>39</v>
      </c>
      <c r="K46" s="247" t="s">
        <v>25</v>
      </c>
      <c r="L46" s="248">
        <f t="shared" ref="L46" si="19">I46*10/100</f>
        <v>50</v>
      </c>
      <c r="M46" s="51" t="s">
        <v>37</v>
      </c>
      <c r="N46" s="51">
        <f t="shared" ref="N46" si="20">I46/3</f>
        <v>166.66666666666666</v>
      </c>
      <c r="O46" s="26">
        <f t="shared" ref="O46" si="21">I46/3-L46</f>
        <v>116.66666666666666</v>
      </c>
      <c r="P46" s="179">
        <v>3</v>
      </c>
      <c r="Q46" s="51">
        <f>O46/5</f>
        <v>23.333333333333332</v>
      </c>
      <c r="R46" s="53">
        <f t="shared" ref="R46" si="22">I46/3</f>
        <v>166.66666666666666</v>
      </c>
      <c r="S46" s="30">
        <f t="shared" ref="S46" si="23">L46+N46+O46+R46</f>
        <v>500</v>
      </c>
      <c r="T46" s="54">
        <v>0</v>
      </c>
      <c r="U46" s="55">
        <v>0</v>
      </c>
      <c r="V46" s="67" t="s">
        <v>326</v>
      </c>
      <c r="W46" s="7" t="s">
        <v>214</v>
      </c>
      <c r="X46" s="7" t="s">
        <v>287</v>
      </c>
      <c r="Y46" s="7"/>
      <c r="Z46" s="178"/>
      <c r="AA46" s="178"/>
      <c r="AB46" s="72"/>
      <c r="AC46" s="72"/>
      <c r="AD46" s="178"/>
      <c r="AE46" s="129"/>
      <c r="AF46" s="129"/>
      <c r="AG46" s="72"/>
      <c r="AH46" s="72"/>
      <c r="AI46" s="72"/>
      <c r="AJ46" s="299"/>
      <c r="AK46" s="72"/>
      <c r="AL46" s="72"/>
      <c r="AM46" s="72"/>
    </row>
    <row r="47" spans="1:40" x14ac:dyDescent="0.25">
      <c r="A47" s="20">
        <v>45730</v>
      </c>
      <c r="B47" s="1">
        <v>33</v>
      </c>
      <c r="C47" s="20" t="s">
        <v>27</v>
      </c>
      <c r="D47" s="185" t="s">
        <v>133</v>
      </c>
      <c r="E47" s="99" t="s">
        <v>132</v>
      </c>
      <c r="F47" s="180" t="s">
        <v>134</v>
      </c>
      <c r="G47" s="56">
        <v>4000</v>
      </c>
      <c r="H47" s="56" t="s">
        <v>135</v>
      </c>
      <c r="I47" s="181">
        <v>300</v>
      </c>
      <c r="J47" s="130" t="str">
        <f>J27</f>
        <v>PIX JS PJ</v>
      </c>
      <c r="K47" s="38" t="s">
        <v>32</v>
      </c>
      <c r="L47" s="38">
        <f t="shared" ref="L47" si="24">I47*10/100</f>
        <v>30</v>
      </c>
      <c r="M47" s="38" t="s">
        <v>32</v>
      </c>
      <c r="N47" s="66">
        <f t="shared" ref="N47" si="25">I47/3</f>
        <v>100</v>
      </c>
      <c r="O47" s="26">
        <f t="shared" ref="O47" si="26">I47/3-L47</f>
        <v>70</v>
      </c>
      <c r="P47" s="27">
        <v>2</v>
      </c>
      <c r="Q47" s="28">
        <f>O47/P47</f>
        <v>35</v>
      </c>
      <c r="R47" s="131">
        <f t="shared" ref="R47" si="27">I47/3</f>
        <v>100</v>
      </c>
      <c r="S47" s="30">
        <f t="shared" ref="S47" si="28">L47+N47+O47+R47</f>
        <v>300</v>
      </c>
      <c r="T47" s="132">
        <f>I47-S47</f>
        <v>0</v>
      </c>
      <c r="U47" s="61">
        <f>I47*6+700</f>
        <v>2500</v>
      </c>
      <c r="V47" s="67" t="s">
        <v>327</v>
      </c>
      <c r="W47" s="7" t="s">
        <v>55</v>
      </c>
      <c r="X47" s="7"/>
      <c r="Y47" s="7"/>
      <c r="Z47" s="178"/>
      <c r="AA47" s="129"/>
      <c r="AB47" s="178"/>
      <c r="AC47" s="178"/>
      <c r="AD47" s="129"/>
      <c r="AE47" s="129"/>
      <c r="AF47" s="72"/>
      <c r="AG47" s="72"/>
      <c r="AH47" s="72"/>
      <c r="AI47" s="72"/>
      <c r="AJ47" s="299"/>
      <c r="AK47" s="72"/>
    </row>
    <row r="48" spans="1:40" s="135" customFormat="1" ht="12.75" x14ac:dyDescent="0.2">
      <c r="A48" s="20">
        <v>45730</v>
      </c>
      <c r="B48" s="1">
        <v>34</v>
      </c>
      <c r="C48" s="20" t="s">
        <v>27</v>
      </c>
      <c r="D48" s="319" t="s">
        <v>328</v>
      </c>
      <c r="E48" s="198" t="s">
        <v>162</v>
      </c>
      <c r="F48" s="3" t="s">
        <v>232</v>
      </c>
      <c r="G48" s="7">
        <v>2000</v>
      </c>
      <c r="H48" s="1" t="s">
        <v>233</v>
      </c>
      <c r="I48" s="273">
        <v>2000</v>
      </c>
      <c r="J48" s="50" t="s">
        <v>229</v>
      </c>
      <c r="K48" s="38" t="s">
        <v>32</v>
      </c>
      <c r="L48" s="38">
        <f t="shared" ref="L48" si="29">I48*10/100</f>
        <v>200</v>
      </c>
      <c r="M48" s="38" t="s">
        <v>32</v>
      </c>
      <c r="N48" s="66">
        <f t="shared" ref="N48" si="30">I48/3</f>
        <v>666.66666666666663</v>
      </c>
      <c r="O48" s="26">
        <f>I48-L48-N48-R48</f>
        <v>466.66666666666686</v>
      </c>
      <c r="P48" s="27">
        <v>2</v>
      </c>
      <c r="Q48" s="28">
        <f>O48/P48</f>
        <v>233.33333333333343</v>
      </c>
      <c r="R48" s="53">
        <f>N48</f>
        <v>666.66666666666663</v>
      </c>
      <c r="S48" s="30">
        <f>L48+N48+O48+R48</f>
        <v>2000</v>
      </c>
      <c r="T48" s="54">
        <f>I48-S48</f>
        <v>0</v>
      </c>
      <c r="U48" s="55">
        <v>0</v>
      </c>
      <c r="V48" s="56" t="s">
        <v>64</v>
      </c>
      <c r="W48" s="7"/>
      <c r="X48" s="7"/>
      <c r="Y48" s="7"/>
      <c r="Z48" s="178"/>
      <c r="AA48" s="178"/>
      <c r="AB48" s="129"/>
      <c r="AC48" s="72"/>
      <c r="AD48" s="178"/>
      <c r="AE48" s="129"/>
      <c r="AF48" s="129"/>
      <c r="AG48" s="72"/>
      <c r="AH48" s="72"/>
      <c r="AI48" s="72"/>
      <c r="AJ48" s="299"/>
      <c r="AK48" s="72"/>
      <c r="AL48" s="72"/>
      <c r="AM48" s="72"/>
      <c r="AN48" s="72"/>
    </row>
    <row r="49" spans="1:40" x14ac:dyDescent="0.25">
      <c r="A49" s="20">
        <v>45730</v>
      </c>
      <c r="B49" s="1">
        <v>35</v>
      </c>
      <c r="C49" s="20" t="s">
        <v>27</v>
      </c>
      <c r="D49" s="319" t="s">
        <v>332</v>
      </c>
      <c r="E49" s="337" t="s">
        <v>35</v>
      </c>
      <c r="F49" s="320" t="s">
        <v>333</v>
      </c>
      <c r="G49" s="338">
        <v>9500</v>
      </c>
      <c r="H49" s="338" t="s">
        <v>334</v>
      </c>
      <c r="I49" s="339">
        <v>500</v>
      </c>
      <c r="J49" s="322" t="s">
        <v>39</v>
      </c>
      <c r="K49" s="340" t="s">
        <v>32</v>
      </c>
      <c r="L49" s="340">
        <f>I49*10/100</f>
        <v>50</v>
      </c>
      <c r="M49" s="330" t="s">
        <v>32</v>
      </c>
      <c r="N49" s="330">
        <f>I49/3</f>
        <v>166.66666666666666</v>
      </c>
      <c r="O49" s="324">
        <f>I49/3-L49</f>
        <v>116.66666666666666</v>
      </c>
      <c r="P49" s="27">
        <v>2</v>
      </c>
      <c r="Q49" s="28">
        <f>O49/P49</f>
        <v>58.333333333333329</v>
      </c>
      <c r="R49" s="341">
        <f>I49/3</f>
        <v>166.66666666666666</v>
      </c>
      <c r="S49" s="326">
        <f>L49+N49+O49+R49</f>
        <v>500</v>
      </c>
      <c r="T49" s="342">
        <f>I49-S49</f>
        <v>0</v>
      </c>
      <c r="U49" s="343">
        <f>500*7</f>
        <v>3500</v>
      </c>
      <c r="V49" s="344" t="s">
        <v>336</v>
      </c>
      <c r="W49" s="7" t="s">
        <v>335</v>
      </c>
      <c r="X49" s="222" t="s">
        <v>167</v>
      </c>
      <c r="Y49" s="313"/>
      <c r="Z49" s="218"/>
      <c r="AA49" s="218"/>
      <c r="AD49" s="218"/>
      <c r="AE49" s="13"/>
      <c r="AF49" s="13"/>
    </row>
    <row r="50" spans="1:40" s="135" customFormat="1" ht="12.75" x14ac:dyDescent="0.2">
      <c r="A50" s="20">
        <v>45730</v>
      </c>
      <c r="B50" s="1">
        <v>36</v>
      </c>
      <c r="C50" s="20" t="s">
        <v>27</v>
      </c>
      <c r="D50" s="3" t="s">
        <v>150</v>
      </c>
      <c r="E50" s="48" t="s">
        <v>35</v>
      </c>
      <c r="F50" s="3" t="s">
        <v>151</v>
      </c>
      <c r="G50" s="7">
        <v>4200</v>
      </c>
      <c r="H50" s="1" t="s">
        <v>152</v>
      </c>
      <c r="I50" s="49">
        <v>300</v>
      </c>
      <c r="J50" s="50" t="str">
        <f>J49</f>
        <v>PIX JS PJ</v>
      </c>
      <c r="K50" s="38" t="s">
        <v>32</v>
      </c>
      <c r="L50" s="38">
        <f t="shared" ref="L50" si="31">I50*10/100</f>
        <v>30</v>
      </c>
      <c r="M50" s="38" t="s">
        <v>32</v>
      </c>
      <c r="N50" s="66">
        <f t="shared" ref="N50" si="32">I50/3</f>
        <v>100</v>
      </c>
      <c r="O50" s="26">
        <f t="shared" ref="O50" si="33">I50/3-L50</f>
        <v>70</v>
      </c>
      <c r="P50" s="27">
        <v>2</v>
      </c>
      <c r="Q50" s="28">
        <f>O50/P50</f>
        <v>35</v>
      </c>
      <c r="R50" s="53">
        <f t="shared" ref="R50" si="34">I50/3</f>
        <v>100</v>
      </c>
      <c r="S50" s="30">
        <f t="shared" ref="S50" si="35">L50+N50+O50+R50</f>
        <v>300</v>
      </c>
      <c r="T50" s="54">
        <v>0</v>
      </c>
      <c r="U50" s="55">
        <f>I50*9</f>
        <v>2700</v>
      </c>
      <c r="V50" s="56" t="s">
        <v>234</v>
      </c>
      <c r="W50" s="7" t="s">
        <v>153</v>
      </c>
      <c r="X50" s="7"/>
      <c r="Y50" s="7"/>
      <c r="Z50" s="178"/>
      <c r="AA50" s="178"/>
      <c r="AB50" s="129"/>
      <c r="AC50" s="72"/>
      <c r="AD50" s="178"/>
      <c r="AE50" s="129"/>
      <c r="AF50" s="129"/>
      <c r="AG50" s="72"/>
      <c r="AH50" s="72"/>
      <c r="AI50" s="72"/>
      <c r="AJ50" s="299"/>
      <c r="AK50" s="72"/>
      <c r="AL50" s="72"/>
      <c r="AM50" s="72"/>
      <c r="AN50" s="72"/>
    </row>
    <row r="51" spans="1:40" s="72" customFormat="1" ht="12.75" x14ac:dyDescent="0.2">
      <c r="A51" s="20">
        <v>45733</v>
      </c>
      <c r="B51" s="1">
        <v>37</v>
      </c>
      <c r="C51" s="20" t="s">
        <v>27</v>
      </c>
      <c r="D51" s="3" t="s">
        <v>329</v>
      </c>
      <c r="E51" s="21" t="s">
        <v>23</v>
      </c>
      <c r="F51" s="4" t="s">
        <v>330</v>
      </c>
      <c r="G51" s="7">
        <f>I51</f>
        <v>8824.93</v>
      </c>
      <c r="H51" s="1" t="s">
        <v>301</v>
      </c>
      <c r="I51" s="22">
        <v>8824.93</v>
      </c>
      <c r="J51" s="23" t="str">
        <f>J29</f>
        <v>PIX JS PJ</v>
      </c>
      <c r="K51" s="112" t="s">
        <v>90</v>
      </c>
      <c r="L51" s="113">
        <f>I51*10/100</f>
        <v>882.49300000000005</v>
      </c>
      <c r="M51" s="112" t="s">
        <v>90</v>
      </c>
      <c r="N51" s="113">
        <f>I51/3</f>
        <v>2941.6433333333334</v>
      </c>
      <c r="O51" s="26">
        <f>I51/3-L51</f>
        <v>2059.1503333333335</v>
      </c>
      <c r="P51" s="140">
        <v>3</v>
      </c>
      <c r="Q51" s="133">
        <f>O51/3</f>
        <v>686.38344444444454</v>
      </c>
      <c r="R51" s="309">
        <f>I51/3</f>
        <v>2941.6433333333334</v>
      </c>
      <c r="S51" s="30">
        <f>L51+N51+O51+R51</f>
        <v>8824.93</v>
      </c>
      <c r="T51" s="310">
        <f>I51-S51</f>
        <v>0</v>
      </c>
      <c r="U51" s="311">
        <v>0</v>
      </c>
      <c r="V51" s="306" t="str">
        <f>V48</f>
        <v>PARCELA ÚNICA</v>
      </c>
      <c r="W51" s="56" t="s">
        <v>331</v>
      </c>
      <c r="X51" s="7" t="s">
        <v>341</v>
      </c>
      <c r="Y51" s="3">
        <f>21160.86-8824.1</f>
        <v>12336.76</v>
      </c>
      <c r="AB51" s="129"/>
      <c r="AC51" s="129"/>
      <c r="AJ51" s="299"/>
    </row>
    <row r="52" spans="1:40" s="72" customFormat="1" ht="12.75" x14ac:dyDescent="0.2">
      <c r="A52" s="20">
        <v>45734</v>
      </c>
      <c r="B52" s="1">
        <v>38</v>
      </c>
      <c r="C52" s="20" t="s">
        <v>27</v>
      </c>
      <c r="D52" s="3" t="s">
        <v>337</v>
      </c>
      <c r="E52" s="21" t="s">
        <v>23</v>
      </c>
      <c r="F52" s="4" t="s">
        <v>338</v>
      </c>
      <c r="G52" s="7">
        <f>I52</f>
        <v>5722.1</v>
      </c>
      <c r="H52" s="1" t="s">
        <v>301</v>
      </c>
      <c r="I52" s="22">
        <v>5722.1</v>
      </c>
      <c r="J52" s="23" t="str">
        <f>J51</f>
        <v>PIX JS PJ</v>
      </c>
      <c r="K52" s="38" t="s">
        <v>32</v>
      </c>
      <c r="L52" s="38">
        <f t="shared" ref="L52:L53" si="36">I52*10/100</f>
        <v>572.21</v>
      </c>
      <c r="M52" s="38" t="s">
        <v>32</v>
      </c>
      <c r="N52" s="66">
        <f t="shared" ref="N52" si="37">I52/3</f>
        <v>1907.3666666666668</v>
      </c>
      <c r="O52" s="26">
        <f t="shared" ref="O52:O53" si="38">I52/3-L52</f>
        <v>1335.1566666666668</v>
      </c>
      <c r="P52" s="27">
        <v>2</v>
      </c>
      <c r="Q52" s="28">
        <f>O52/P52</f>
        <v>667.57833333333338</v>
      </c>
      <c r="R52" s="53">
        <f t="shared" ref="R52:R53" si="39">I52/3</f>
        <v>1907.3666666666668</v>
      </c>
      <c r="S52" s="30">
        <f t="shared" ref="S52:S53" si="40">L52+N52+O52+R52</f>
        <v>5722.1</v>
      </c>
      <c r="T52" s="54">
        <v>0</v>
      </c>
      <c r="U52" s="55">
        <v>0</v>
      </c>
      <c r="V52" s="56" t="str">
        <f>V51</f>
        <v>PARCELA ÚNICA</v>
      </c>
      <c r="W52" s="7" t="s">
        <v>339</v>
      </c>
      <c r="X52" s="7" t="s">
        <v>340</v>
      </c>
      <c r="Y52" s="7"/>
      <c r="AB52" s="129"/>
      <c r="AC52" s="129"/>
      <c r="AJ52" s="299"/>
    </row>
    <row r="53" spans="1:40" x14ac:dyDescent="0.25">
      <c r="A53" s="20">
        <v>45734</v>
      </c>
      <c r="B53" s="1">
        <v>39</v>
      </c>
      <c r="C53" s="20" t="s">
        <v>27</v>
      </c>
      <c r="D53" s="185" t="s">
        <v>342</v>
      </c>
      <c r="E53" s="99" t="s">
        <v>132</v>
      </c>
      <c r="F53" s="180" t="s">
        <v>343</v>
      </c>
      <c r="G53" s="56">
        <v>3000</v>
      </c>
      <c r="H53" s="56" t="s">
        <v>64</v>
      </c>
      <c r="I53" s="181">
        <v>3000</v>
      </c>
      <c r="J53" s="130" t="str">
        <f>J48</f>
        <v>DINHEIRO</v>
      </c>
      <c r="K53" s="247" t="s">
        <v>25</v>
      </c>
      <c r="L53" s="248">
        <f t="shared" si="36"/>
        <v>300</v>
      </c>
      <c r="M53" s="112" t="s">
        <v>90</v>
      </c>
      <c r="N53" s="113">
        <f>I53/3</f>
        <v>1000</v>
      </c>
      <c r="O53" s="26">
        <f t="shared" si="38"/>
        <v>700</v>
      </c>
      <c r="P53" s="140">
        <v>3</v>
      </c>
      <c r="Q53" s="133">
        <f>O53/3</f>
        <v>233.33333333333334</v>
      </c>
      <c r="R53" s="131">
        <f t="shared" si="39"/>
        <v>1000</v>
      </c>
      <c r="S53" s="30">
        <f t="shared" si="40"/>
        <v>3000</v>
      </c>
      <c r="T53" s="132">
        <f>I53-S53</f>
        <v>0</v>
      </c>
      <c r="U53" s="61">
        <f>U52</f>
        <v>0</v>
      </c>
      <c r="V53" s="67" t="str">
        <f>V52</f>
        <v>PARCELA ÚNICA</v>
      </c>
      <c r="W53" s="7" t="s">
        <v>287</v>
      </c>
      <c r="X53" s="7"/>
      <c r="Y53" s="7"/>
      <c r="Z53" s="178"/>
      <c r="AA53" s="129"/>
      <c r="AB53" s="178"/>
      <c r="AC53" s="178"/>
      <c r="AD53" s="129"/>
      <c r="AE53" s="129"/>
      <c r="AF53" s="72"/>
      <c r="AG53" s="72"/>
      <c r="AH53" s="72"/>
      <c r="AI53" s="72"/>
      <c r="AJ53" s="299"/>
      <c r="AK53" s="72"/>
    </row>
    <row r="54" spans="1:40" x14ac:dyDescent="0.25">
      <c r="A54" s="20">
        <v>45734</v>
      </c>
      <c r="B54" s="1">
        <v>40</v>
      </c>
      <c r="C54" s="20" t="s">
        <v>27</v>
      </c>
      <c r="D54" s="3" t="s">
        <v>146</v>
      </c>
      <c r="E54" s="99" t="s">
        <v>132</v>
      </c>
      <c r="F54" s="4" t="s">
        <v>147</v>
      </c>
      <c r="G54" s="7">
        <v>6000</v>
      </c>
      <c r="H54" s="1" t="s">
        <v>148</v>
      </c>
      <c r="I54" s="99">
        <v>500</v>
      </c>
      <c r="J54" s="23" t="str">
        <f>J34</f>
        <v xml:space="preserve">BOLETO PJ </v>
      </c>
      <c r="K54" s="71" t="s">
        <v>44</v>
      </c>
      <c r="L54" s="71">
        <f>I54*10/100</f>
        <v>50</v>
      </c>
      <c r="M54" s="71" t="s">
        <v>44</v>
      </c>
      <c r="N54" s="71">
        <f>I54/3</f>
        <v>166.66666666666666</v>
      </c>
      <c r="O54" s="26">
        <f>I54/3-L54</f>
        <v>116.66666666666666</v>
      </c>
      <c r="P54" s="27">
        <v>2</v>
      </c>
      <c r="Q54" s="28">
        <f>O54/P54</f>
        <v>58.333333333333329</v>
      </c>
      <c r="R54" s="53">
        <f>I54/3</f>
        <v>166.66666666666666</v>
      </c>
      <c r="S54" s="30">
        <f>L54+N54+O54+R54</f>
        <v>500</v>
      </c>
      <c r="T54" s="54">
        <f>I54-S54</f>
        <v>0</v>
      </c>
      <c r="U54" s="55">
        <f>I54*0</f>
        <v>0</v>
      </c>
      <c r="V54" s="1" t="s">
        <v>344</v>
      </c>
      <c r="W54" s="7" t="str">
        <f>[3]RECEITAS!$W$51</f>
        <v>CONTRATO ABRIL 2024</v>
      </c>
      <c r="X54" s="7"/>
      <c r="Y54" s="7"/>
      <c r="Z54" s="178"/>
      <c r="AA54" s="129"/>
      <c r="AB54" s="72"/>
      <c r="AC54" s="178"/>
      <c r="AD54" s="129"/>
      <c r="AE54" s="129"/>
      <c r="AF54" s="72"/>
      <c r="AG54" s="72"/>
      <c r="AH54" s="72"/>
      <c r="AI54" s="72"/>
      <c r="AJ54" s="299"/>
      <c r="AK54" s="72"/>
      <c r="AL54" s="72"/>
      <c r="AM54" s="72"/>
    </row>
    <row r="55" spans="1:40" s="135" customFormat="1" ht="12.75" x14ac:dyDescent="0.2">
      <c r="A55" s="20">
        <v>45734</v>
      </c>
      <c r="B55" s="1">
        <v>41</v>
      </c>
      <c r="C55" s="20" t="s">
        <v>27</v>
      </c>
      <c r="D55" s="319" t="s">
        <v>345</v>
      </c>
      <c r="E55" s="198" t="s">
        <v>162</v>
      </c>
      <c r="F55" s="3" t="s">
        <v>347</v>
      </c>
      <c r="G55" s="7">
        <v>1370.12</v>
      </c>
      <c r="H55" s="1" t="s">
        <v>346</v>
      </c>
      <c r="I55" s="273">
        <v>1370.12</v>
      </c>
      <c r="J55" s="50" t="str">
        <f>J52</f>
        <v>PIX JS PJ</v>
      </c>
      <c r="K55" s="38" t="s">
        <v>32</v>
      </c>
      <c r="L55" s="38">
        <f t="shared" ref="L55" si="41">I55*10/100</f>
        <v>137.012</v>
      </c>
      <c r="M55" s="38" t="s">
        <v>32</v>
      </c>
      <c r="N55" s="66">
        <f t="shared" ref="N55" si="42">I55/3</f>
        <v>456.70666666666665</v>
      </c>
      <c r="O55" s="26">
        <f>I55-L55-N55-R55</f>
        <v>319.69466666666659</v>
      </c>
      <c r="P55" s="27">
        <v>2</v>
      </c>
      <c r="Q55" s="28">
        <f>O55/P55</f>
        <v>159.8473333333333</v>
      </c>
      <c r="R55" s="53">
        <f>N55</f>
        <v>456.70666666666665</v>
      </c>
      <c r="S55" s="30">
        <f>L55+N55+O55+R55</f>
        <v>1370.12</v>
      </c>
      <c r="T55" s="54">
        <f>I55-S55</f>
        <v>0</v>
      </c>
      <c r="U55" s="55">
        <v>0</v>
      </c>
      <c r="V55" s="56" t="s">
        <v>64</v>
      </c>
      <c r="W55" s="7"/>
      <c r="X55" s="7"/>
      <c r="Y55" s="7"/>
      <c r="Z55" s="178"/>
      <c r="AA55" s="178"/>
      <c r="AB55" s="129"/>
      <c r="AC55" s="72"/>
      <c r="AD55" s="178"/>
      <c r="AE55" s="129"/>
      <c r="AF55" s="129"/>
      <c r="AG55" s="72"/>
      <c r="AH55" s="72"/>
      <c r="AI55" s="72"/>
      <c r="AJ55" s="299"/>
      <c r="AK55" s="72"/>
      <c r="AL55" s="72"/>
      <c r="AM55" s="72"/>
      <c r="AN55" s="72"/>
    </row>
    <row r="56" spans="1:40" x14ac:dyDescent="0.25">
      <c r="A56" s="20">
        <v>45735</v>
      </c>
      <c r="B56" s="1">
        <v>42</v>
      </c>
      <c r="C56" s="20" t="s">
        <v>27</v>
      </c>
      <c r="D56" s="185" t="s">
        <v>106</v>
      </c>
      <c r="E56" s="48" t="s">
        <v>35</v>
      </c>
      <c r="F56" s="3" t="s">
        <v>110</v>
      </c>
      <c r="G56" s="7">
        <v>5000</v>
      </c>
      <c r="H56" s="1" t="s">
        <v>111</v>
      </c>
      <c r="I56" s="49">
        <v>1000</v>
      </c>
      <c r="J56" s="50" t="str">
        <f>J59</f>
        <v>PIX JS PJ</v>
      </c>
      <c r="K56" s="24" t="s">
        <v>44</v>
      </c>
      <c r="L56" s="24">
        <f>I56*10/100</f>
        <v>100</v>
      </c>
      <c r="M56" s="51" t="s">
        <v>37</v>
      </c>
      <c r="N56" s="51">
        <f>I56/3/2</f>
        <v>166.66666666666666</v>
      </c>
      <c r="O56" s="26">
        <f>I56/3-L56</f>
        <v>233.33333333333331</v>
      </c>
      <c r="P56" s="52">
        <v>3</v>
      </c>
      <c r="Q56" s="51">
        <f>O56/P56</f>
        <v>77.777777777777771</v>
      </c>
      <c r="R56" s="53">
        <f>I56/3</f>
        <v>333.33333333333331</v>
      </c>
      <c r="S56" s="30">
        <f>L56+N56+N57+O56+R56</f>
        <v>999.99999999999977</v>
      </c>
      <c r="T56" s="54">
        <v>0</v>
      </c>
      <c r="U56" s="55">
        <f>I56*0</f>
        <v>0</v>
      </c>
      <c r="V56" s="56" t="s">
        <v>351</v>
      </c>
      <c r="W56" s="7" t="s">
        <v>62</v>
      </c>
      <c r="X56" s="7" t="s">
        <v>287</v>
      </c>
      <c r="Y56" s="3"/>
      <c r="Z56" s="178"/>
      <c r="AA56" s="129"/>
      <c r="AB56" s="129"/>
      <c r="AC56" s="178"/>
      <c r="AD56" s="129"/>
      <c r="AE56" s="129"/>
      <c r="AF56" s="72"/>
      <c r="AG56" s="72"/>
      <c r="AH56" s="72"/>
      <c r="AI56" s="72"/>
      <c r="AJ56" s="299"/>
      <c r="AK56" s="72"/>
    </row>
    <row r="57" spans="1:40" x14ac:dyDescent="0.25">
      <c r="A57" s="3"/>
      <c r="B57" s="1"/>
      <c r="C57" s="3"/>
      <c r="D57" s="3"/>
      <c r="E57" s="3"/>
      <c r="F57" s="3"/>
      <c r="G57" s="3"/>
      <c r="H57" s="3"/>
      <c r="I57" s="134"/>
      <c r="J57" s="1"/>
      <c r="K57" s="3"/>
      <c r="L57" s="3"/>
      <c r="M57" s="25" t="s">
        <v>25</v>
      </c>
      <c r="N57" s="25">
        <f>N56</f>
        <v>166.66666666666666</v>
      </c>
      <c r="O57" s="3"/>
      <c r="P57" s="3"/>
      <c r="Q57" s="1"/>
      <c r="R57" s="1"/>
      <c r="S57" s="3"/>
      <c r="T57" s="3"/>
      <c r="U57" s="3"/>
      <c r="V57" s="1"/>
      <c r="W57" s="1"/>
      <c r="X57" s="1"/>
      <c r="Y57" s="3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299"/>
      <c r="AK57" s="72"/>
    </row>
    <row r="58" spans="1:40" x14ac:dyDescent="0.25">
      <c r="A58" s="20">
        <v>45736</v>
      </c>
      <c r="B58" s="1">
        <v>43</v>
      </c>
      <c r="C58" s="20" t="s">
        <v>27</v>
      </c>
      <c r="D58" s="3" t="s">
        <v>184</v>
      </c>
      <c r="E58" s="48" t="s">
        <v>35</v>
      </c>
      <c r="F58" s="3" t="s">
        <v>185</v>
      </c>
      <c r="G58" s="7">
        <v>4500</v>
      </c>
      <c r="H58" s="1" t="s">
        <v>186</v>
      </c>
      <c r="I58" s="75">
        <v>200</v>
      </c>
      <c r="J58" s="30" t="s">
        <v>39</v>
      </c>
      <c r="K58" s="38" t="s">
        <v>32</v>
      </c>
      <c r="L58" s="38">
        <f>I58*10/100</f>
        <v>20</v>
      </c>
      <c r="M58" s="58" t="str">
        <f>M55</f>
        <v>JÉTER</v>
      </c>
      <c r="N58" s="58">
        <f>I58/3</f>
        <v>66.666666666666671</v>
      </c>
      <c r="O58" s="26">
        <f>I58/3-L58</f>
        <v>46.666666666666671</v>
      </c>
      <c r="P58" s="27">
        <v>2</v>
      </c>
      <c r="Q58" s="28">
        <f t="shared" ref="Q58" si="43">O58/P58</f>
        <v>23.333333333333336</v>
      </c>
      <c r="R58" s="60">
        <f>I58/3</f>
        <v>66.666666666666671</v>
      </c>
      <c r="S58" s="30">
        <f>L58+N58+O58+R58</f>
        <v>200</v>
      </c>
      <c r="T58" s="31">
        <f>I58-S58</f>
        <v>0</v>
      </c>
      <c r="U58" s="61">
        <f>3*I58+1500</f>
        <v>2100</v>
      </c>
      <c r="V58" s="1" t="s">
        <v>349</v>
      </c>
      <c r="W58" s="7" t="s">
        <v>174</v>
      </c>
      <c r="X58" s="7"/>
      <c r="Y58" s="7"/>
      <c r="Z58" s="178"/>
      <c r="AA58" s="178"/>
      <c r="AB58" s="129"/>
      <c r="AC58" s="129"/>
      <c r="AD58" s="178"/>
      <c r="AE58" s="129"/>
      <c r="AF58" s="129"/>
      <c r="AG58" s="72"/>
      <c r="AH58" s="72"/>
      <c r="AI58" s="72"/>
      <c r="AJ58" s="299"/>
      <c r="AK58" s="72"/>
      <c r="AL58" s="72"/>
      <c r="AM58" s="72"/>
    </row>
    <row r="59" spans="1:40" x14ac:dyDescent="0.25">
      <c r="A59" s="20">
        <v>45736</v>
      </c>
      <c r="B59" s="1">
        <v>44</v>
      </c>
      <c r="C59" s="20" t="s">
        <v>27</v>
      </c>
      <c r="D59" s="3" t="s">
        <v>112</v>
      </c>
      <c r="E59" s="21" t="s">
        <v>23</v>
      </c>
      <c r="F59" s="3" t="s">
        <v>113</v>
      </c>
      <c r="G59" s="7">
        <v>3000</v>
      </c>
      <c r="H59" s="1" t="s">
        <v>42</v>
      </c>
      <c r="I59" s="22">
        <v>300</v>
      </c>
      <c r="J59" s="50" t="str">
        <f>J58</f>
        <v>PIX JS PJ</v>
      </c>
      <c r="K59" s="58" t="s">
        <v>26</v>
      </c>
      <c r="L59" s="58">
        <f t="shared" ref="L59" si="44">I59*10/100</f>
        <v>30</v>
      </c>
      <c r="M59" s="51" t="s">
        <v>37</v>
      </c>
      <c r="N59" s="51">
        <f>I59/3</f>
        <v>100</v>
      </c>
      <c r="O59" s="26">
        <f t="shared" ref="O59" si="45">I59/3-L59</f>
        <v>70</v>
      </c>
      <c r="P59" s="52">
        <v>3</v>
      </c>
      <c r="Q59" s="51">
        <f t="shared" ref="Q59" si="46">O59/P59</f>
        <v>23.333333333333332</v>
      </c>
      <c r="R59" s="29">
        <f t="shared" ref="R59" si="47">I59/3</f>
        <v>100</v>
      </c>
      <c r="S59" s="30">
        <f>L59+N59+O59+R59</f>
        <v>300</v>
      </c>
      <c r="T59" s="31">
        <f>I59-S59</f>
        <v>0</v>
      </c>
      <c r="U59" s="61">
        <f>300*3</f>
        <v>900</v>
      </c>
      <c r="V59" s="7" t="s">
        <v>262</v>
      </c>
      <c r="W59" s="7" t="s">
        <v>55</v>
      </c>
      <c r="X59" s="1" t="s">
        <v>190</v>
      </c>
      <c r="Y59" s="7"/>
      <c r="Z59" s="178"/>
      <c r="AA59" s="178"/>
      <c r="AB59" s="178"/>
      <c r="AC59" s="178"/>
      <c r="AD59" s="129"/>
      <c r="AE59" s="129"/>
      <c r="AF59" s="72"/>
      <c r="AG59" s="72"/>
      <c r="AH59" s="72"/>
      <c r="AI59" s="72"/>
      <c r="AJ59" s="299"/>
      <c r="AK59" s="72"/>
    </row>
    <row r="60" spans="1:40" x14ac:dyDescent="0.25">
      <c r="A60" s="20">
        <v>45736</v>
      </c>
      <c r="B60" s="1">
        <v>45</v>
      </c>
      <c r="C60" s="20" t="s">
        <v>27</v>
      </c>
      <c r="D60" s="3" t="s">
        <v>159</v>
      </c>
      <c r="E60" s="205" t="s">
        <v>35</v>
      </c>
      <c r="F60" s="4" t="s">
        <v>161</v>
      </c>
      <c r="G60" s="7">
        <f>5*1412</f>
        <v>7060</v>
      </c>
      <c r="H60" s="1" t="s">
        <v>160</v>
      </c>
      <c r="I60" s="49">
        <v>500</v>
      </c>
      <c r="J60" s="2" t="s">
        <v>39</v>
      </c>
      <c r="K60" s="58" t="s">
        <v>32</v>
      </c>
      <c r="L60" s="58">
        <f>I60*10/100</f>
        <v>50</v>
      </c>
      <c r="M60" s="206" t="s">
        <v>44</v>
      </c>
      <c r="N60" s="24">
        <f>I60/3</f>
        <v>166.66666666666666</v>
      </c>
      <c r="O60" s="26">
        <f>I60/3-L60</f>
        <v>116.66666666666666</v>
      </c>
      <c r="P60" s="27">
        <v>2</v>
      </c>
      <c r="Q60" s="28">
        <f>O60/P60</f>
        <v>58.333333333333329</v>
      </c>
      <c r="R60" s="29">
        <f>I60/3</f>
        <v>166.66666666666666</v>
      </c>
      <c r="S60" s="23">
        <f>L60+N60+O60+R60</f>
        <v>500</v>
      </c>
      <c r="T60" s="128">
        <f>I60-S60</f>
        <v>0</v>
      </c>
      <c r="U60" s="32">
        <f>G60-1412-1412-1412-1000-1000-500</f>
        <v>324</v>
      </c>
      <c r="V60" s="1" t="s">
        <v>181</v>
      </c>
      <c r="W60" s="1" t="s">
        <v>348</v>
      </c>
      <c r="X60" s="1"/>
      <c r="Y60" s="7"/>
      <c r="Z60" s="178"/>
      <c r="AA60" s="178"/>
      <c r="AB60" s="72"/>
      <c r="AC60" s="72"/>
      <c r="AD60" s="178"/>
      <c r="AE60" s="129"/>
      <c r="AF60" s="129"/>
      <c r="AG60" s="72"/>
      <c r="AH60" s="72"/>
      <c r="AI60" s="72"/>
    </row>
    <row r="61" spans="1:40" s="72" customFormat="1" ht="12.75" x14ac:dyDescent="0.2">
      <c r="A61" s="20">
        <v>45736</v>
      </c>
      <c r="B61" s="1">
        <v>46</v>
      </c>
      <c r="C61" s="20" t="s">
        <v>27</v>
      </c>
      <c r="D61" s="3" t="s">
        <v>216</v>
      </c>
      <c r="E61" s="62" t="s">
        <v>51</v>
      </c>
      <c r="F61" s="3" t="s">
        <v>217</v>
      </c>
      <c r="G61" s="296">
        <v>4236</v>
      </c>
      <c r="H61" s="1" t="s">
        <v>218</v>
      </c>
      <c r="I61" s="63">
        <v>353</v>
      </c>
      <c r="J61" s="50" t="s">
        <v>39</v>
      </c>
      <c r="K61" s="249" t="s">
        <v>219</v>
      </c>
      <c r="L61" s="249">
        <f t="shared" ref="L61" si="48">I61*10/100</f>
        <v>35.299999999999997</v>
      </c>
      <c r="M61" s="38" t="s">
        <v>32</v>
      </c>
      <c r="N61" s="66">
        <f t="shared" ref="N61" si="49">I61/3</f>
        <v>117.66666666666667</v>
      </c>
      <c r="O61" s="26">
        <f t="shared" ref="O61" si="50">I61/3-L61</f>
        <v>82.366666666666674</v>
      </c>
      <c r="P61" s="27">
        <v>2</v>
      </c>
      <c r="Q61" s="28">
        <f>O61/P61</f>
        <v>41.183333333333337</v>
      </c>
      <c r="R61" s="29">
        <f t="shared" ref="R61" si="51">I61/3</f>
        <v>117.66666666666667</v>
      </c>
      <c r="S61" s="30">
        <f t="shared" ref="S61" si="52">L61+N61+O61+R61</f>
        <v>353</v>
      </c>
      <c r="T61" s="31">
        <f>I61-S61</f>
        <v>0</v>
      </c>
      <c r="U61" s="32">
        <f>I61*9</f>
        <v>3177</v>
      </c>
      <c r="V61" s="1" t="s">
        <v>350</v>
      </c>
      <c r="W61" s="1" t="s">
        <v>174</v>
      </c>
      <c r="X61" s="7"/>
      <c r="Y61" s="3"/>
      <c r="AB61" s="129"/>
      <c r="AC61" s="129"/>
      <c r="AJ61" s="299"/>
    </row>
    <row r="62" spans="1:40" x14ac:dyDescent="0.25">
      <c r="A62" s="20">
        <v>45737</v>
      </c>
      <c r="B62" s="1">
        <v>47</v>
      </c>
      <c r="C62" s="20" t="s">
        <v>27</v>
      </c>
      <c r="D62" s="96" t="s">
        <v>221</v>
      </c>
      <c r="E62" s="34" t="s">
        <v>29</v>
      </c>
      <c r="F62" s="4" t="s">
        <v>30</v>
      </c>
      <c r="G62" s="7">
        <v>3000</v>
      </c>
      <c r="H62" s="1" t="s">
        <v>33</v>
      </c>
      <c r="I62" s="35">
        <v>200</v>
      </c>
      <c r="J62" s="23" t="s">
        <v>183</v>
      </c>
      <c r="K62" s="24" t="str">
        <f>M62</f>
        <v>JS</v>
      </c>
      <c r="L62" s="24">
        <f>I62*10/100</f>
        <v>20</v>
      </c>
      <c r="M62" s="25" t="s">
        <v>25</v>
      </c>
      <c r="N62" s="25">
        <f>I62/3/2</f>
        <v>33.333333333333336</v>
      </c>
      <c r="O62" s="26">
        <f>I62/3-L62</f>
        <v>46.666666666666671</v>
      </c>
      <c r="P62" s="27">
        <v>3</v>
      </c>
      <c r="Q62" s="28">
        <f>O62/3</f>
        <v>15.555555555555557</v>
      </c>
      <c r="R62" s="29">
        <f>I62/3</f>
        <v>66.666666666666671</v>
      </c>
      <c r="S62" s="30">
        <f>L62+N62+N63+O62+R62</f>
        <v>200</v>
      </c>
      <c r="T62" s="197">
        <f>I62-S62</f>
        <v>0</v>
      </c>
      <c r="U62" s="32">
        <f>I62*5</f>
        <v>1000</v>
      </c>
      <c r="V62" s="1" t="s">
        <v>220</v>
      </c>
      <c r="W62" s="7" t="s">
        <v>31</v>
      </c>
      <c r="X62" s="7"/>
      <c r="Y62" s="7"/>
      <c r="Z62" s="178"/>
      <c r="AA62" s="178"/>
      <c r="AB62" s="129"/>
      <c r="AC62" s="178"/>
      <c r="AD62" s="178"/>
      <c r="AE62" s="129"/>
      <c r="AF62" s="129"/>
      <c r="AG62" s="72"/>
      <c r="AH62" s="72"/>
      <c r="AI62" s="72"/>
    </row>
    <row r="63" spans="1:40" x14ac:dyDescent="0.25">
      <c r="A63" s="3"/>
      <c r="B63" s="1"/>
      <c r="C63" s="3"/>
      <c r="D63" s="3"/>
      <c r="E63" s="3"/>
      <c r="F63" s="37"/>
      <c r="G63" s="134"/>
      <c r="H63" s="7"/>
      <c r="I63" s="7"/>
      <c r="J63" s="7"/>
      <c r="K63" s="1"/>
      <c r="L63" s="6"/>
      <c r="M63" s="38" t="s">
        <v>32</v>
      </c>
      <c r="N63" s="33">
        <f>I62/3/2</f>
        <v>33.333333333333336</v>
      </c>
      <c r="O63" s="1"/>
      <c r="P63" s="27"/>
      <c r="Q63" s="28"/>
      <c r="R63" s="1"/>
      <c r="S63" s="1"/>
      <c r="T63" s="1"/>
      <c r="U63" s="1"/>
      <c r="V63" s="3"/>
      <c r="W63" s="7"/>
      <c r="X63" s="7"/>
      <c r="Y63" s="3"/>
      <c r="Z63" s="72"/>
      <c r="AA63" s="72"/>
      <c r="AB63" s="178"/>
      <c r="AC63" s="178"/>
      <c r="AD63" s="178"/>
      <c r="AE63" s="129"/>
      <c r="AF63" s="129"/>
      <c r="AG63" s="72"/>
      <c r="AH63" s="72"/>
      <c r="AI63" s="72"/>
    </row>
    <row r="64" spans="1:40" x14ac:dyDescent="0.25">
      <c r="A64" s="20">
        <v>45737</v>
      </c>
      <c r="B64" s="1">
        <v>48</v>
      </c>
      <c r="C64" s="20" t="s">
        <v>27</v>
      </c>
      <c r="D64" s="3" t="s">
        <v>192</v>
      </c>
      <c r="E64" s="198" t="s">
        <v>162</v>
      </c>
      <c r="F64" s="180" t="s">
        <v>193</v>
      </c>
      <c r="G64" s="56">
        <v>2224</v>
      </c>
      <c r="H64" s="56" t="s">
        <v>194</v>
      </c>
      <c r="I64" s="199">
        <v>400</v>
      </c>
      <c r="J64" s="130" t="str">
        <f>J61</f>
        <v>PIX JS PJ</v>
      </c>
      <c r="K64" s="38" t="s">
        <v>32</v>
      </c>
      <c r="L64" s="38">
        <f>I64*10/100</f>
        <v>40</v>
      </c>
      <c r="M64" s="38" t="s">
        <v>32</v>
      </c>
      <c r="N64" s="66">
        <f>I64/3</f>
        <v>133.33333333333334</v>
      </c>
      <c r="O64" s="26">
        <f>I64/3-L64</f>
        <v>93.333333333333343</v>
      </c>
      <c r="P64" s="27">
        <v>2</v>
      </c>
      <c r="Q64" s="28">
        <f>O64/P64</f>
        <v>46.666666666666671</v>
      </c>
      <c r="R64" s="131">
        <f>I64/3</f>
        <v>133.33333333333334</v>
      </c>
      <c r="S64" s="30">
        <f>L64+N64+O64+R64</f>
        <v>400</v>
      </c>
      <c r="T64" s="132">
        <f>I64-S64</f>
        <v>0</v>
      </c>
      <c r="U64" s="61">
        <f>G64-1000-400-400</f>
        <v>424</v>
      </c>
      <c r="V64" s="67" t="s">
        <v>352</v>
      </c>
      <c r="W64" s="7" t="s">
        <v>195</v>
      </c>
      <c r="X64" s="7"/>
      <c r="Y64" s="7"/>
      <c r="Z64" s="178"/>
      <c r="AA64" s="178"/>
      <c r="AB64" s="178"/>
      <c r="AC64" s="178"/>
      <c r="AD64" s="178"/>
      <c r="AE64" s="129"/>
      <c r="AF64" s="129"/>
      <c r="AG64" s="72"/>
      <c r="AH64" s="72"/>
      <c r="AI64" s="72"/>
      <c r="AJ64" s="299"/>
      <c r="AK64" s="72"/>
      <c r="AL64" s="72"/>
      <c r="AM64" s="72"/>
    </row>
    <row r="65" spans="1:40" x14ac:dyDescent="0.25">
      <c r="A65" s="20">
        <v>45740</v>
      </c>
      <c r="B65" s="1">
        <v>49</v>
      </c>
      <c r="C65" s="20" t="s">
        <v>27</v>
      </c>
      <c r="D65" s="96" t="s">
        <v>248</v>
      </c>
      <c r="E65" s="34" t="s">
        <v>29</v>
      </c>
      <c r="F65" s="4" t="s">
        <v>247</v>
      </c>
      <c r="G65" s="7">
        <v>3000</v>
      </c>
      <c r="H65" s="1" t="s">
        <v>33</v>
      </c>
      <c r="I65" s="35">
        <v>200</v>
      </c>
      <c r="J65" s="23" t="str">
        <f>J67</f>
        <v>BOLETO ITAU</v>
      </c>
      <c r="K65" s="24" t="str">
        <f>M65</f>
        <v>JS</v>
      </c>
      <c r="L65" s="24">
        <f>I65*10/100</f>
        <v>20</v>
      </c>
      <c r="M65" s="25" t="s">
        <v>25</v>
      </c>
      <c r="N65" s="25">
        <f>I65/3/2</f>
        <v>33.333333333333336</v>
      </c>
      <c r="O65" s="26">
        <f>I65/3-L65</f>
        <v>46.666666666666671</v>
      </c>
      <c r="P65" s="27">
        <v>2</v>
      </c>
      <c r="Q65" s="28">
        <f>O65/P65</f>
        <v>23.333333333333336</v>
      </c>
      <c r="R65" s="29">
        <f>I65/3</f>
        <v>66.666666666666671</v>
      </c>
      <c r="S65" s="30">
        <f>L65+N65+N66+O65+R65</f>
        <v>200</v>
      </c>
      <c r="T65" s="197">
        <f>I65-S65</f>
        <v>0</v>
      </c>
      <c r="U65" s="32">
        <f>I65*4</f>
        <v>800</v>
      </c>
      <c r="V65" s="1" t="s">
        <v>252</v>
      </c>
      <c r="W65" s="7" t="s">
        <v>31</v>
      </c>
      <c r="X65" s="7"/>
      <c r="Y65" s="7"/>
      <c r="Z65" s="178"/>
      <c r="AA65" s="178"/>
      <c r="AB65" s="129"/>
      <c r="AC65" s="178"/>
      <c r="AD65" s="178"/>
      <c r="AE65" s="129"/>
      <c r="AF65" s="129"/>
      <c r="AG65" s="72"/>
      <c r="AH65" s="72"/>
      <c r="AI65" s="72"/>
      <c r="AJ65" s="299"/>
      <c r="AK65" s="72"/>
      <c r="AL65" s="72"/>
      <c r="AM65" s="72"/>
      <c r="AN65" s="72"/>
    </row>
    <row r="66" spans="1:40" x14ac:dyDescent="0.25">
      <c r="A66" s="3"/>
      <c r="B66" s="1"/>
      <c r="C66" s="3"/>
      <c r="D66" s="3"/>
      <c r="E66" s="3"/>
      <c r="F66" s="37"/>
      <c r="G66" s="134"/>
      <c r="H66" s="7"/>
      <c r="I66" s="7"/>
      <c r="J66" s="7"/>
      <c r="K66" s="1"/>
      <c r="L66" s="6"/>
      <c r="M66" s="38" t="s">
        <v>32</v>
      </c>
      <c r="N66" s="33">
        <f>I65/3/2</f>
        <v>33.333333333333336</v>
      </c>
      <c r="O66" s="1"/>
      <c r="P66" s="27"/>
      <c r="Q66" s="28"/>
      <c r="R66" s="1"/>
      <c r="S66" s="1"/>
      <c r="T66" s="1"/>
      <c r="U66" s="1"/>
      <c r="V66" s="3"/>
      <c r="W66" s="7"/>
      <c r="X66" s="7"/>
      <c r="Y66" s="7"/>
      <c r="Z66" s="178"/>
      <c r="AA66" s="178"/>
      <c r="AB66" s="178"/>
      <c r="AC66" s="178"/>
      <c r="AD66" s="178"/>
      <c r="AE66" s="129"/>
      <c r="AF66" s="129"/>
      <c r="AG66" s="72"/>
      <c r="AH66" s="72"/>
      <c r="AI66" s="72"/>
      <c r="AJ66" s="299"/>
      <c r="AK66" s="72"/>
      <c r="AL66" s="72"/>
      <c r="AM66" s="72"/>
      <c r="AN66" s="72"/>
    </row>
    <row r="67" spans="1:40" x14ac:dyDescent="0.25">
      <c r="A67" s="20">
        <v>45741</v>
      </c>
      <c r="B67" s="1">
        <v>50</v>
      </c>
      <c r="C67" s="20" t="s">
        <v>27</v>
      </c>
      <c r="D67" s="96" t="s">
        <v>246</v>
      </c>
      <c r="E67" s="34" t="s">
        <v>29</v>
      </c>
      <c r="F67" s="4" t="s">
        <v>247</v>
      </c>
      <c r="G67" s="7">
        <v>3000</v>
      </c>
      <c r="H67" s="1" t="s">
        <v>33</v>
      </c>
      <c r="I67" s="35">
        <v>200</v>
      </c>
      <c r="J67" s="23" t="s">
        <v>82</v>
      </c>
      <c r="K67" s="24" t="str">
        <f>M67</f>
        <v>JS</v>
      </c>
      <c r="L67" s="24">
        <f>I67*10/100</f>
        <v>20</v>
      </c>
      <c r="M67" s="25" t="s">
        <v>25</v>
      </c>
      <c r="N67" s="25">
        <f>I67/3/2</f>
        <v>33.333333333333336</v>
      </c>
      <c r="O67" s="26">
        <f>I67/3-L67</f>
        <v>46.666666666666671</v>
      </c>
      <c r="P67" s="27">
        <v>2</v>
      </c>
      <c r="Q67" s="28">
        <f>O67/P67</f>
        <v>23.333333333333336</v>
      </c>
      <c r="R67" s="29">
        <f>I67/3</f>
        <v>66.666666666666671</v>
      </c>
      <c r="S67" s="30">
        <f>L67+N67+N68+O67+R67</f>
        <v>200</v>
      </c>
      <c r="T67" s="31">
        <f>I67-S67</f>
        <v>0</v>
      </c>
      <c r="U67" s="32">
        <f>I67*5</f>
        <v>1000</v>
      </c>
      <c r="V67" s="1" t="s">
        <v>220</v>
      </c>
      <c r="W67" s="7" t="s">
        <v>31</v>
      </c>
      <c r="X67" s="7" t="s">
        <v>251</v>
      </c>
      <c r="Y67" s="7"/>
      <c r="Z67" s="178"/>
      <c r="AA67" s="129"/>
      <c r="AB67" s="178"/>
      <c r="AC67" s="178"/>
      <c r="AD67" s="129"/>
      <c r="AE67" s="129"/>
      <c r="AF67" s="72"/>
      <c r="AG67" s="72"/>
      <c r="AH67" s="72"/>
      <c r="AI67" s="72"/>
      <c r="AJ67" s="299"/>
      <c r="AK67" s="72"/>
      <c r="AL67" s="72"/>
      <c r="AM67" s="72"/>
    </row>
    <row r="68" spans="1:40" x14ac:dyDescent="0.25">
      <c r="A68" s="3"/>
      <c r="B68" s="1"/>
      <c r="C68" s="3"/>
      <c r="D68" s="3"/>
      <c r="E68" s="3"/>
      <c r="F68" s="37"/>
      <c r="G68" s="7"/>
      <c r="H68" s="7"/>
      <c r="I68" s="7"/>
      <c r="J68" s="7"/>
      <c r="K68" s="1"/>
      <c r="L68" s="6"/>
      <c r="M68" s="38" t="s">
        <v>32</v>
      </c>
      <c r="N68" s="33">
        <f>I67/3/2</f>
        <v>33.333333333333336</v>
      </c>
      <c r="O68" s="1"/>
      <c r="P68" s="27"/>
      <c r="Q68" s="28"/>
      <c r="R68" s="1"/>
      <c r="S68" s="1"/>
      <c r="T68" s="1"/>
      <c r="U68" s="1"/>
      <c r="V68" s="1"/>
      <c r="W68" s="7"/>
      <c r="X68" s="7"/>
      <c r="Y68" s="7"/>
      <c r="Z68" s="178"/>
      <c r="AA68" s="178"/>
      <c r="AB68" s="178"/>
      <c r="AC68" s="178"/>
      <c r="AD68" s="129"/>
      <c r="AE68" s="129"/>
      <c r="AF68" s="72"/>
      <c r="AG68" s="72"/>
      <c r="AH68" s="72"/>
      <c r="AI68" s="72"/>
      <c r="AJ68" s="299"/>
      <c r="AK68" s="72"/>
      <c r="AL68" s="72"/>
      <c r="AM68" s="72"/>
    </row>
    <row r="69" spans="1:40" x14ac:dyDescent="0.25">
      <c r="A69" s="20">
        <v>45741</v>
      </c>
      <c r="B69" s="1">
        <v>51</v>
      </c>
      <c r="C69" s="20" t="s">
        <v>27</v>
      </c>
      <c r="D69" s="4" t="s">
        <v>257</v>
      </c>
      <c r="E69" s="34" t="s">
        <v>29</v>
      </c>
      <c r="F69" s="4" t="s">
        <v>30</v>
      </c>
      <c r="G69" s="7">
        <v>3000</v>
      </c>
      <c r="H69" s="1" t="s">
        <v>33</v>
      </c>
      <c r="I69" s="35">
        <v>200</v>
      </c>
      <c r="J69" s="23" t="s">
        <v>82</v>
      </c>
      <c r="K69" s="24" t="s">
        <v>25</v>
      </c>
      <c r="L69" s="24">
        <v>20</v>
      </c>
      <c r="M69" s="25" t="s">
        <v>25</v>
      </c>
      <c r="N69" s="25">
        <v>33.333333333333336</v>
      </c>
      <c r="O69" s="26">
        <v>46.666666666666671</v>
      </c>
      <c r="P69" s="27">
        <v>2</v>
      </c>
      <c r="Q69" s="28">
        <f>O69/2</f>
        <v>23.333333333333336</v>
      </c>
      <c r="R69" s="29">
        <v>66.666666666666671</v>
      </c>
      <c r="S69" s="30">
        <v>200</v>
      </c>
      <c r="T69" s="196">
        <v>0</v>
      </c>
      <c r="U69" s="32">
        <f>I69*5</f>
        <v>1000</v>
      </c>
      <c r="V69" s="1" t="s">
        <v>220</v>
      </c>
      <c r="W69" s="7" t="s">
        <v>31</v>
      </c>
      <c r="X69" s="7"/>
      <c r="Y69" s="7"/>
      <c r="Z69" s="178"/>
      <c r="AA69" s="129"/>
      <c r="AB69" s="178"/>
      <c r="AC69" s="178"/>
      <c r="AD69" s="72"/>
      <c r="AE69" s="72"/>
      <c r="AF69" s="72"/>
      <c r="AG69" s="72"/>
      <c r="AH69" s="72"/>
      <c r="AI69" s="72"/>
      <c r="AJ69" s="299"/>
      <c r="AK69" s="72"/>
      <c r="AL69" s="72"/>
      <c r="AM69" s="72"/>
    </row>
    <row r="70" spans="1:40" x14ac:dyDescent="0.25">
      <c r="A70" s="3"/>
      <c r="B70" s="1"/>
      <c r="C70" s="3"/>
      <c r="D70" s="3"/>
      <c r="E70" s="3"/>
      <c r="F70" s="37"/>
      <c r="G70" s="7"/>
      <c r="H70" s="7"/>
      <c r="I70" s="7"/>
      <c r="J70" s="7"/>
      <c r="K70" s="1"/>
      <c r="L70" s="6"/>
      <c r="M70" s="38" t="s">
        <v>32</v>
      </c>
      <c r="N70" s="33">
        <v>33.333333333333336</v>
      </c>
      <c r="O70" s="1"/>
      <c r="P70" s="27"/>
      <c r="Q70" s="28"/>
      <c r="R70" s="1"/>
      <c r="S70" s="1"/>
      <c r="T70" s="1"/>
      <c r="U70" s="1"/>
      <c r="V70" s="1"/>
      <c r="W70" s="7"/>
      <c r="X70" s="7"/>
      <c r="Y70" s="7"/>
      <c r="Z70" s="178"/>
      <c r="AA70" s="178"/>
      <c r="AB70" s="178"/>
      <c r="AC70" s="178"/>
      <c r="AD70" s="72"/>
      <c r="AE70" s="72"/>
      <c r="AF70" s="72"/>
      <c r="AG70" s="72"/>
      <c r="AH70" s="72"/>
      <c r="AI70" s="72"/>
      <c r="AJ70" s="299"/>
      <c r="AK70" s="72"/>
      <c r="AL70" s="72"/>
      <c r="AM70" s="72"/>
    </row>
    <row r="71" spans="1:40" x14ac:dyDescent="0.25">
      <c r="A71" s="20">
        <v>45741</v>
      </c>
      <c r="B71" s="1">
        <v>52</v>
      </c>
      <c r="C71" s="20" t="s">
        <v>27</v>
      </c>
      <c r="D71" s="73" t="s">
        <v>235</v>
      </c>
      <c r="E71" s="80" t="s">
        <v>72</v>
      </c>
      <c r="F71" s="73" t="s">
        <v>236</v>
      </c>
      <c r="G71" s="67">
        <v>2700</v>
      </c>
      <c r="H71" s="74" t="s">
        <v>237</v>
      </c>
      <c r="I71" s="64">
        <v>450</v>
      </c>
      <c r="J71" s="30" t="s">
        <v>272</v>
      </c>
      <c r="K71" s="118" t="s">
        <v>54</v>
      </c>
      <c r="L71" s="119">
        <f>I71*20/100</f>
        <v>90</v>
      </c>
      <c r="M71" s="345" t="s">
        <v>238</v>
      </c>
      <c r="N71" s="345">
        <f>I71/3</f>
        <v>150</v>
      </c>
      <c r="O71" s="26">
        <f>I71/3-L71</f>
        <v>60</v>
      </c>
      <c r="P71" s="287">
        <v>3</v>
      </c>
      <c r="Q71" s="286">
        <f>O71/P71</f>
        <v>20</v>
      </c>
      <c r="R71" s="53">
        <f>I71/3</f>
        <v>150</v>
      </c>
      <c r="S71" s="30">
        <f>L71+N71+O71+R71</f>
        <v>450</v>
      </c>
      <c r="T71" s="54">
        <v>0</v>
      </c>
      <c r="U71" s="55">
        <f>I71*4</f>
        <v>1800</v>
      </c>
      <c r="V71" s="56" t="s">
        <v>360</v>
      </c>
      <c r="W71" s="7" t="s">
        <v>239</v>
      </c>
      <c r="X71" s="7" t="s">
        <v>240</v>
      </c>
      <c r="Y71" s="7" t="s">
        <v>241</v>
      </c>
      <c r="Z71" s="178"/>
      <c r="AA71" s="178"/>
      <c r="AB71" s="129"/>
      <c r="AC71" s="72"/>
      <c r="AD71" s="178"/>
      <c r="AE71" s="129"/>
      <c r="AF71" s="129"/>
      <c r="AG71" s="72"/>
      <c r="AH71" s="72"/>
      <c r="AI71" s="72"/>
      <c r="AJ71" s="299"/>
      <c r="AK71" s="72"/>
      <c r="AL71" s="72"/>
      <c r="AM71" s="72"/>
    </row>
    <row r="72" spans="1:40" x14ac:dyDescent="0.25">
      <c r="A72" s="20">
        <v>45742</v>
      </c>
      <c r="B72" s="1">
        <v>53</v>
      </c>
      <c r="C72" s="20" t="s">
        <v>27</v>
      </c>
      <c r="D72" s="180" t="s">
        <v>136</v>
      </c>
      <c r="E72" s="182" t="str">
        <f>E39</f>
        <v>EMPRESARIAL</v>
      </c>
      <c r="F72" s="180" t="s">
        <v>258</v>
      </c>
      <c r="G72" s="56">
        <v>10920</v>
      </c>
      <c r="H72" s="56" t="s">
        <v>259</v>
      </c>
      <c r="I72" s="183">
        <v>910</v>
      </c>
      <c r="J72" s="184" t="str">
        <f>J67</f>
        <v>BOLETO ITAU</v>
      </c>
      <c r="K72" s="71" t="s">
        <v>44</v>
      </c>
      <c r="L72" s="71">
        <f>I72*10/100</f>
        <v>91</v>
      </c>
      <c r="M72" s="114" t="s">
        <v>37</v>
      </c>
      <c r="N72" s="114">
        <f>I72/3</f>
        <v>303.33333333333331</v>
      </c>
      <c r="O72" s="26">
        <f>I72/3-L72</f>
        <v>212.33333333333331</v>
      </c>
      <c r="P72" s="52">
        <v>3</v>
      </c>
      <c r="Q72" s="51">
        <f>O72/3</f>
        <v>70.777777777777771</v>
      </c>
      <c r="R72" s="53">
        <f>I72/3</f>
        <v>303.33333333333331</v>
      </c>
      <c r="S72" s="30">
        <f>L72+N72+O72+R72</f>
        <v>910</v>
      </c>
      <c r="T72" s="295">
        <f>I72-S72</f>
        <v>0</v>
      </c>
      <c r="U72" s="55">
        <f>I72*7</f>
        <v>6370</v>
      </c>
      <c r="V72" s="56" t="s">
        <v>263</v>
      </c>
      <c r="W72" s="56" t="s">
        <v>260</v>
      </c>
      <c r="X72" s="7"/>
      <c r="Y72" s="7"/>
      <c r="Z72" s="178"/>
      <c r="AA72" s="129"/>
      <c r="AB72" s="72"/>
      <c r="AC72" s="178"/>
      <c r="AD72" s="129"/>
      <c r="AE72" s="129"/>
      <c r="AF72" s="72"/>
      <c r="AG72" s="72"/>
      <c r="AH72" s="72"/>
      <c r="AI72" s="72"/>
      <c r="AJ72" s="299"/>
      <c r="AK72" s="72"/>
      <c r="AL72" s="72"/>
      <c r="AM72" s="72"/>
    </row>
    <row r="73" spans="1:40" x14ac:dyDescent="0.25">
      <c r="A73" s="20">
        <v>45742</v>
      </c>
      <c r="B73" s="1">
        <v>54</v>
      </c>
      <c r="C73" s="20" t="s">
        <v>27</v>
      </c>
      <c r="D73" s="3" t="s">
        <v>154</v>
      </c>
      <c r="E73" s="48" t="s">
        <v>35</v>
      </c>
      <c r="F73" s="3" t="s">
        <v>155</v>
      </c>
      <c r="G73" s="7">
        <v>5000</v>
      </c>
      <c r="H73" s="1" t="s">
        <v>156</v>
      </c>
      <c r="I73" s="49">
        <v>500</v>
      </c>
      <c r="J73" s="50" t="str">
        <f>J72</f>
        <v>BOLETO ITAU</v>
      </c>
      <c r="K73" s="38" t="s">
        <v>32</v>
      </c>
      <c r="L73" s="38">
        <f t="shared" ref="L73" si="53">I73*10/100</f>
        <v>50</v>
      </c>
      <c r="M73" s="38" t="s">
        <v>32</v>
      </c>
      <c r="N73" s="66">
        <f t="shared" ref="N73" si="54">I73/3</f>
        <v>166.66666666666666</v>
      </c>
      <c r="O73" s="26">
        <f t="shared" ref="O73" si="55">I73/3-L73</f>
        <v>116.66666666666666</v>
      </c>
      <c r="P73" s="27">
        <v>2</v>
      </c>
      <c r="Q73" s="28">
        <f>O73/P73</f>
        <v>58.333333333333329</v>
      </c>
      <c r="R73" s="53">
        <f t="shared" ref="R73" si="56">I73/3</f>
        <v>166.66666666666666</v>
      </c>
      <c r="S73" s="30">
        <f t="shared" ref="S73" si="57">L73+N73+O73+R73</f>
        <v>500</v>
      </c>
      <c r="T73" s="54">
        <v>0</v>
      </c>
      <c r="U73" s="55">
        <f>I73*8</f>
        <v>4000</v>
      </c>
      <c r="V73" s="56" t="s">
        <v>114</v>
      </c>
      <c r="W73" s="7" t="s">
        <v>142</v>
      </c>
      <c r="X73" s="7"/>
      <c r="Y73" s="321"/>
      <c r="Z73" s="216"/>
      <c r="AA73" s="216"/>
      <c r="AB73" s="216"/>
      <c r="AC73" s="216"/>
      <c r="AD73" s="216"/>
      <c r="AE73" s="13"/>
      <c r="AF73" s="13"/>
      <c r="AJ73" s="299"/>
      <c r="AK73" s="72"/>
    </row>
    <row r="74" spans="1:40" x14ac:dyDescent="0.25">
      <c r="A74" s="20">
        <v>45742</v>
      </c>
      <c r="B74" s="1">
        <v>55</v>
      </c>
      <c r="C74" s="20" t="s">
        <v>27</v>
      </c>
      <c r="D74" s="4" t="s">
        <v>264</v>
      </c>
      <c r="E74" s="80" t="s">
        <v>72</v>
      </c>
      <c r="F74" s="4" t="s">
        <v>265</v>
      </c>
      <c r="G74" s="296">
        <v>2400</v>
      </c>
      <c r="H74" s="289" t="s">
        <v>266</v>
      </c>
      <c r="I74" s="297">
        <v>240</v>
      </c>
      <c r="J74" s="23" t="s">
        <v>39</v>
      </c>
      <c r="K74" s="117" t="s">
        <v>92</v>
      </c>
      <c r="L74" s="117">
        <v>24</v>
      </c>
      <c r="M74" s="117" t="s">
        <v>92</v>
      </c>
      <c r="N74" s="117">
        <v>80</v>
      </c>
      <c r="O74" s="290">
        <v>56</v>
      </c>
      <c r="P74" s="148">
        <v>3</v>
      </c>
      <c r="Q74" s="117">
        <f>O74/3</f>
        <v>18.666666666666668</v>
      </c>
      <c r="R74" s="291">
        <v>80</v>
      </c>
      <c r="S74" s="50">
        <v>240</v>
      </c>
      <c r="T74" s="292">
        <v>0</v>
      </c>
      <c r="U74" s="293">
        <f>I74*3</f>
        <v>720</v>
      </c>
      <c r="V74" s="294" t="s">
        <v>262</v>
      </c>
      <c r="W74" s="7" t="s">
        <v>267</v>
      </c>
      <c r="X74" s="7" t="s">
        <v>268</v>
      </c>
      <c r="Y74" s="7"/>
      <c r="Z74" s="72"/>
      <c r="AA74" s="178">
        <v>560</v>
      </c>
      <c r="AB74" s="72"/>
      <c r="AC74" s="72"/>
      <c r="AD74" s="72"/>
      <c r="AE74" s="72"/>
      <c r="AF74" s="72"/>
      <c r="AG74" s="72"/>
      <c r="AH74" s="72"/>
      <c r="AI74" s="72"/>
      <c r="AJ74" s="299"/>
      <c r="AK74" s="72"/>
      <c r="AL74" s="72"/>
      <c r="AM74" s="72"/>
    </row>
    <row r="75" spans="1:40" x14ac:dyDescent="0.25">
      <c r="A75" s="20">
        <v>45742</v>
      </c>
      <c r="B75" s="1">
        <v>56</v>
      </c>
      <c r="C75" s="20" t="s">
        <v>27</v>
      </c>
      <c r="D75" s="319" t="s">
        <v>353</v>
      </c>
      <c r="E75" s="48" t="s">
        <v>35</v>
      </c>
      <c r="F75" s="3" t="s">
        <v>321</v>
      </c>
      <c r="G75" s="7">
        <v>3000</v>
      </c>
      <c r="H75" s="1" t="s">
        <v>354</v>
      </c>
      <c r="I75" s="49">
        <v>429.21</v>
      </c>
      <c r="J75" s="50" t="str">
        <f>J74</f>
        <v>PIX JS PJ</v>
      </c>
      <c r="K75" s="38" t="s">
        <v>32</v>
      </c>
      <c r="L75" s="38">
        <f>I75*10/100</f>
        <v>42.920999999999992</v>
      </c>
      <c r="M75" s="58" t="str">
        <f>M73</f>
        <v>JÉTER</v>
      </c>
      <c r="N75" s="58">
        <f>I75/3</f>
        <v>143.07</v>
      </c>
      <c r="O75" s="26">
        <f>I75/3-L75</f>
        <v>100.149</v>
      </c>
      <c r="P75" s="27">
        <v>2</v>
      </c>
      <c r="Q75" s="28">
        <f>O75/P75</f>
        <v>50.0745</v>
      </c>
      <c r="R75" s="60">
        <f>I75/3</f>
        <v>143.07</v>
      </c>
      <c r="S75" s="30">
        <f>L75+N75+O75+R75</f>
        <v>429.21</v>
      </c>
      <c r="T75" s="31">
        <f>I75-S75</f>
        <v>0</v>
      </c>
      <c r="U75" s="61">
        <f>G75-I75</f>
        <v>2570.79</v>
      </c>
      <c r="V75" s="1" t="s">
        <v>355</v>
      </c>
      <c r="W75" s="7" t="s">
        <v>256</v>
      </c>
      <c r="X75" s="7"/>
      <c r="Y75" s="7"/>
      <c r="Z75" s="72"/>
      <c r="AA75" s="178"/>
      <c r="AB75" s="72"/>
      <c r="AC75" s="72"/>
      <c r="AD75" s="72"/>
      <c r="AE75" s="72"/>
      <c r="AF75" s="72"/>
      <c r="AG75" s="72"/>
      <c r="AH75" s="72"/>
      <c r="AI75" s="72"/>
      <c r="AJ75" s="299"/>
      <c r="AK75" s="72"/>
      <c r="AL75" s="72"/>
      <c r="AM75" s="72"/>
    </row>
    <row r="76" spans="1:40" x14ac:dyDescent="0.25">
      <c r="A76" s="20">
        <v>45742</v>
      </c>
      <c r="B76" s="1">
        <v>57</v>
      </c>
      <c r="C76" s="20" t="s">
        <v>27</v>
      </c>
      <c r="D76" s="319" t="s">
        <v>356</v>
      </c>
      <c r="E76" s="21" t="s">
        <v>23</v>
      </c>
      <c r="F76" s="319" t="s">
        <v>357</v>
      </c>
      <c r="G76" s="7">
        <v>1967.62</v>
      </c>
      <c r="H76" s="1" t="str">
        <f>H51</f>
        <v>PRÓ EXITO 30%</v>
      </c>
      <c r="I76" s="22">
        <f>G76</f>
        <v>1967.62</v>
      </c>
      <c r="J76" s="50" t="s">
        <v>323</v>
      </c>
      <c r="K76" s="38" t="s">
        <v>32</v>
      </c>
      <c r="L76" s="38">
        <f>I76*10/100</f>
        <v>196.76199999999997</v>
      </c>
      <c r="M76" s="58" t="str">
        <f>M73</f>
        <v>JÉTER</v>
      </c>
      <c r="N76" s="58">
        <f>I76/3</f>
        <v>655.87333333333333</v>
      </c>
      <c r="O76" s="26">
        <f>I76/3-L76</f>
        <v>459.11133333333339</v>
      </c>
      <c r="P76" s="27">
        <v>2</v>
      </c>
      <c r="Q76" s="28">
        <f>O76/P76</f>
        <v>229.5556666666667</v>
      </c>
      <c r="R76" s="60">
        <f>I76/3</f>
        <v>655.87333333333333</v>
      </c>
      <c r="S76" s="30">
        <f>L76+N76+O76+R76</f>
        <v>1967.62</v>
      </c>
      <c r="T76" s="31">
        <f>I76-S76</f>
        <v>0</v>
      </c>
      <c r="U76" s="61">
        <f>G76-I76</f>
        <v>0</v>
      </c>
      <c r="V76" s="7" t="str">
        <f>V55</f>
        <v>PARCELA ÚNICA</v>
      </c>
      <c r="W76" s="7" t="s">
        <v>358</v>
      </c>
      <c r="X76" s="7" t="s">
        <v>359</v>
      </c>
      <c r="Y76" s="7"/>
      <c r="Z76" s="72"/>
      <c r="AA76" s="178"/>
      <c r="AB76" s="72"/>
      <c r="AC76" s="72"/>
      <c r="AD76" s="72"/>
      <c r="AE76" s="72"/>
      <c r="AF76" s="72"/>
      <c r="AG76" s="72"/>
      <c r="AH76" s="72"/>
      <c r="AI76" s="72"/>
      <c r="AJ76" s="299"/>
      <c r="AK76" s="72"/>
      <c r="AL76" s="72"/>
      <c r="AM76" s="72"/>
    </row>
    <row r="77" spans="1:40" x14ac:dyDescent="0.25">
      <c r="A77" s="20">
        <v>45744</v>
      </c>
      <c r="B77" s="1">
        <v>58</v>
      </c>
      <c r="C77" s="20" t="s">
        <v>27</v>
      </c>
      <c r="D77" s="135" t="s">
        <v>363</v>
      </c>
      <c r="E77" s="80" t="str">
        <f>E74</f>
        <v>TRABALHISTA</v>
      </c>
      <c r="F77" s="4" t="s">
        <v>364</v>
      </c>
      <c r="G77" s="296">
        <v>3000</v>
      </c>
      <c r="H77" s="289" t="s">
        <v>64</v>
      </c>
      <c r="I77" s="297">
        <v>3000</v>
      </c>
      <c r="J77" s="23" t="str">
        <f>J75</f>
        <v>PIX JS PJ</v>
      </c>
      <c r="K77" s="32" t="s">
        <v>361</v>
      </c>
      <c r="L77" s="32">
        <f>I77*20/100</f>
        <v>600</v>
      </c>
      <c r="M77" s="51" t="s">
        <v>37</v>
      </c>
      <c r="N77" s="51">
        <f>I77/3</f>
        <v>1000</v>
      </c>
      <c r="O77" s="290">
        <f>I77/3-L77</f>
        <v>400</v>
      </c>
      <c r="P77" s="52">
        <v>3</v>
      </c>
      <c r="Q77" s="51">
        <f>O77/P77</f>
        <v>133.33333333333334</v>
      </c>
      <c r="R77" s="291">
        <f>I77/3</f>
        <v>1000</v>
      </c>
      <c r="S77" s="50">
        <f>L77+N77+O77+R77</f>
        <v>3000</v>
      </c>
      <c r="T77" s="292">
        <f>I77-S77</f>
        <v>0</v>
      </c>
      <c r="U77" s="293">
        <v>0</v>
      </c>
      <c r="V77" s="294" t="str">
        <f>V76</f>
        <v>PARCELA ÚNICA</v>
      </c>
      <c r="W77" s="7" t="s">
        <v>365</v>
      </c>
      <c r="X77" s="7" t="s">
        <v>362</v>
      </c>
      <c r="Y77" s="178" t="s">
        <v>366</v>
      </c>
      <c r="Z77" s="72"/>
      <c r="AA77" s="178"/>
      <c r="AB77" s="72"/>
      <c r="AC77" s="72"/>
      <c r="AD77" s="72"/>
      <c r="AE77" s="72"/>
      <c r="AF77" s="72"/>
      <c r="AG77" s="72"/>
      <c r="AH77" s="72"/>
      <c r="AI77" s="72"/>
      <c r="AJ77" s="299"/>
      <c r="AK77" s="72"/>
      <c r="AL77" s="72"/>
      <c r="AM77" s="72"/>
    </row>
    <row r="78" spans="1:40" x14ac:dyDescent="0.25">
      <c r="A78" s="20">
        <v>45747</v>
      </c>
      <c r="B78" s="1">
        <v>59</v>
      </c>
      <c r="C78" s="20" t="s">
        <v>27</v>
      </c>
      <c r="D78" s="40" t="s">
        <v>149</v>
      </c>
      <c r="E78" s="62" t="s">
        <v>51</v>
      </c>
      <c r="F78" s="223" t="s">
        <v>182</v>
      </c>
      <c r="G78" s="41">
        <v>4500</v>
      </c>
      <c r="H78" s="224" t="s">
        <v>158</v>
      </c>
      <c r="I78" s="204">
        <v>500</v>
      </c>
      <c r="J78" s="42" t="str">
        <f>J77</f>
        <v>PIX JS PJ</v>
      </c>
      <c r="K78" s="24" t="s">
        <v>25</v>
      </c>
      <c r="L78" s="24">
        <f>I78*10/100</f>
        <v>50</v>
      </c>
      <c r="M78" s="38" t="s">
        <v>32</v>
      </c>
      <c r="N78" s="66">
        <f>I78/3</f>
        <v>166.66666666666666</v>
      </c>
      <c r="O78" s="43">
        <f>I78/3-L78</f>
        <v>116.66666666666666</v>
      </c>
      <c r="P78" s="27">
        <v>2</v>
      </c>
      <c r="Q78" s="28">
        <f>O78/P78</f>
        <v>58.333333333333329</v>
      </c>
      <c r="R78" s="44">
        <f>I78/3</f>
        <v>166.66666666666666</v>
      </c>
      <c r="S78" s="45">
        <f>L78+N78+O78+R78</f>
        <v>500</v>
      </c>
      <c r="T78" s="46">
        <v>0</v>
      </c>
      <c r="U78" s="47">
        <f>I78*2</f>
        <v>1000</v>
      </c>
      <c r="V78" s="41" t="s">
        <v>367</v>
      </c>
      <c r="W78" s="41" t="s">
        <v>62</v>
      </c>
      <c r="X78" s="41"/>
      <c r="Y78" s="7"/>
      <c r="Z78" s="178"/>
      <c r="AA78" s="178"/>
      <c r="AB78" s="129"/>
      <c r="AC78" s="72"/>
      <c r="AD78" s="178"/>
      <c r="AE78" s="129"/>
      <c r="AF78" s="129"/>
      <c r="AG78" s="72"/>
      <c r="AH78" s="72"/>
      <c r="AI78" s="72"/>
    </row>
    <row r="79" spans="1:40" x14ac:dyDescent="0.25">
      <c r="A79" s="20">
        <v>45747</v>
      </c>
      <c r="B79" s="1">
        <v>60</v>
      </c>
      <c r="C79" s="20" t="s">
        <v>27</v>
      </c>
      <c r="D79" s="96" t="s">
        <v>261</v>
      </c>
      <c r="E79" s="34" t="s">
        <v>29</v>
      </c>
      <c r="F79" s="4" t="s">
        <v>30</v>
      </c>
      <c r="G79" s="7">
        <v>3000</v>
      </c>
      <c r="H79" s="1" t="s">
        <v>33</v>
      </c>
      <c r="I79" s="35">
        <v>200</v>
      </c>
      <c r="J79" s="23" t="str">
        <f>J67</f>
        <v>BOLETO ITAU</v>
      </c>
      <c r="K79" s="24" t="s">
        <v>25</v>
      </c>
      <c r="L79" s="24">
        <v>20</v>
      </c>
      <c r="M79" s="25" t="s">
        <v>25</v>
      </c>
      <c r="N79" s="25">
        <v>33.333333333333336</v>
      </c>
      <c r="O79" s="26">
        <v>46.666666666666671</v>
      </c>
      <c r="P79" s="27">
        <v>2</v>
      </c>
      <c r="Q79" s="28">
        <f>O79/2</f>
        <v>23.333333333333336</v>
      </c>
      <c r="R79" s="29">
        <f>I79/3</f>
        <v>66.666666666666671</v>
      </c>
      <c r="S79" s="30">
        <v>200</v>
      </c>
      <c r="T79" s="196">
        <v>0</v>
      </c>
      <c r="U79" s="32">
        <f>I79*3</f>
        <v>600</v>
      </c>
      <c r="V79" s="1" t="s">
        <v>283</v>
      </c>
      <c r="W79" s="7" t="s">
        <v>31</v>
      </c>
      <c r="X79" s="7"/>
      <c r="Y79" s="178"/>
      <c r="Z79" s="178"/>
      <c r="AA79" s="129"/>
      <c r="AB79" s="178"/>
      <c r="AC79" s="178"/>
      <c r="AD79" s="72"/>
      <c r="AE79" s="72"/>
      <c r="AF79" s="72"/>
      <c r="AG79" s="72"/>
      <c r="AH79" s="72"/>
      <c r="AI79" s="72"/>
      <c r="AJ79" s="299"/>
      <c r="AK79" s="72"/>
      <c r="AL79" s="72"/>
      <c r="AM79" s="72"/>
    </row>
    <row r="80" spans="1:40" x14ac:dyDescent="0.25">
      <c r="A80" s="3"/>
      <c r="B80" s="39"/>
      <c r="C80" s="3"/>
      <c r="D80" s="3"/>
      <c r="E80" s="3"/>
      <c r="F80" s="37"/>
      <c r="G80" s="7"/>
      <c r="H80" s="7"/>
      <c r="I80" s="7"/>
      <c r="J80" s="7"/>
      <c r="K80" s="1"/>
      <c r="L80" s="6"/>
      <c r="M80" s="38" t="s">
        <v>32</v>
      </c>
      <c r="N80" s="33">
        <v>33.333333333333336</v>
      </c>
      <c r="O80" s="1"/>
      <c r="P80" s="27"/>
      <c r="Q80" s="28"/>
      <c r="R80" s="1"/>
      <c r="S80" s="1"/>
      <c r="T80" s="1"/>
      <c r="U80" s="1"/>
      <c r="V80" s="1"/>
      <c r="W80" s="7"/>
      <c r="X80" s="7"/>
      <c r="Y80" s="178"/>
      <c r="Z80" s="178"/>
      <c r="AA80" s="178"/>
      <c r="AB80" s="178"/>
      <c r="AC80" s="178"/>
      <c r="AD80" s="72"/>
      <c r="AE80" s="72"/>
      <c r="AF80" s="72"/>
      <c r="AG80" s="72"/>
      <c r="AH80" s="72"/>
      <c r="AI80" s="72"/>
      <c r="AJ80" s="299"/>
      <c r="AK80" s="72"/>
      <c r="AL80" s="72"/>
      <c r="AM80" s="72"/>
    </row>
    <row r="81" spans="1:39" x14ac:dyDescent="0.25">
      <c r="A81" s="20">
        <v>45747</v>
      </c>
      <c r="B81" s="1">
        <v>61</v>
      </c>
      <c r="C81" s="20" t="s">
        <v>27</v>
      </c>
      <c r="D81" s="305" t="s">
        <v>276</v>
      </c>
      <c r="E81" s="182" t="str">
        <f>E72</f>
        <v>EMPRESARIAL</v>
      </c>
      <c r="F81" s="305" t="s">
        <v>258</v>
      </c>
      <c r="G81" s="306">
        <v>25200</v>
      </c>
      <c r="H81" s="306" t="s">
        <v>277</v>
      </c>
      <c r="I81" s="307">
        <v>2100</v>
      </c>
      <c r="J81" s="130" t="str">
        <f>J72</f>
        <v>BOLETO ITAU</v>
      </c>
      <c r="K81" s="308" t="s">
        <v>44</v>
      </c>
      <c r="L81" s="308">
        <f>I81*10/100</f>
        <v>210</v>
      </c>
      <c r="M81" s="114" t="s">
        <v>37</v>
      </c>
      <c r="N81" s="114">
        <f>I81/3</f>
        <v>700</v>
      </c>
      <c r="O81" s="26">
        <f>I81/3-L81</f>
        <v>490</v>
      </c>
      <c r="P81" s="52">
        <v>3</v>
      </c>
      <c r="Q81" s="51">
        <f>O81/3</f>
        <v>163.33333333333334</v>
      </c>
      <c r="R81" s="309">
        <f>I81/3</f>
        <v>700</v>
      </c>
      <c r="S81" s="30">
        <f>L81+N81+O81+R81</f>
        <v>2100</v>
      </c>
      <c r="T81" s="310">
        <f>I81-S81</f>
        <v>0</v>
      </c>
      <c r="U81" s="311">
        <f>I81*9</f>
        <v>18900</v>
      </c>
      <c r="V81" s="306" t="s">
        <v>368</v>
      </c>
      <c r="W81" s="56" t="s">
        <v>278</v>
      </c>
      <c r="X81" s="7"/>
      <c r="Z81" s="216"/>
      <c r="AA81" s="216"/>
      <c r="AB81" s="217"/>
      <c r="AC81" s="216"/>
      <c r="AD81" s="216"/>
      <c r="AE81" s="13"/>
      <c r="AF81" s="13"/>
    </row>
    <row r="82" spans="1:39" x14ac:dyDescent="0.25">
      <c r="A82" s="264"/>
      <c r="B82" s="264"/>
      <c r="C82" s="264"/>
      <c r="D82" s="264"/>
      <c r="E82" s="264"/>
      <c r="F82" s="264"/>
      <c r="G82" s="264"/>
      <c r="H82" s="264"/>
      <c r="I82" s="333"/>
      <c r="J82" s="334"/>
      <c r="K82" s="335"/>
      <c r="L82" s="335"/>
      <c r="M82" s="335"/>
      <c r="N82" s="334"/>
      <c r="O82" s="335"/>
      <c r="P82" s="335"/>
      <c r="Q82" s="334"/>
      <c r="R82" s="334"/>
      <c r="S82" s="335"/>
      <c r="T82" s="335"/>
      <c r="U82" s="335"/>
      <c r="V82" s="334"/>
      <c r="W82" s="334"/>
      <c r="X82" s="334"/>
      <c r="Y82" s="335"/>
    </row>
    <row r="83" spans="1:39" x14ac:dyDescent="0.25">
      <c r="G83" s="68">
        <f>SUM(G3:G82)</f>
        <v>302156.74</v>
      </c>
      <c r="I83" s="218">
        <f>SUM(I3:I82)</f>
        <v>51964.61</v>
      </c>
      <c r="L83" s="218">
        <f>SUM(L3:L82)</f>
        <v>5591.4610000000002</v>
      </c>
      <c r="N83" s="218">
        <f>SUM(N3:N82)</f>
        <v>17288.203333333335</v>
      </c>
      <c r="O83" s="218">
        <f>SUM(O3:O82)</f>
        <v>11796.742166666665</v>
      </c>
      <c r="R83" s="218">
        <f>SUM(R3:R82)</f>
        <v>17288.203333333331</v>
      </c>
      <c r="S83" s="218">
        <f>SUM(S3:S82)</f>
        <v>51964.609833333336</v>
      </c>
      <c r="T83" s="218">
        <f>SUM(T3:T82)</f>
        <v>0</v>
      </c>
      <c r="U83" s="218">
        <f>SUM(U3:U82)</f>
        <v>110925.46999999999</v>
      </c>
    </row>
    <row r="84" spans="1:39" x14ac:dyDescent="0.25">
      <c r="D84" s="72" t="s">
        <v>305</v>
      </c>
      <c r="AJ84" s="299"/>
      <c r="AK84" s="72"/>
      <c r="AL84" s="72"/>
      <c r="AM84" s="72"/>
    </row>
    <row r="85" spans="1:39" x14ac:dyDescent="0.25">
      <c r="D85" s="72"/>
      <c r="AA85" s="218"/>
      <c r="AJ85" s="299"/>
      <c r="AK85" s="72"/>
      <c r="AL85" s="72"/>
      <c r="AM85" s="72"/>
    </row>
    <row r="86" spans="1:39" x14ac:dyDescent="0.25">
      <c r="D86" s="72"/>
      <c r="AA86" s="218"/>
      <c r="AJ86" s="299"/>
      <c r="AK86" s="72"/>
      <c r="AL86" s="72"/>
      <c r="AM86" s="72"/>
    </row>
    <row r="87" spans="1:39" x14ac:dyDescent="0.25">
      <c r="D87" s="72"/>
      <c r="AA87" s="218"/>
      <c r="AJ87" s="299"/>
      <c r="AK87" s="72"/>
      <c r="AL87" s="72"/>
      <c r="AM87" s="72"/>
    </row>
    <row r="88" spans="1:39" x14ac:dyDescent="0.25">
      <c r="D88" s="72"/>
      <c r="Z88" s="350" t="s">
        <v>370</v>
      </c>
      <c r="AA88" s="218"/>
      <c r="AJ88" s="299"/>
      <c r="AK88" s="72"/>
      <c r="AL88" s="72"/>
      <c r="AM88" s="72"/>
    </row>
    <row r="89" spans="1:39" x14ac:dyDescent="0.25">
      <c r="I89" s="209"/>
      <c r="J89" s="129"/>
      <c r="K89" s="176" t="s">
        <v>16</v>
      </c>
      <c r="L89" s="177">
        <v>0.1</v>
      </c>
      <c r="M89" s="14" t="s">
        <v>17</v>
      </c>
      <c r="N89" s="15">
        <v>0.33333332999999998</v>
      </c>
      <c r="O89" s="8" t="str">
        <f>O1</f>
        <v>CASH BACK</v>
      </c>
      <c r="P89" s="72"/>
      <c r="Q89" s="178"/>
      <c r="R89" s="11" t="s">
        <v>4</v>
      </c>
      <c r="S89" s="209">
        <f>L83+N83+O83+R83</f>
        <v>51964.609833333328</v>
      </c>
      <c r="T89" s="72"/>
      <c r="U89" s="72"/>
      <c r="V89" s="101" t="s">
        <v>83</v>
      </c>
      <c r="W89" s="102">
        <v>0.1</v>
      </c>
      <c r="X89" s="103">
        <v>0.33329999999999999</v>
      </c>
      <c r="Y89" s="271">
        <f>O2</f>
        <v>0.23330000000000001</v>
      </c>
      <c r="Z89" s="210" t="s">
        <v>84</v>
      </c>
      <c r="AA89" s="211" t="s">
        <v>85</v>
      </c>
      <c r="AB89" s="104" t="s">
        <v>86</v>
      </c>
      <c r="AC89" s="20">
        <v>45733</v>
      </c>
      <c r="AD89" s="20">
        <v>45748</v>
      </c>
      <c r="AE89" s="20">
        <v>45751</v>
      </c>
      <c r="AF89" s="105" t="s">
        <v>87</v>
      </c>
      <c r="AG89" s="106" t="s">
        <v>88</v>
      </c>
      <c r="AH89" s="107" t="s">
        <v>89</v>
      </c>
      <c r="AI89" s="101" t="s">
        <v>83</v>
      </c>
      <c r="AJ89" s="299"/>
    </row>
    <row r="90" spans="1:39" x14ac:dyDescent="0.25">
      <c r="I90" s="209"/>
      <c r="J90" s="129"/>
      <c r="K90" s="38" t="s">
        <v>32</v>
      </c>
      <c r="L90" s="58">
        <f>L12+L13+L14+L18+L20+L21+L26+L34+L40+L47+L48+L49+L50+L52+L55+L58+L59+L60+L64+L73+L75+L76</f>
        <v>1870.7349999999999</v>
      </c>
      <c r="M90" s="38" t="s">
        <v>32</v>
      </c>
      <c r="N90" s="58">
        <f>N3+N5+N7+N9+N11+N12+N13+N14+N18+N20+N21+N23+N25+N28+N30+N31+N32+N34+N36+N38+N40+N44+N47+N48+N49+N50+N52+N55+N58+N61+N63+N64+N66+N68+N70+N73+N75+N76+N78+N80</f>
        <v>7320.5833333333321</v>
      </c>
      <c r="O90" s="26">
        <f>Q90</f>
        <v>4947.0987499999992</v>
      </c>
      <c r="P90" s="138">
        <v>2</v>
      </c>
      <c r="Q90" s="33">
        <f>Q111</f>
        <v>4947.0987499999992</v>
      </c>
      <c r="R90" s="7">
        <f>R83</f>
        <v>17288.203333333331</v>
      </c>
      <c r="S90" s="7">
        <f>I83</f>
        <v>51964.61</v>
      </c>
      <c r="T90" s="7">
        <v>0</v>
      </c>
      <c r="U90" s="72"/>
      <c r="V90" s="38" t="s">
        <v>32</v>
      </c>
      <c r="W90" s="98">
        <f>L90</f>
        <v>1870.7349999999999</v>
      </c>
      <c r="X90" s="99">
        <f>N90</f>
        <v>7320.5833333333321</v>
      </c>
      <c r="Y90" s="26">
        <f>O90</f>
        <v>4947.0987499999992</v>
      </c>
      <c r="Z90" s="111">
        <v>19.899999999999999</v>
      </c>
      <c r="AA90" s="108">
        <f>[4]RECEITAS!$AH$85</f>
        <v>6.8008376652951483</v>
      </c>
      <c r="AB90" s="49">
        <f>W90+X90+Y90+Z90+AA90</f>
        <v>14165.117920998626</v>
      </c>
      <c r="AC90" s="30">
        <f>6792.45</f>
        <v>6792.45</v>
      </c>
      <c r="AD90" s="30">
        <v>7465</v>
      </c>
      <c r="AE90" s="30">
        <v>0</v>
      </c>
      <c r="AF90" s="109">
        <f>AC90+AD90+AE90</f>
        <v>14257.45</v>
      </c>
      <c r="AG90" s="110">
        <v>0</v>
      </c>
      <c r="AH90" s="63">
        <f>AB90-AF90</f>
        <v>-92.33207900137495</v>
      </c>
      <c r="AI90" s="38" t="s">
        <v>32</v>
      </c>
      <c r="AJ90" s="352" t="s">
        <v>369</v>
      </c>
    </row>
    <row r="91" spans="1:39" x14ac:dyDescent="0.25">
      <c r="D91" s="336"/>
      <c r="I91" s="209"/>
      <c r="J91" s="129"/>
      <c r="K91" s="24" t="s">
        <v>44</v>
      </c>
      <c r="L91" s="24">
        <f>L3+L4+L6+L8+L10+L16+L17+L19+L22+L24+L27+L29+L31+L35+L37+L39+L41+L42+L43+L45+L46+L53+L54+L56+L62+L65+L67+L69+L72+L78+L79+L81</f>
        <v>1928.933</v>
      </c>
      <c r="M91" s="24" t="str">
        <f>K91</f>
        <v>J.S</v>
      </c>
      <c r="N91" s="24">
        <f>N6+N8+N10+N16+N22+N24+N27+N29+N35+N37+N39+N43+N54+N57+N60+N62+N65+N67+N69+N79</f>
        <v>1367.6666666666663</v>
      </c>
      <c r="O91" s="26">
        <f>O90</f>
        <v>4947.0987499999992</v>
      </c>
      <c r="P91" s="139">
        <f>P90</f>
        <v>2</v>
      </c>
      <c r="Q91" s="25">
        <f>Q90</f>
        <v>4947.0987499999992</v>
      </c>
      <c r="R91" s="1"/>
      <c r="S91" s="1"/>
      <c r="T91" s="3"/>
      <c r="U91" s="72"/>
      <c r="V91" s="24" t="s">
        <v>25</v>
      </c>
      <c r="W91" s="98">
        <f>L91</f>
        <v>1928.933</v>
      </c>
      <c r="X91" s="99">
        <f>N91</f>
        <v>1367.6666666666663</v>
      </c>
      <c r="Y91" s="26">
        <f>Q91</f>
        <v>4947.0987499999992</v>
      </c>
      <c r="Z91" s="111">
        <v>0</v>
      </c>
      <c r="AA91" s="63">
        <f>[4]RECEITAS!$AH$86</f>
        <v>-17.739295668091472</v>
      </c>
      <c r="AB91" s="49">
        <f t="shared" ref="AB91:AB92" si="58">W91+X91+Y91+Z91+AA91</f>
        <v>8225.9591209985738</v>
      </c>
      <c r="AC91" s="30">
        <v>4350</v>
      </c>
      <c r="AD91" s="30">
        <v>3900</v>
      </c>
      <c r="AE91" s="30">
        <v>0</v>
      </c>
      <c r="AF91" s="109">
        <f>AC91+AD91+AE91</f>
        <v>8250</v>
      </c>
      <c r="AG91" s="110">
        <v>0</v>
      </c>
      <c r="AH91" s="63">
        <f>AB91-AF91</f>
        <v>-24.040879001426219</v>
      </c>
      <c r="AI91" s="24" t="s">
        <v>25</v>
      </c>
      <c r="AJ91" s="352" t="s">
        <v>369</v>
      </c>
    </row>
    <row r="92" spans="1:39" x14ac:dyDescent="0.25">
      <c r="I92" s="209"/>
      <c r="J92" s="129"/>
      <c r="K92" s="51" t="s">
        <v>37</v>
      </c>
      <c r="L92" s="51">
        <f>0</f>
        <v>0</v>
      </c>
      <c r="M92" s="51" t="s">
        <v>37</v>
      </c>
      <c r="N92" s="51">
        <f>N4+N19+N26+N41+N42+N45+N46+N56+N59+N72+N77+N81</f>
        <v>4228.3099999999995</v>
      </c>
      <c r="O92" s="26">
        <f>Q114</f>
        <v>919.27233333333334</v>
      </c>
      <c r="P92" s="52">
        <v>3</v>
      </c>
      <c r="Q92" s="51">
        <f>Q4+Q17+Q19+Q26+Q41+Q42+Q45+Q46+Q56+Q59+Q72+Q77+Q81</f>
        <v>919.27233333333334</v>
      </c>
      <c r="R92" s="1"/>
      <c r="S92" s="1"/>
      <c r="T92" s="3"/>
      <c r="U92" s="72"/>
      <c r="V92" s="51" t="s">
        <v>37</v>
      </c>
      <c r="W92" s="98">
        <f>L92</f>
        <v>0</v>
      </c>
      <c r="X92" s="99">
        <f>N92</f>
        <v>4228.3099999999995</v>
      </c>
      <c r="Y92" s="26">
        <f>O92</f>
        <v>919.27233333333334</v>
      </c>
      <c r="Z92" s="111">
        <v>0</v>
      </c>
      <c r="AA92" s="63">
        <f>[4]RECEITAS!$AH$87</f>
        <v>-12.218333333334158</v>
      </c>
      <c r="AB92" s="49">
        <f t="shared" si="58"/>
        <v>5135.3639999999987</v>
      </c>
      <c r="AC92" s="30">
        <v>2350</v>
      </c>
      <c r="AD92" s="30">
        <v>2780</v>
      </c>
      <c r="AE92" s="30">
        <v>0</v>
      </c>
      <c r="AF92" s="109">
        <f>AC92+AD92+AE92</f>
        <v>5130</v>
      </c>
      <c r="AG92" s="110">
        <f ca="1">SUM(AG89:AG94)</f>
        <v>0</v>
      </c>
      <c r="AH92" s="23">
        <f>AB92-AF92</f>
        <v>5.3639999999986685</v>
      </c>
      <c r="AI92" s="51" t="s">
        <v>37</v>
      </c>
      <c r="AJ92" s="352" t="s">
        <v>369</v>
      </c>
    </row>
    <row r="93" spans="1:39" x14ac:dyDescent="0.25">
      <c r="I93" s="209"/>
      <c r="J93" s="129"/>
      <c r="K93" s="6" t="s">
        <v>91</v>
      </c>
      <c r="L93" s="5">
        <f>L90+L91+L92</f>
        <v>3799.6679999999997</v>
      </c>
      <c r="M93" s="6" t="s">
        <v>91</v>
      </c>
      <c r="N93" s="5">
        <f>N90+N91+N92</f>
        <v>12916.559999999998</v>
      </c>
      <c r="O93" s="8">
        <f>O90+O91+O92</f>
        <v>10813.469833333333</v>
      </c>
      <c r="P93" s="144" t="s">
        <v>118</v>
      </c>
      <c r="Q93" s="145">
        <f>Q90+Q91+Q92</f>
        <v>10813.469833333333</v>
      </c>
      <c r="R93" s="1"/>
      <c r="S93" s="1"/>
      <c r="T93" s="3"/>
      <c r="U93" s="72"/>
      <c r="V93" s="115" t="s">
        <v>91</v>
      </c>
      <c r="W93" s="98">
        <f>SUM(W90:W92)</f>
        <v>3799.6679999999997</v>
      </c>
      <c r="X93" s="99">
        <f>SUM(X90:X92)</f>
        <v>12916.559999999998</v>
      </c>
      <c r="Y93" s="26">
        <f t="shared" ref="Y93:AC93" si="59">Y90+Y91+Y92</f>
        <v>10813.469833333333</v>
      </c>
      <c r="Z93" s="111">
        <f t="shared" si="59"/>
        <v>19.899999999999999</v>
      </c>
      <c r="AA93" s="63">
        <f t="shared" si="59"/>
        <v>-23.156791336130482</v>
      </c>
      <c r="AB93" s="49">
        <f>AB90+AB91+AB92</f>
        <v>27526.441041997197</v>
      </c>
      <c r="AC93" s="30">
        <f t="shared" si="59"/>
        <v>13492.45</v>
      </c>
      <c r="AD93" s="30">
        <f>AD90+AD91+AD92</f>
        <v>14145</v>
      </c>
      <c r="AE93" s="30">
        <v>0</v>
      </c>
      <c r="AF93" s="109">
        <f>AF90+AF91+AF92</f>
        <v>27637.45</v>
      </c>
      <c r="AG93" s="110">
        <v>0</v>
      </c>
      <c r="AH93" s="63">
        <f>AH90+AH91+AH92</f>
        <v>-111.0089580028025</v>
      </c>
      <c r="AI93" s="115" t="s">
        <v>91</v>
      </c>
      <c r="AJ93" s="299"/>
    </row>
    <row r="94" spans="1:39" x14ac:dyDescent="0.25">
      <c r="I94" s="146">
        <f>L104</f>
        <v>1791.7929999999999</v>
      </c>
      <c r="J94" s="146" t="s">
        <v>206</v>
      </c>
      <c r="K94" s="112" t="s">
        <v>90</v>
      </c>
      <c r="L94" s="113">
        <f>L51</f>
        <v>882.49300000000005</v>
      </c>
      <c r="M94" s="112" t="s">
        <v>90</v>
      </c>
      <c r="N94" s="113">
        <f>N51+N53</f>
        <v>3941.6433333333334</v>
      </c>
      <c r="O94" s="26">
        <f>Q94</f>
        <v>919.71677777777791</v>
      </c>
      <c r="P94" s="140">
        <v>3</v>
      </c>
      <c r="Q94" s="133">
        <f>Q51+Q53</f>
        <v>919.71677777777791</v>
      </c>
      <c r="R94" s="7"/>
      <c r="S94" s="1"/>
      <c r="T94" s="3"/>
      <c r="U94" s="72"/>
      <c r="V94" s="112" t="s">
        <v>90</v>
      </c>
      <c r="W94" s="98">
        <f>L94</f>
        <v>882.49300000000005</v>
      </c>
      <c r="X94" s="99">
        <f>N94</f>
        <v>3941.6433333333334</v>
      </c>
      <c r="Y94" s="26">
        <f>O94</f>
        <v>919.71677777777791</v>
      </c>
      <c r="Z94" s="111">
        <v>0</v>
      </c>
      <c r="AA94" s="63">
        <f>[5]RECEITAS!$AH$85</f>
        <v>-4.1666666666666856</v>
      </c>
      <c r="AB94" s="49">
        <f>W94+X94+Y94+Z94+AA94</f>
        <v>5739.6864444444445</v>
      </c>
      <c r="AC94" s="30">
        <f>3240 +1265.69</f>
        <v>4505.6900000000005</v>
      </c>
      <c r="AD94" s="30">
        <v>0</v>
      </c>
      <c r="AE94" s="30">
        <v>1234</v>
      </c>
      <c r="AF94" s="109">
        <f>AC94+AD94+AE94</f>
        <v>5739.6900000000005</v>
      </c>
      <c r="AG94" s="110">
        <v>0</v>
      </c>
      <c r="AH94" s="30">
        <f>AB94-AF94</f>
        <v>-3.5555555559767527E-3</v>
      </c>
      <c r="AI94" s="112" t="s">
        <v>90</v>
      </c>
      <c r="AJ94" s="352" t="s">
        <v>369</v>
      </c>
    </row>
    <row r="95" spans="1:39" x14ac:dyDescent="0.25">
      <c r="I95" s="209"/>
      <c r="J95" s="129"/>
      <c r="K95" s="70" t="s">
        <v>61</v>
      </c>
      <c r="L95" s="142">
        <f>L32</f>
        <v>60</v>
      </c>
      <c r="M95" s="70" t="s">
        <v>61</v>
      </c>
      <c r="N95" s="142">
        <f>N17+N33</f>
        <v>166.66666666666669</v>
      </c>
      <c r="O95" s="26">
        <f>Q115</f>
        <v>9.3333333333333339</v>
      </c>
      <c r="P95" s="69">
        <v>3</v>
      </c>
      <c r="Q95" s="70">
        <f>Q17</f>
        <v>9.3333333333333339</v>
      </c>
      <c r="R95" s="141"/>
      <c r="S95" s="1"/>
      <c r="T95" s="3"/>
      <c r="U95" s="72"/>
      <c r="V95" s="70" t="s">
        <v>61</v>
      </c>
      <c r="W95" s="98">
        <f>L95</f>
        <v>60</v>
      </c>
      <c r="X95" s="99">
        <f>N95</f>
        <v>166.66666666666669</v>
      </c>
      <c r="Y95" s="26">
        <f>Q95</f>
        <v>9.3333333333333339</v>
      </c>
      <c r="Z95" s="111">
        <v>0</v>
      </c>
      <c r="AA95" s="63">
        <v>0</v>
      </c>
      <c r="AB95" s="49">
        <f t="shared" ref="AB95:AB102" si="60">W95+X95+Y95+Z95+AA95</f>
        <v>236.00000000000003</v>
      </c>
      <c r="AC95" s="30">
        <v>0</v>
      </c>
      <c r="AD95" s="30">
        <v>0</v>
      </c>
      <c r="AE95" s="30">
        <v>236</v>
      </c>
      <c r="AF95" s="109">
        <f>AC95+AD95+AE95</f>
        <v>236</v>
      </c>
      <c r="AG95" s="110">
        <v>0</v>
      </c>
      <c r="AH95" s="30">
        <f t="shared" ref="AH95:AH98" si="61">AB95-AF95</f>
        <v>0</v>
      </c>
      <c r="AI95" s="70" t="s">
        <v>61</v>
      </c>
      <c r="AJ95" s="352" t="s">
        <v>369</v>
      </c>
    </row>
    <row r="96" spans="1:39" x14ac:dyDescent="0.25">
      <c r="I96" s="209"/>
      <c r="J96" s="129"/>
      <c r="K96" s="116" t="s">
        <v>92</v>
      </c>
      <c r="L96" s="147">
        <f>L74</f>
        <v>24</v>
      </c>
      <c r="M96" s="116" t="s">
        <v>92</v>
      </c>
      <c r="N96" s="147">
        <f>N15+N74</f>
        <v>113.33333333333334</v>
      </c>
      <c r="O96" s="26">
        <f>Q96</f>
        <v>34.222222222222229</v>
      </c>
      <c r="P96" s="148">
        <v>3</v>
      </c>
      <c r="Q96" s="117">
        <f>Q14+Q74</f>
        <v>34.222222222222229</v>
      </c>
      <c r="R96" s="141"/>
      <c r="S96" s="1"/>
      <c r="T96" s="3"/>
      <c r="U96" s="72"/>
      <c r="V96" s="116" t="s">
        <v>92</v>
      </c>
      <c r="W96" s="98">
        <f>L96</f>
        <v>24</v>
      </c>
      <c r="X96" s="99">
        <f>N96</f>
        <v>113.33333333333334</v>
      </c>
      <c r="Y96" s="26">
        <f>Q96</f>
        <v>34.222222222222229</v>
      </c>
      <c r="Z96" s="111">
        <v>0</v>
      </c>
      <c r="AA96" s="108">
        <f>[4]RECEITAS!$AH$90</f>
        <v>3.3333333332734583E-3</v>
      </c>
      <c r="AB96" s="49">
        <f t="shared" si="60"/>
        <v>171.55888888888884</v>
      </c>
      <c r="AC96" s="30">
        <v>0</v>
      </c>
      <c r="AD96" s="30">
        <v>0</v>
      </c>
      <c r="AE96" s="30">
        <v>170</v>
      </c>
      <c r="AF96" s="109">
        <f t="shared" ref="AF96:AF101" si="62">AC96+AD96+AE96</f>
        <v>170</v>
      </c>
      <c r="AG96" s="110">
        <v>0</v>
      </c>
      <c r="AH96" s="23">
        <f t="shared" si="61"/>
        <v>1.5588888888888448</v>
      </c>
      <c r="AI96" s="116" t="s">
        <v>92</v>
      </c>
      <c r="AJ96" s="352" t="s">
        <v>369</v>
      </c>
    </row>
    <row r="97" spans="9:37" x14ac:dyDescent="0.25">
      <c r="I97" s="209"/>
      <c r="J97" s="129"/>
      <c r="K97" s="118" t="s">
        <v>54</v>
      </c>
      <c r="L97" s="119">
        <f>L5+L71</f>
        <v>190</v>
      </c>
      <c r="M97" s="118" t="s">
        <v>54</v>
      </c>
      <c r="N97" s="119">
        <v>0</v>
      </c>
      <c r="O97" s="149">
        <v>0</v>
      </c>
      <c r="P97" s="150" t="s">
        <v>54</v>
      </c>
      <c r="Q97" s="151">
        <v>0</v>
      </c>
      <c r="R97" s="143" t="e">
        <f>#REF!*O105</f>
        <v>#REF!</v>
      </c>
      <c r="S97" s="1"/>
      <c r="T97" s="3"/>
      <c r="U97" s="72"/>
      <c r="V97" s="118" t="s">
        <v>54</v>
      </c>
      <c r="W97" s="98">
        <f>L97</f>
        <v>190</v>
      </c>
      <c r="X97" s="99">
        <v>0</v>
      </c>
      <c r="Y97" s="26">
        <v>0</v>
      </c>
      <c r="Z97" s="111">
        <v>0</v>
      </c>
      <c r="AA97" s="108">
        <f>[4]RECEITAS!$AH$91</f>
        <v>2.2222222224854704E-3</v>
      </c>
      <c r="AB97" s="49">
        <f t="shared" si="60"/>
        <v>190.00222222222249</v>
      </c>
      <c r="AC97" s="30">
        <v>0</v>
      </c>
      <c r="AD97" s="30">
        <v>0</v>
      </c>
      <c r="AE97" s="30">
        <v>190</v>
      </c>
      <c r="AF97" s="109">
        <f t="shared" si="62"/>
        <v>190</v>
      </c>
      <c r="AG97" s="110">
        <v>0</v>
      </c>
      <c r="AH97" s="23">
        <f t="shared" si="61"/>
        <v>2.2222222224854704E-3</v>
      </c>
      <c r="AI97" s="118" t="s">
        <v>54</v>
      </c>
      <c r="AJ97" s="352" t="s">
        <v>369</v>
      </c>
    </row>
    <row r="98" spans="9:37" x14ac:dyDescent="0.25">
      <c r="I98" s="209"/>
      <c r="J98" s="129"/>
      <c r="K98" s="120" t="s">
        <v>93</v>
      </c>
      <c r="L98" s="120">
        <v>0</v>
      </c>
      <c r="M98" s="120" t="s">
        <v>93</v>
      </c>
      <c r="N98" s="120">
        <v>0</v>
      </c>
      <c r="O98" s="8">
        <v>0</v>
      </c>
      <c r="P98" s="152" t="s">
        <v>93</v>
      </c>
      <c r="Q98" s="153">
        <v>0</v>
      </c>
      <c r="R98" s="1"/>
      <c r="S98" s="1"/>
      <c r="T98" s="3"/>
      <c r="U98" s="72"/>
      <c r="V98" s="249" t="s">
        <v>219</v>
      </c>
      <c r="W98" s="98">
        <f>L101</f>
        <v>35.299999999999997</v>
      </c>
      <c r="X98" s="99">
        <v>0</v>
      </c>
      <c r="Y98" s="26">
        <v>0</v>
      </c>
      <c r="Z98" s="111">
        <v>0</v>
      </c>
      <c r="AA98" s="108">
        <f>[4]RECEITAS!$AH$92</f>
        <v>3.9999999999054126E-3</v>
      </c>
      <c r="AB98" s="49">
        <f t="shared" si="60"/>
        <v>35.303999999999903</v>
      </c>
      <c r="AC98" s="30">
        <v>0</v>
      </c>
      <c r="AD98" s="30">
        <v>35.299999999999997</v>
      </c>
      <c r="AE98" s="30">
        <v>0</v>
      </c>
      <c r="AF98" s="109">
        <f t="shared" si="62"/>
        <v>35.299999999999997</v>
      </c>
      <c r="AG98" s="110">
        <v>0</v>
      </c>
      <c r="AH98" s="298">
        <f t="shared" si="61"/>
        <v>3.9999999999054126E-3</v>
      </c>
      <c r="AI98" s="249" t="s">
        <v>219</v>
      </c>
      <c r="AJ98" s="352" t="s">
        <v>369</v>
      </c>
    </row>
    <row r="99" spans="9:37" x14ac:dyDescent="0.25">
      <c r="I99" s="209"/>
      <c r="J99" s="129"/>
      <c r="K99" s="122" t="s">
        <v>94</v>
      </c>
      <c r="L99" s="154">
        <v>0</v>
      </c>
      <c r="M99" s="122" t="s">
        <v>94</v>
      </c>
      <c r="N99" s="154">
        <v>0</v>
      </c>
      <c r="O99" s="8">
        <v>0</v>
      </c>
      <c r="P99" s="122" t="s">
        <v>94</v>
      </c>
      <c r="Q99" s="154">
        <v>0</v>
      </c>
      <c r="R99" s="141"/>
      <c r="S99" s="1"/>
      <c r="T99" s="3"/>
      <c r="U99" s="72"/>
      <c r="V99" s="120" t="s">
        <v>93</v>
      </c>
      <c r="W99" s="98">
        <v>0</v>
      </c>
      <c r="X99" s="99">
        <v>0</v>
      </c>
      <c r="Y99" s="26">
        <v>0</v>
      </c>
      <c r="Z99" s="111">
        <v>0</v>
      </c>
      <c r="AA99" s="108">
        <f>[5]RECEITAS!$AH$90</f>
        <v>0</v>
      </c>
      <c r="AB99" s="49">
        <f t="shared" si="60"/>
        <v>0</v>
      </c>
      <c r="AC99" s="30">
        <v>0</v>
      </c>
      <c r="AD99" s="30">
        <v>0</v>
      </c>
      <c r="AE99" s="30">
        <v>0</v>
      </c>
      <c r="AF99" s="109">
        <f t="shared" si="62"/>
        <v>0</v>
      </c>
      <c r="AG99" s="123">
        <v>0</v>
      </c>
      <c r="AH99" s="121">
        <v>0</v>
      </c>
      <c r="AI99" s="120" t="s">
        <v>93</v>
      </c>
      <c r="AJ99" s="352" t="s">
        <v>369</v>
      </c>
    </row>
    <row r="100" spans="9:37" x14ac:dyDescent="0.25">
      <c r="I100" s="209"/>
      <c r="J100" s="129"/>
      <c r="K100" s="125" t="s">
        <v>95</v>
      </c>
      <c r="L100" s="155">
        <v>0</v>
      </c>
      <c r="M100" s="125" t="str">
        <f>K100</f>
        <v>ALEXANDRE</v>
      </c>
      <c r="N100" s="156">
        <v>0</v>
      </c>
      <c r="O100" s="157">
        <v>0</v>
      </c>
      <c r="P100" s="125" t="str">
        <f>M100</f>
        <v>ALEXANDRE</v>
      </c>
      <c r="Q100" s="155">
        <f>Q99</f>
        <v>0</v>
      </c>
      <c r="R100" s="141"/>
      <c r="S100" s="1"/>
      <c r="T100" s="3"/>
      <c r="U100" s="72"/>
      <c r="V100" s="122" t="s">
        <v>94</v>
      </c>
      <c r="W100" s="98">
        <f>L99</f>
        <v>0</v>
      </c>
      <c r="X100" s="99">
        <v>0</v>
      </c>
      <c r="Y100" s="26">
        <f>Q99</f>
        <v>0</v>
      </c>
      <c r="Z100" s="111">
        <v>0</v>
      </c>
      <c r="AA100" s="108">
        <f>[4]RECEITAS!$AH$94</f>
        <v>0</v>
      </c>
      <c r="AB100" s="49">
        <f t="shared" si="60"/>
        <v>0</v>
      </c>
      <c r="AC100" s="30">
        <v>0</v>
      </c>
      <c r="AD100" s="30">
        <v>0</v>
      </c>
      <c r="AE100" s="30">
        <v>0</v>
      </c>
      <c r="AF100" s="109">
        <f t="shared" si="62"/>
        <v>0</v>
      </c>
      <c r="AG100" s="110">
        <v>0</v>
      </c>
      <c r="AH100" s="124">
        <f>AB100-AF100</f>
        <v>0</v>
      </c>
      <c r="AI100" s="122" t="s">
        <v>94</v>
      </c>
      <c r="AJ100" s="352" t="s">
        <v>369</v>
      </c>
    </row>
    <row r="101" spans="9:37" x14ac:dyDescent="0.25">
      <c r="I101" s="209"/>
      <c r="J101" s="129"/>
      <c r="K101" s="249" t="s">
        <v>219</v>
      </c>
      <c r="L101" s="249">
        <f>L61</f>
        <v>35.299999999999997</v>
      </c>
      <c r="M101" s="249" t="s">
        <v>219</v>
      </c>
      <c r="N101" s="249">
        <v>0</v>
      </c>
      <c r="O101" s="157">
        <v>0</v>
      </c>
      <c r="P101" s="249" t="s">
        <v>219</v>
      </c>
      <c r="Q101" s="249">
        <v>0</v>
      </c>
      <c r="R101" s="141"/>
      <c r="S101" s="1"/>
      <c r="T101" s="3"/>
      <c r="U101" s="72"/>
      <c r="V101" s="125" t="s">
        <v>95</v>
      </c>
      <c r="W101" s="98">
        <v>0</v>
      </c>
      <c r="X101" s="99">
        <f>N100</f>
        <v>0</v>
      </c>
      <c r="Y101" s="26">
        <v>0</v>
      </c>
      <c r="Z101" s="111">
        <v>0</v>
      </c>
      <c r="AA101" s="108">
        <v>0</v>
      </c>
      <c r="AB101" s="49">
        <f t="shared" si="60"/>
        <v>0</v>
      </c>
      <c r="AC101" s="30">
        <v>0</v>
      </c>
      <c r="AD101" s="30">
        <v>0</v>
      </c>
      <c r="AE101" s="30">
        <v>0</v>
      </c>
      <c r="AF101" s="109">
        <f t="shared" si="62"/>
        <v>0</v>
      </c>
      <c r="AG101" s="110">
        <v>0</v>
      </c>
      <c r="AH101" s="126">
        <f>AB101-AF101</f>
        <v>0</v>
      </c>
      <c r="AI101" s="125" t="s">
        <v>95</v>
      </c>
      <c r="AJ101" s="353" t="s">
        <v>100</v>
      </c>
    </row>
    <row r="102" spans="9:37" x14ac:dyDescent="0.25">
      <c r="I102" s="209"/>
      <c r="J102" s="129"/>
      <c r="K102" s="345" t="s">
        <v>238</v>
      </c>
      <c r="L102" s="346">
        <v>0</v>
      </c>
      <c r="M102" s="345" t="s">
        <v>238</v>
      </c>
      <c r="N102" s="346">
        <f>N71</f>
        <v>150</v>
      </c>
      <c r="O102" s="157">
        <f>Q102</f>
        <v>20</v>
      </c>
      <c r="P102" s="345" t="s">
        <v>238</v>
      </c>
      <c r="Q102" s="346">
        <f>Q71</f>
        <v>20</v>
      </c>
      <c r="R102" s="141"/>
      <c r="S102" s="1"/>
      <c r="T102" s="3"/>
      <c r="U102" s="72"/>
      <c r="V102" s="345" t="s">
        <v>238</v>
      </c>
      <c r="W102" s="98">
        <f>L102</f>
        <v>0</v>
      </c>
      <c r="X102" s="99">
        <f>N102</f>
        <v>150</v>
      </c>
      <c r="Y102" s="26">
        <f>O102</f>
        <v>20</v>
      </c>
      <c r="Z102" s="111">
        <f>SUM(Z95:Z100)</f>
        <v>0</v>
      </c>
      <c r="AA102" s="108">
        <v>0</v>
      </c>
      <c r="AB102" s="49">
        <f t="shared" si="60"/>
        <v>170</v>
      </c>
      <c r="AC102" s="30">
        <v>0</v>
      </c>
      <c r="AD102" s="30">
        <v>170</v>
      </c>
      <c r="AE102" s="30">
        <v>0</v>
      </c>
      <c r="AF102" s="109">
        <f>AC102+AD102+AE102</f>
        <v>170</v>
      </c>
      <c r="AG102" s="110">
        <f>SUM(AG95:AG100)</f>
        <v>0</v>
      </c>
      <c r="AH102" s="346">
        <f>AB102-AF102</f>
        <v>0</v>
      </c>
      <c r="AI102" s="345" t="s">
        <v>238</v>
      </c>
      <c r="AJ102" s="351" t="s">
        <v>369</v>
      </c>
    </row>
    <row r="103" spans="9:37" x14ac:dyDescent="0.25">
      <c r="I103" s="209"/>
      <c r="J103" s="129"/>
      <c r="K103" s="32" t="s">
        <v>361</v>
      </c>
      <c r="L103" s="32">
        <f>L77</f>
        <v>600</v>
      </c>
      <c r="M103" s="32" t="s">
        <v>361</v>
      </c>
      <c r="N103" s="32">
        <v>0</v>
      </c>
      <c r="O103" s="157">
        <v>0</v>
      </c>
      <c r="P103" s="32" t="s">
        <v>361</v>
      </c>
      <c r="Q103" s="32">
        <f>N103*20/100</f>
        <v>0</v>
      </c>
      <c r="R103" s="141"/>
      <c r="S103" s="1"/>
      <c r="T103" s="3"/>
      <c r="U103" s="72"/>
      <c r="V103" s="32" t="s">
        <v>361</v>
      </c>
      <c r="W103" s="98">
        <f>L103</f>
        <v>600</v>
      </c>
      <c r="X103" s="99">
        <v>0</v>
      </c>
      <c r="Y103" s="26">
        <v>0</v>
      </c>
      <c r="Z103" s="111">
        <v>0</v>
      </c>
      <c r="AA103" s="108">
        <v>0</v>
      </c>
      <c r="AB103" s="49">
        <f>W103+X103+Y103+Z103+AA103</f>
        <v>600</v>
      </c>
      <c r="AC103" s="30">
        <v>0</v>
      </c>
      <c r="AD103" s="30">
        <v>0</v>
      </c>
      <c r="AE103" s="30">
        <v>600</v>
      </c>
      <c r="AF103" s="109">
        <f>AC103+AD103+AE103</f>
        <v>600</v>
      </c>
      <c r="AG103" s="110">
        <v>0</v>
      </c>
      <c r="AH103" s="32">
        <f>AB103-AF103</f>
        <v>0</v>
      </c>
      <c r="AI103" s="32" t="s">
        <v>361</v>
      </c>
      <c r="AJ103" s="351" t="s">
        <v>369</v>
      </c>
    </row>
    <row r="104" spans="9:37" x14ac:dyDescent="0.25">
      <c r="I104" s="209"/>
      <c r="J104" s="129"/>
      <c r="K104" s="146" t="s">
        <v>128</v>
      </c>
      <c r="L104" s="146">
        <f>L94+L95+L96+L97+L98+L99+L100+L101+L102+L103</f>
        <v>1791.7929999999999</v>
      </c>
      <c r="M104" s="14" t="s">
        <v>119</v>
      </c>
      <c r="N104" s="212">
        <f>N94+N95+N96+N97+N98+N99+N100+N101+N102</f>
        <v>4371.6433333333334</v>
      </c>
      <c r="O104" s="157">
        <f>O94+O95+O96+O97+O98+O99+O100+O101+O102</f>
        <v>983.27233333333356</v>
      </c>
      <c r="P104" s="9" t="s">
        <v>120</v>
      </c>
      <c r="Q104" s="10">
        <f>Q94+Q95+Q96+Q97+Q98+Q99+Q100+Q101+Q102</f>
        <v>983.27233333333356</v>
      </c>
      <c r="R104" s="1"/>
      <c r="S104" s="1"/>
      <c r="T104" s="3"/>
      <c r="U104" s="72"/>
      <c r="V104" s="2" t="s">
        <v>96</v>
      </c>
      <c r="W104" s="98">
        <f>SUM(W94:W103)</f>
        <v>1791.7929999999999</v>
      </c>
      <c r="X104" s="99">
        <f>SUM(X94:X103)</f>
        <v>4371.6433333333334</v>
      </c>
      <c r="Y104" s="26">
        <f>Y94+Y95+Y96+Y97+Y98+Y99+Y100+Y101+Y102</f>
        <v>983.27233333333356</v>
      </c>
      <c r="Z104" s="111">
        <f>Z92+Z102</f>
        <v>0</v>
      </c>
      <c r="AA104" s="108">
        <f>AA94+AA95+AA96+AA97+AA98+AA99+AA100+AA101+AA102+AA103</f>
        <v>-4.1571111111110213</v>
      </c>
      <c r="AB104" s="49">
        <f>AB94+AB95+AB96+AB97+AB98+AB99+AB100+AB101+AB102+AB103</f>
        <v>7142.5515555555558</v>
      </c>
      <c r="AC104" s="30">
        <f>AC94+AC95+AC96+AC97+AC98+AC99+AC100+AC101+AC102+AC103</f>
        <v>4505.6900000000005</v>
      </c>
      <c r="AD104" s="30">
        <f>AD94+AD95+AD96+AD97+AD98+AD99+AD100+AD101+AD102+AD103</f>
        <v>205.3</v>
      </c>
      <c r="AE104" s="30">
        <f>AE92+AE102</f>
        <v>0</v>
      </c>
      <c r="AF104" s="109">
        <f>AF95+AF96+AF97+AF98+AF99+AF100+AF101+AF102+AF103</f>
        <v>1401.3</v>
      </c>
      <c r="AG104" s="123">
        <f ca="1">AG92+AG102</f>
        <v>0</v>
      </c>
      <c r="AH104" s="23">
        <f>AH94+AH95+AH96+AH97+AH98+AH99+AH100+AH101+AH102+AH103</f>
        <v>1.5615555555552589</v>
      </c>
      <c r="AI104" s="2" t="s">
        <v>96</v>
      </c>
      <c r="AJ104" s="299"/>
    </row>
    <row r="105" spans="9:37" x14ac:dyDescent="0.25">
      <c r="I105" s="209"/>
      <c r="J105" s="129"/>
      <c r="K105" s="6" t="s">
        <v>96</v>
      </c>
      <c r="L105" s="5">
        <f>L93+L104</f>
        <v>5591.4609999999993</v>
      </c>
      <c r="M105" s="6" t="s">
        <v>96</v>
      </c>
      <c r="N105" s="5">
        <f>N93+N104</f>
        <v>17288.203333333331</v>
      </c>
      <c r="O105" s="8">
        <f>O93+O104</f>
        <v>11796.742166666667</v>
      </c>
      <c r="P105" s="161" t="s">
        <v>121</v>
      </c>
      <c r="Q105" s="8">
        <f>Q93+Q104</f>
        <v>11796.742166666667</v>
      </c>
      <c r="R105" s="1"/>
      <c r="S105" s="1"/>
      <c r="T105" s="3"/>
      <c r="U105" s="72"/>
      <c r="V105" s="2" t="s">
        <v>97</v>
      </c>
      <c r="W105" s="98">
        <f t="shared" ref="W105:AD105" si="63">W93+W104</f>
        <v>5591.4609999999993</v>
      </c>
      <c r="X105" s="99">
        <f t="shared" si="63"/>
        <v>17288.203333333331</v>
      </c>
      <c r="Y105" s="26">
        <f t="shared" si="63"/>
        <v>11796.742166666667</v>
      </c>
      <c r="Z105" s="111">
        <f t="shared" si="63"/>
        <v>19.899999999999999</v>
      </c>
      <c r="AA105" s="63">
        <f t="shared" si="63"/>
        <v>-27.313902447241503</v>
      </c>
      <c r="AB105" s="49">
        <f t="shared" si="63"/>
        <v>34668.992597552751</v>
      </c>
      <c r="AC105" s="30">
        <f t="shared" si="63"/>
        <v>17998.14</v>
      </c>
      <c r="AD105" s="30">
        <f t="shared" si="63"/>
        <v>14350.3</v>
      </c>
      <c r="AE105" s="30">
        <v>0</v>
      </c>
      <c r="AF105" s="109">
        <f>AF93+AF94+AF104</f>
        <v>34778.44</v>
      </c>
      <c r="AG105" s="123">
        <v>0</v>
      </c>
      <c r="AH105" s="63">
        <f>AH93+AH104</f>
        <v>-109.44740244724724</v>
      </c>
      <c r="AI105" s="2" t="s">
        <v>97</v>
      </c>
      <c r="AJ105" s="288"/>
      <c r="AK105" s="312">
        <f>AH90+AH92+AH94+AH95+AH96+AH97+AH98+AH102+AH103</f>
        <v>-85.406523445821023</v>
      </c>
    </row>
    <row r="106" spans="9:37" x14ac:dyDescent="0.25">
      <c r="I106" s="100">
        <f>I83-I94</f>
        <v>50172.817000000003</v>
      </c>
      <c r="J106" s="115" t="s">
        <v>122</v>
      </c>
      <c r="K106" s="158" t="s">
        <v>16</v>
      </c>
      <c r="L106" s="159">
        <f>L83</f>
        <v>5591.4610000000002</v>
      </c>
      <c r="N106" s="8" t="str">
        <f>O89</f>
        <v>CASH BACK</v>
      </c>
      <c r="O106" s="8">
        <f>O83</f>
        <v>11796.742166666665</v>
      </c>
      <c r="P106" s="163" t="s">
        <v>123</v>
      </c>
      <c r="Q106" s="164">
        <f>O83</f>
        <v>11796.742166666665</v>
      </c>
      <c r="R106" s="162">
        <f>R83</f>
        <v>17288.203333333331</v>
      </c>
      <c r="S106" s="23">
        <f>S90</f>
        <v>51964.61</v>
      </c>
      <c r="T106" s="3"/>
      <c r="U106" s="72"/>
      <c r="V106" s="11" t="s">
        <v>4</v>
      </c>
      <c r="W106" s="98">
        <f>R106</f>
        <v>17288.203333333331</v>
      </c>
      <c r="X106" s="99">
        <v>0</v>
      </c>
      <c r="Y106" s="26">
        <v>0</v>
      </c>
      <c r="Z106" s="111">
        <v>0</v>
      </c>
      <c r="AA106" s="108">
        <v>27.31</v>
      </c>
      <c r="AB106" s="49">
        <f>W106+X106+Y106+Z106+AA106</f>
        <v>17315.513333333332</v>
      </c>
      <c r="AC106" s="30">
        <v>9100</v>
      </c>
      <c r="AD106" s="30">
        <v>8200</v>
      </c>
      <c r="AE106" s="23">
        <f>AE104+AE105</f>
        <v>0</v>
      </c>
      <c r="AF106" s="127">
        <f>AC106+AD106+AE106</f>
        <v>17300</v>
      </c>
      <c r="AG106" s="110">
        <f ca="1">AG104+AG105</f>
        <v>0</v>
      </c>
      <c r="AH106" s="30">
        <f>AB106-AF106</f>
        <v>15.513333333332412</v>
      </c>
      <c r="AI106" s="11" t="s">
        <v>4</v>
      </c>
      <c r="AJ106" s="299"/>
    </row>
    <row r="107" spans="9:37" x14ac:dyDescent="0.25">
      <c r="I107" s="165">
        <f>I83</f>
        <v>51964.61</v>
      </c>
      <c r="J107" s="166" t="s">
        <v>63</v>
      </c>
      <c r="M107" s="14" t="s">
        <v>17</v>
      </c>
      <c r="N107" s="160">
        <f>N93+N104</f>
        <v>17288.203333333331</v>
      </c>
      <c r="O107" s="168" t="s">
        <v>18</v>
      </c>
      <c r="P107" s="213" t="s">
        <v>124</v>
      </c>
      <c r="Q107" s="168" t="s">
        <v>18</v>
      </c>
      <c r="R107" s="168" t="s">
        <v>18</v>
      </c>
      <c r="S107" s="12" t="s">
        <v>5</v>
      </c>
      <c r="T107" s="19" t="s">
        <v>18</v>
      </c>
      <c r="U107" s="72"/>
      <c r="V107" s="2" t="s">
        <v>98</v>
      </c>
      <c r="W107" s="98">
        <f t="shared" ref="W107:AC107" si="64">W105+W106</f>
        <v>22879.66433333333</v>
      </c>
      <c r="X107" s="99">
        <f>X105+X106</f>
        <v>17288.203333333331</v>
      </c>
      <c r="Y107" s="26">
        <f t="shared" si="64"/>
        <v>11796.742166666667</v>
      </c>
      <c r="Z107" s="111">
        <f t="shared" si="64"/>
        <v>19.899999999999999</v>
      </c>
      <c r="AA107" s="108">
        <f t="shared" si="64"/>
        <v>-3.9024472415043476E-3</v>
      </c>
      <c r="AB107" s="49">
        <f>AB105+AB106</f>
        <v>51984.50593088608</v>
      </c>
      <c r="AC107" s="23">
        <f t="shared" si="64"/>
        <v>27098.14</v>
      </c>
      <c r="AD107" s="23">
        <f>AD105+AD106</f>
        <v>22550.3</v>
      </c>
      <c r="AE107" s="23">
        <v>0</v>
      </c>
      <c r="AF107" s="127">
        <f>AF105+AF106</f>
        <v>52078.44</v>
      </c>
      <c r="AG107" s="3"/>
      <c r="AH107" s="63">
        <f>AH105+AH106</f>
        <v>-93.93406911391483</v>
      </c>
      <c r="AI107" s="2" t="s">
        <v>98</v>
      </c>
      <c r="AJ107" s="299"/>
    </row>
    <row r="108" spans="9:37" x14ac:dyDescent="0.25">
      <c r="I108" s="167">
        <f>I83-I107</f>
        <v>0</v>
      </c>
      <c r="J108" s="54" t="s">
        <v>18</v>
      </c>
      <c r="K108" s="54" t="s">
        <v>18</v>
      </c>
      <c r="L108" s="167">
        <f>L106-L105</f>
        <v>0</v>
      </c>
      <c r="M108" s="168" t="s">
        <v>18</v>
      </c>
      <c r="N108" s="167">
        <f>N83-N107</f>
        <v>0</v>
      </c>
      <c r="O108" s="167">
        <f>O106-O105</f>
        <v>0</v>
      </c>
      <c r="P108" s="31" t="s">
        <v>125</v>
      </c>
      <c r="Q108" s="167">
        <f>Q106-Q105</f>
        <v>0</v>
      </c>
      <c r="R108" s="167">
        <f>R90-R106</f>
        <v>0</v>
      </c>
      <c r="S108" s="167">
        <f>S90-S106</f>
        <v>0</v>
      </c>
      <c r="T108" s="167">
        <v>0</v>
      </c>
      <c r="U108" s="72"/>
      <c r="V108" s="19" t="s">
        <v>18</v>
      </c>
      <c r="W108" s="128">
        <f>L83+R83</f>
        <v>22879.66433333333</v>
      </c>
      <c r="X108" s="128">
        <f>N83</f>
        <v>17288.203333333335</v>
      </c>
      <c r="Y108" s="128">
        <f>O83</f>
        <v>11796.742166666665</v>
      </c>
      <c r="Z108" s="128">
        <f>Z107</f>
        <v>19.899999999999999</v>
      </c>
      <c r="AA108" s="128">
        <f>[4]RECEITAS!$AH$100</f>
        <v>-3.3333333394693909E-3</v>
      </c>
      <c r="AB108" s="128">
        <f>W108+X108+Y108+Z108+AA108</f>
        <v>51984.506499999989</v>
      </c>
      <c r="AC108" s="128">
        <f>AB108-AC107</f>
        <v>24886.366499999989</v>
      </c>
      <c r="AD108" s="128">
        <f>AC108</f>
        <v>24886.366499999989</v>
      </c>
      <c r="AE108" s="128">
        <f>AD109</f>
        <v>2336.0664999999899</v>
      </c>
      <c r="AF108" s="128">
        <f>AB108</f>
        <v>51984.506499999989</v>
      </c>
      <c r="AG108" s="128"/>
      <c r="AH108" s="128">
        <f>AF109</f>
        <v>-93.933500000013737</v>
      </c>
      <c r="AI108" s="19" t="s">
        <v>18</v>
      </c>
      <c r="AJ108" s="299"/>
    </row>
    <row r="109" spans="9:37" x14ac:dyDescent="0.25">
      <c r="I109" s="209"/>
      <c r="J109" s="129"/>
      <c r="M109" s="72"/>
      <c r="N109" s="129"/>
      <c r="O109" s="72"/>
      <c r="P109" s="72"/>
      <c r="Q109" s="129"/>
      <c r="R109" s="129"/>
      <c r="S109" s="72"/>
      <c r="T109" s="72"/>
      <c r="U109" s="72"/>
      <c r="V109" s="129"/>
      <c r="W109" s="219">
        <f>W107-W108</f>
        <v>0</v>
      </c>
      <c r="X109" s="219">
        <f>X108-X107</f>
        <v>0</v>
      </c>
      <c r="Y109" s="219">
        <f>Y108-Y105</f>
        <v>0</v>
      </c>
      <c r="Z109" s="219">
        <f>Z107-Z108</f>
        <v>0</v>
      </c>
      <c r="AA109" s="128">
        <v>0</v>
      </c>
      <c r="AB109" s="31">
        <f>AB107-AB108</f>
        <v>-5.6911390856839716E-4</v>
      </c>
      <c r="AC109" s="128">
        <v>0</v>
      </c>
      <c r="AD109" s="128">
        <f>AD108-AD107</f>
        <v>2336.0664999999899</v>
      </c>
      <c r="AE109" s="128">
        <f>AD109-AE106</f>
        <v>2336.0664999999899</v>
      </c>
      <c r="AF109" s="128">
        <f>AF108-AF107</f>
        <v>-93.933500000013737</v>
      </c>
      <c r="AG109" s="128"/>
      <c r="AH109" s="98">
        <f>AH108-AH107</f>
        <v>5.6911390109348758E-4</v>
      </c>
      <c r="AI109" s="129"/>
      <c r="AJ109" s="299"/>
    </row>
    <row r="110" spans="9:37" x14ac:dyDescent="0.25">
      <c r="I110" s="209"/>
      <c r="J110" s="129"/>
      <c r="K110" s="72"/>
      <c r="L110" s="72"/>
      <c r="M110" s="72"/>
      <c r="N110" s="129"/>
      <c r="O110" s="72"/>
      <c r="P110" s="72"/>
      <c r="Q110" s="129"/>
      <c r="R110" s="129"/>
      <c r="S110" s="178"/>
      <c r="T110" s="72"/>
      <c r="U110" s="72"/>
      <c r="V110" s="129"/>
      <c r="W110" s="129"/>
      <c r="X110" s="129"/>
      <c r="Y110" s="72"/>
      <c r="Z110" s="72"/>
      <c r="AA110" s="72"/>
      <c r="AB110" s="72"/>
      <c r="AC110" s="209"/>
      <c r="AD110" s="304">
        <f>AD90+AD92+AD95+AD96+AD97+AD98+AD102</f>
        <v>10450.299999999999</v>
      </c>
      <c r="AE110" s="72"/>
      <c r="AF110" s="72"/>
      <c r="AG110" s="72"/>
      <c r="AH110" s="72"/>
      <c r="AI110" s="72"/>
      <c r="AJ110" s="299"/>
    </row>
    <row r="111" spans="9:37" x14ac:dyDescent="0.25">
      <c r="J111" s="34" t="s">
        <v>207</v>
      </c>
      <c r="K111" s="242">
        <v>400000</v>
      </c>
      <c r="L111" s="243">
        <v>1</v>
      </c>
      <c r="N111" s="189" t="str">
        <f>N113</f>
        <v>CASH BACK</v>
      </c>
      <c r="O111" s="190" t="s">
        <v>32</v>
      </c>
      <c r="P111" s="190">
        <v>2</v>
      </c>
      <c r="Q111" s="189">
        <f>Q121</f>
        <v>4947.0987499999992</v>
      </c>
      <c r="R111" s="33">
        <f>Q111</f>
        <v>4947.0987499999992</v>
      </c>
      <c r="S111" s="129"/>
      <c r="T111" s="72"/>
      <c r="U111" s="72"/>
      <c r="V111" s="129"/>
      <c r="W111" s="129"/>
      <c r="X111" s="129"/>
      <c r="Y111" s="72"/>
      <c r="Z111" s="72"/>
      <c r="AA111" s="209"/>
      <c r="AB111" s="209"/>
      <c r="AC111" s="72"/>
      <c r="AD111" s="72"/>
      <c r="AE111" s="72"/>
      <c r="AF111" s="72"/>
      <c r="AG111" s="72"/>
      <c r="AH111" s="72"/>
      <c r="AI111" s="72"/>
      <c r="AJ111" s="299"/>
    </row>
    <row r="112" spans="9:37" x14ac:dyDescent="0.25">
      <c r="J112" s="215" t="s">
        <v>126</v>
      </c>
      <c r="K112" s="214">
        <f>K111/12</f>
        <v>33333.333333333336</v>
      </c>
      <c r="L112" s="244">
        <v>1</v>
      </c>
      <c r="N112" s="191" t="str">
        <f>N114</f>
        <v>CASH BACK</v>
      </c>
      <c r="O112" s="192" t="s">
        <v>25</v>
      </c>
      <c r="P112" s="192">
        <v>2</v>
      </c>
      <c r="Q112" s="191">
        <f>Q111</f>
        <v>4947.0987499999992</v>
      </c>
      <c r="R112" s="25">
        <f>R111</f>
        <v>4947.0987499999992</v>
      </c>
      <c r="S112" s="178"/>
      <c r="T112" s="209"/>
      <c r="U112" s="72"/>
      <c r="V112" s="129"/>
      <c r="W112" s="129"/>
      <c r="X112" s="129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299"/>
    </row>
    <row r="113" spans="1:39" x14ac:dyDescent="0.25">
      <c r="J113" s="245" t="str">
        <f>J107</f>
        <v>VALOR BRUTO RECEBIDO</v>
      </c>
      <c r="K113" s="245">
        <f>I107</f>
        <v>51964.61</v>
      </c>
      <c r="L113" s="246">
        <f>K113/K112</f>
        <v>1.5589382999999999</v>
      </c>
      <c r="N113" s="193" t="str">
        <f>N106</f>
        <v>CASH BACK</v>
      </c>
      <c r="O113" s="195" t="s">
        <v>90</v>
      </c>
      <c r="P113" s="194">
        <v>3</v>
      </c>
      <c r="Q113" s="193">
        <f>Q94</f>
        <v>919.71677777777791</v>
      </c>
      <c r="R113" s="193">
        <f>Q113</f>
        <v>919.71677777777791</v>
      </c>
      <c r="S113" s="178"/>
      <c r="T113" s="72"/>
      <c r="U113" s="72"/>
      <c r="V113" s="129"/>
      <c r="W113" s="129"/>
      <c r="X113" s="129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299"/>
    </row>
    <row r="114" spans="1:39" x14ac:dyDescent="0.25">
      <c r="J114" s="220" t="s">
        <v>127</v>
      </c>
      <c r="K114" s="49">
        <f>K113-K112</f>
        <v>18631.276666666665</v>
      </c>
      <c r="L114" s="220" t="s">
        <v>100</v>
      </c>
      <c r="M114" s="129"/>
      <c r="N114" s="169" t="str">
        <f>N106</f>
        <v>CASH BACK</v>
      </c>
      <c r="O114" s="171" t="str">
        <f>M92</f>
        <v>SIMONE</v>
      </c>
      <c r="P114" s="170">
        <v>3</v>
      </c>
      <c r="Q114" s="171">
        <f>Q92</f>
        <v>919.27233333333334</v>
      </c>
      <c r="R114" s="169">
        <f>Q114</f>
        <v>919.27233333333334</v>
      </c>
      <c r="S114" s="178"/>
      <c r="T114" s="72"/>
      <c r="U114" s="72"/>
      <c r="V114" s="129"/>
      <c r="W114" s="129"/>
      <c r="X114" s="129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</row>
    <row r="115" spans="1:39" x14ac:dyDescent="0.25">
      <c r="I115" s="209"/>
      <c r="J115" s="129"/>
      <c r="K115" s="72"/>
      <c r="L115" s="72"/>
      <c r="M115" s="129"/>
      <c r="N115" s="142" t="str">
        <f>N106</f>
        <v>CASH BACK</v>
      </c>
      <c r="O115" s="142" t="str">
        <f>M95</f>
        <v>EDUARDO</v>
      </c>
      <c r="P115" s="174">
        <v>3</v>
      </c>
      <c r="Q115" s="175">
        <f>Q95</f>
        <v>9.3333333333333339</v>
      </c>
      <c r="R115" s="70">
        <f>Q115</f>
        <v>9.3333333333333339</v>
      </c>
      <c r="S115" s="178"/>
      <c r="T115" s="72"/>
      <c r="U115" s="72"/>
      <c r="V115" s="129"/>
      <c r="W115" s="129"/>
      <c r="X115" s="129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</row>
    <row r="116" spans="1:39" x14ac:dyDescent="0.25">
      <c r="I116" s="209"/>
      <c r="J116" s="129"/>
      <c r="K116" s="72"/>
      <c r="L116" s="72"/>
      <c r="M116" s="129"/>
      <c r="N116" s="147" t="str">
        <f>N106</f>
        <v>CASH BACK</v>
      </c>
      <c r="O116" s="147" t="str">
        <f>M96</f>
        <v>CRISTIANO</v>
      </c>
      <c r="P116" s="172">
        <v>3</v>
      </c>
      <c r="Q116" s="173">
        <f>Q96</f>
        <v>34.222222222222229</v>
      </c>
      <c r="R116" s="117">
        <f>Q116</f>
        <v>34.222222222222229</v>
      </c>
      <c r="S116" s="178"/>
      <c r="T116" s="72"/>
      <c r="U116" s="72"/>
      <c r="V116" s="129"/>
      <c r="W116" s="129"/>
      <c r="X116" s="129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</row>
    <row r="117" spans="1:39" x14ac:dyDescent="0.25">
      <c r="I117" s="209"/>
      <c r="J117" s="129"/>
      <c r="K117" s="72"/>
      <c r="L117" s="72"/>
      <c r="M117" s="129"/>
      <c r="N117" s="300" t="str">
        <f>N116</f>
        <v>CASH BACK</v>
      </c>
      <c r="O117" s="300" t="str">
        <f>P102</f>
        <v>DANIELA</v>
      </c>
      <c r="P117" s="301">
        <v>3</v>
      </c>
      <c r="Q117" s="302">
        <f>Q102</f>
        <v>20</v>
      </c>
      <c r="R117" s="303">
        <f>Q117</f>
        <v>20</v>
      </c>
      <c r="S117" s="178"/>
      <c r="T117" s="72"/>
      <c r="U117" s="72"/>
      <c r="V117" s="129"/>
      <c r="W117" s="129"/>
      <c r="X117" s="129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</row>
    <row r="118" spans="1:39" x14ac:dyDescent="0.25">
      <c r="I118" s="209"/>
      <c r="J118" s="129"/>
      <c r="K118" s="72"/>
      <c r="L118" s="72"/>
      <c r="M118" s="129"/>
      <c r="Q118" s="178">
        <f>Q113+Q114+Q115+Q116+Q117</f>
        <v>1902.5446666666667</v>
      </c>
      <c r="R118" s="178">
        <f>SUM(R111:R117)</f>
        <v>11796.742166666665</v>
      </c>
      <c r="S118" s="72"/>
      <c r="V118" s="129"/>
      <c r="W118" s="129"/>
      <c r="X118" s="129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299"/>
    </row>
    <row r="119" spans="1:39" x14ac:dyDescent="0.25">
      <c r="I119" s="209"/>
      <c r="J119" s="129"/>
      <c r="K119" s="72"/>
      <c r="L119" s="72"/>
      <c r="M119" s="129"/>
      <c r="Q119" s="178">
        <f>O83</f>
        <v>11796.742166666665</v>
      </c>
      <c r="R119" s="178"/>
      <c r="S119" s="72"/>
      <c r="V119" s="129"/>
      <c r="W119" s="129"/>
      <c r="X119" s="129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299"/>
    </row>
    <row r="120" spans="1:39" x14ac:dyDescent="0.25">
      <c r="I120" s="209"/>
      <c r="J120" s="129"/>
      <c r="K120" s="72"/>
      <c r="L120" s="72"/>
      <c r="M120" s="72"/>
      <c r="Q120" s="178">
        <f>Q119-Q118</f>
        <v>9894.1974999999984</v>
      </c>
      <c r="R120" s="129"/>
      <c r="S120" s="72"/>
      <c r="V120" s="129"/>
      <c r="W120" s="129"/>
      <c r="X120" s="129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</row>
    <row r="121" spans="1:39" x14ac:dyDescent="0.25">
      <c r="I121" s="209"/>
      <c r="J121" s="129"/>
      <c r="K121" s="72"/>
      <c r="L121" s="72"/>
      <c r="M121" s="72"/>
      <c r="Q121" s="178">
        <f>Q120/2</f>
        <v>4947.0987499999992</v>
      </c>
      <c r="R121" s="129"/>
      <c r="S121" s="72"/>
      <c r="V121" s="129"/>
      <c r="W121" s="129"/>
      <c r="X121" s="129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</row>
    <row r="122" spans="1:39" x14ac:dyDescent="0.25">
      <c r="I122" s="209"/>
      <c r="J122" s="129"/>
      <c r="K122" s="72"/>
      <c r="L122" s="72"/>
      <c r="M122" s="72"/>
      <c r="Q122" s="178">
        <f>O83</f>
        <v>11796.742166666665</v>
      </c>
      <c r="R122" s="129"/>
      <c r="S122" s="72"/>
      <c r="V122" s="129"/>
      <c r="W122" s="129"/>
      <c r="X122" s="129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</row>
    <row r="123" spans="1:39" x14ac:dyDescent="0.25">
      <c r="I123" s="209"/>
      <c r="J123" s="129"/>
      <c r="K123" s="72"/>
      <c r="L123" s="72"/>
      <c r="M123" s="72"/>
      <c r="N123" s="129"/>
      <c r="O123" s="72"/>
      <c r="P123" s="72"/>
      <c r="Q123" s="178">
        <f>R118</f>
        <v>11796.742166666665</v>
      </c>
      <c r="R123" s="129"/>
      <c r="S123" s="72"/>
      <c r="V123" s="129"/>
      <c r="W123" s="129"/>
      <c r="X123" s="129"/>
    </row>
    <row r="124" spans="1:39" x14ac:dyDescent="0.25">
      <c r="Q124" s="218">
        <f>Q122-Q123</f>
        <v>0</v>
      </c>
    </row>
    <row r="127" spans="1:39" x14ac:dyDescent="0.25">
      <c r="B127" s="318" t="s">
        <v>282</v>
      </c>
      <c r="C127" s="82"/>
      <c r="D127" s="225" t="s">
        <v>191</v>
      </c>
      <c r="E127" s="92"/>
      <c r="F127" s="93"/>
      <c r="G127" s="81"/>
      <c r="H127" s="82"/>
      <c r="I127" s="81"/>
      <c r="J127" s="82"/>
      <c r="K127" s="82"/>
      <c r="L127" s="82"/>
      <c r="M127" s="82"/>
      <c r="N127" s="82"/>
      <c r="O127" s="8" t="s">
        <v>2</v>
      </c>
      <c r="P127" s="9" t="s">
        <v>80</v>
      </c>
      <c r="Q127" s="10" t="s">
        <v>3</v>
      </c>
      <c r="R127" s="11" t="s">
        <v>4</v>
      </c>
      <c r="S127" s="12" t="s">
        <v>5</v>
      </c>
      <c r="T127" s="92"/>
      <c r="U127" s="82"/>
      <c r="V127" s="82"/>
      <c r="W127" s="81"/>
      <c r="X127" s="226" t="s">
        <v>22</v>
      </c>
      <c r="Y127" s="7"/>
      <c r="Z127" s="178"/>
      <c r="AA127" s="178"/>
      <c r="AB127" s="129"/>
      <c r="AC127" s="178"/>
      <c r="AD127" s="178"/>
      <c r="AE127" s="129"/>
      <c r="AF127" s="129"/>
      <c r="AG127" s="72"/>
      <c r="AH127" s="72"/>
      <c r="AI127" s="72"/>
      <c r="AJ127" s="299"/>
      <c r="AK127" s="72"/>
      <c r="AL127" s="72"/>
      <c r="AM127" s="72"/>
    </row>
    <row r="128" spans="1:39" x14ac:dyDescent="0.25">
      <c r="A128" s="227" t="s">
        <v>6</v>
      </c>
      <c r="B128" s="225" t="s">
        <v>7</v>
      </c>
      <c r="C128" s="225" t="s">
        <v>8</v>
      </c>
      <c r="D128" s="228" t="s">
        <v>9</v>
      </c>
      <c r="E128" s="226" t="s">
        <v>10</v>
      </c>
      <c r="F128" s="229" t="s">
        <v>11</v>
      </c>
      <c r="G128" s="226" t="s">
        <v>12</v>
      </c>
      <c r="H128" s="226" t="s">
        <v>13</v>
      </c>
      <c r="I128" s="230" t="s">
        <v>371</v>
      </c>
      <c r="J128" s="226" t="s">
        <v>15</v>
      </c>
      <c r="K128" s="231" t="s">
        <v>16</v>
      </c>
      <c r="L128" s="232">
        <v>0.1</v>
      </c>
      <c r="M128" s="233" t="s">
        <v>17</v>
      </c>
      <c r="N128" s="232">
        <v>0.33333332999999998</v>
      </c>
      <c r="O128" s="234">
        <v>0.23330000000000001</v>
      </c>
      <c r="P128" s="235"/>
      <c r="Q128" s="236"/>
      <c r="R128" s="237">
        <f>N128</f>
        <v>0.33333332999999998</v>
      </c>
      <c r="S128" s="238">
        <v>1</v>
      </c>
      <c r="T128" s="239" t="s">
        <v>18</v>
      </c>
      <c r="U128" s="226" t="s">
        <v>19</v>
      </c>
      <c r="V128" s="226" t="s">
        <v>20</v>
      </c>
      <c r="W128" s="226" t="s">
        <v>21</v>
      </c>
      <c r="X128" s="7"/>
      <c r="Y128" s="7"/>
      <c r="Z128" s="178"/>
      <c r="AA128" s="178"/>
      <c r="AB128" s="178"/>
      <c r="AC128" s="178"/>
      <c r="AD128" s="178"/>
      <c r="AE128" s="129"/>
      <c r="AF128" s="129"/>
      <c r="AG128" s="72"/>
      <c r="AH128" s="72"/>
      <c r="AI128" s="72"/>
      <c r="AJ128" s="299"/>
      <c r="AK128" s="72"/>
      <c r="AL128" s="72"/>
      <c r="AM128" s="72"/>
    </row>
    <row r="129" spans="1:40" x14ac:dyDescent="0.25">
      <c r="A129" s="250" t="s">
        <v>100</v>
      </c>
      <c r="B129" s="39">
        <v>1</v>
      </c>
      <c r="C129" s="250" t="s">
        <v>100</v>
      </c>
      <c r="D129" s="3" t="s">
        <v>187</v>
      </c>
      <c r="E129" s="34" t="s">
        <v>29</v>
      </c>
      <c r="F129" s="4" t="s">
        <v>30</v>
      </c>
      <c r="G129" s="7">
        <v>3000</v>
      </c>
      <c r="H129" s="1" t="s">
        <v>33</v>
      </c>
      <c r="I129" s="35">
        <v>200</v>
      </c>
      <c r="J129" s="23" t="s">
        <v>82</v>
      </c>
      <c r="K129" s="24" t="str">
        <f>M129</f>
        <v>JS</v>
      </c>
      <c r="L129" s="24">
        <f>I129*10/100</f>
        <v>20</v>
      </c>
      <c r="M129" s="25" t="s">
        <v>25</v>
      </c>
      <c r="N129" s="25">
        <f>I129/3/2</f>
        <v>33.333333333333336</v>
      </c>
      <c r="O129" s="26">
        <f>I129/3-L129</f>
        <v>46.666666666666671</v>
      </c>
      <c r="P129" s="27">
        <v>2</v>
      </c>
      <c r="Q129" s="28">
        <f>O129/2</f>
        <v>23.333333333333336</v>
      </c>
      <c r="R129" s="29">
        <f>I129/3</f>
        <v>66.666666666666671</v>
      </c>
      <c r="S129" s="30">
        <f>L129+N129+N130+O129+R129</f>
        <v>200</v>
      </c>
      <c r="T129" s="36">
        <f>I129-S129</f>
        <v>0</v>
      </c>
      <c r="U129" s="32">
        <f>I129*6</f>
        <v>1200</v>
      </c>
      <c r="V129" s="1" t="e">
        <f>#REF!</f>
        <v>#REF!</v>
      </c>
      <c r="W129" s="7" t="s">
        <v>31</v>
      </c>
      <c r="X129" s="7"/>
      <c r="Y129" s="178"/>
      <c r="Z129" s="178"/>
      <c r="AA129" s="129"/>
      <c r="AB129" s="72"/>
      <c r="AC129" s="178"/>
      <c r="AD129" s="129"/>
      <c r="AE129" s="129"/>
      <c r="AF129" s="72"/>
      <c r="AG129" s="72"/>
      <c r="AH129" s="72"/>
      <c r="AI129" s="72"/>
      <c r="AJ129" s="299"/>
      <c r="AK129" s="72"/>
    </row>
    <row r="130" spans="1:40" x14ac:dyDescent="0.25">
      <c r="A130" s="3"/>
      <c r="B130" s="39"/>
      <c r="C130" s="3"/>
      <c r="D130" s="3"/>
      <c r="E130" s="3"/>
      <c r="F130" s="37"/>
      <c r="G130" s="7"/>
      <c r="H130" s="7"/>
      <c r="I130" s="7"/>
      <c r="J130" s="7"/>
      <c r="K130" s="1"/>
      <c r="L130" s="6"/>
      <c r="M130" s="38" t="s">
        <v>32</v>
      </c>
      <c r="N130" s="33">
        <f>I129/3/2</f>
        <v>33.333333333333336</v>
      </c>
      <c r="O130" s="1"/>
      <c r="P130" s="3"/>
      <c r="Q130" s="1"/>
      <c r="R130" s="1"/>
      <c r="S130" s="1"/>
      <c r="T130" s="1"/>
      <c r="U130" s="1"/>
      <c r="V130" s="1"/>
      <c r="W130" s="7"/>
      <c r="X130" s="7"/>
      <c r="Y130" s="216"/>
      <c r="Z130" s="216"/>
      <c r="AA130" s="216"/>
      <c r="AB130" s="217"/>
      <c r="AC130" s="216"/>
      <c r="AD130" s="216"/>
      <c r="AE130" s="13"/>
      <c r="AF130" s="13"/>
      <c r="AJ130" s="299"/>
      <c r="AK130" s="72"/>
    </row>
    <row r="131" spans="1:40" x14ac:dyDescent="0.25">
      <c r="A131" s="250" t="s">
        <v>100</v>
      </c>
      <c r="B131" s="39">
        <f>B129+1</f>
        <v>2</v>
      </c>
      <c r="C131" s="250" t="s">
        <v>100</v>
      </c>
      <c r="D131" s="72" t="s">
        <v>163</v>
      </c>
      <c r="E131" s="48" t="s">
        <v>35</v>
      </c>
      <c r="F131" s="72" t="s">
        <v>164</v>
      </c>
      <c r="G131" s="7">
        <v>4000</v>
      </c>
      <c r="H131" s="1" t="s">
        <v>99</v>
      </c>
      <c r="I131" s="49">
        <v>400</v>
      </c>
      <c r="J131" s="23" t="s">
        <v>39</v>
      </c>
      <c r="K131" s="24" t="s">
        <v>44</v>
      </c>
      <c r="L131" s="24">
        <f>I131*10/100</f>
        <v>40</v>
      </c>
      <c r="M131" s="114" t="s">
        <v>37</v>
      </c>
      <c r="N131" s="114">
        <f>I131/3</f>
        <v>133.33333333333334</v>
      </c>
      <c r="O131" s="26">
        <f>I131/3-L131</f>
        <v>93.333333333333343</v>
      </c>
      <c r="P131" s="52">
        <v>3</v>
      </c>
      <c r="Q131" s="51">
        <f>O131/3</f>
        <v>31.111111111111114</v>
      </c>
      <c r="R131" s="53">
        <f>I131/3</f>
        <v>133.33333333333334</v>
      </c>
      <c r="S131" s="30">
        <f>L131+N131+O131+R131</f>
        <v>400</v>
      </c>
      <c r="T131" s="54">
        <v>0</v>
      </c>
      <c r="U131" s="55">
        <f>I131*7</f>
        <v>2800</v>
      </c>
      <c r="V131" s="56" t="s">
        <v>188</v>
      </c>
      <c r="W131" s="7" t="s">
        <v>104</v>
      </c>
      <c r="X131" s="7"/>
      <c r="AB131" s="216"/>
      <c r="AC131" s="216"/>
      <c r="AD131" s="216"/>
      <c r="AE131" s="13"/>
      <c r="AF131" s="13"/>
      <c r="AJ131" s="299"/>
      <c r="AK131" s="72"/>
    </row>
    <row r="132" spans="1:40" x14ac:dyDescent="0.25">
      <c r="A132" s="250" t="s">
        <v>100</v>
      </c>
      <c r="B132" s="39">
        <f t="shared" ref="B132" si="65">B131+1</f>
        <v>3</v>
      </c>
      <c r="C132" s="250" t="s">
        <v>100</v>
      </c>
      <c r="D132" s="96" t="s">
        <v>221</v>
      </c>
      <c r="E132" s="34" t="s">
        <v>29</v>
      </c>
      <c r="F132" s="4" t="s">
        <v>30</v>
      </c>
      <c r="G132" s="7">
        <v>3000</v>
      </c>
      <c r="H132" s="1" t="s">
        <v>33</v>
      </c>
      <c r="I132" s="35">
        <v>200</v>
      </c>
      <c r="J132" s="23" t="s">
        <v>183</v>
      </c>
      <c r="K132" s="24" t="str">
        <f>M132</f>
        <v>JS</v>
      </c>
      <c r="L132" s="24">
        <f>I132*10/100</f>
        <v>20</v>
      </c>
      <c r="M132" s="25" t="s">
        <v>25</v>
      </c>
      <c r="N132" s="25">
        <f>I132/3/2</f>
        <v>33.333333333333336</v>
      </c>
      <c r="O132" s="26">
        <f>I132/3-L132</f>
        <v>46.666666666666671</v>
      </c>
      <c r="P132" s="27">
        <v>3</v>
      </c>
      <c r="Q132" s="28">
        <f>O132/3</f>
        <v>15.555555555555557</v>
      </c>
      <c r="R132" s="29">
        <f>I132/3</f>
        <v>66.666666666666671</v>
      </c>
      <c r="S132" s="30">
        <f>L132+N132+N133+O132+R132</f>
        <v>200</v>
      </c>
      <c r="T132" s="197">
        <f>I132-S132</f>
        <v>0</v>
      </c>
      <c r="U132" s="32">
        <f>I132*8</f>
        <v>1600</v>
      </c>
      <c r="V132" s="1" t="s">
        <v>222</v>
      </c>
      <c r="W132" s="7" t="s">
        <v>31</v>
      </c>
      <c r="X132" s="7"/>
      <c r="Y132" s="218"/>
      <c r="Z132" s="218"/>
      <c r="AA132" s="218"/>
      <c r="AB132" s="13"/>
      <c r="AD132" s="218"/>
      <c r="AE132" s="13"/>
      <c r="AF132" s="13"/>
      <c r="AK132" s="72"/>
    </row>
    <row r="133" spans="1:40" x14ac:dyDescent="0.25">
      <c r="A133" s="3"/>
      <c r="B133" s="39"/>
      <c r="C133" s="3"/>
      <c r="D133" s="3"/>
      <c r="E133" s="3"/>
      <c r="F133" s="37"/>
      <c r="G133" s="134"/>
      <c r="H133" s="7"/>
      <c r="I133" s="7"/>
      <c r="J133" s="7"/>
      <c r="K133" s="1"/>
      <c r="L133" s="6"/>
      <c r="M133" s="38" t="s">
        <v>32</v>
      </c>
      <c r="N133" s="33">
        <f>I132/3/2</f>
        <v>33.333333333333336</v>
      </c>
      <c r="O133" s="1"/>
      <c r="P133" s="27"/>
      <c r="Q133" s="28"/>
      <c r="R133" s="1"/>
      <c r="S133" s="1"/>
      <c r="T133" s="1"/>
      <c r="U133" s="1"/>
      <c r="V133" s="3"/>
      <c r="W133" s="7"/>
      <c r="X133" s="7" t="s">
        <v>223</v>
      </c>
      <c r="Y133" s="218"/>
      <c r="Z133" s="218"/>
      <c r="AA133" s="218"/>
      <c r="AB133" s="13"/>
      <c r="AD133" s="218"/>
      <c r="AE133" s="13"/>
      <c r="AF133" s="13"/>
      <c r="AJ133" s="299"/>
      <c r="AK133" s="72"/>
      <c r="AL133" s="72"/>
      <c r="AM133" s="72"/>
    </row>
    <row r="134" spans="1:40" x14ac:dyDescent="0.25">
      <c r="A134" s="250" t="s">
        <v>100</v>
      </c>
      <c r="B134" s="39">
        <f>B132+1</f>
        <v>4</v>
      </c>
      <c r="C134" s="250" t="s">
        <v>100</v>
      </c>
      <c r="D134" s="3" t="s">
        <v>224</v>
      </c>
      <c r="E134" s="34" t="s">
        <v>29</v>
      </c>
      <c r="F134" s="4" t="s">
        <v>30</v>
      </c>
      <c r="G134" s="7">
        <v>3000</v>
      </c>
      <c r="H134" s="1" t="s">
        <v>33</v>
      </c>
      <c r="I134" s="35">
        <v>200</v>
      </c>
      <c r="J134" s="23" t="s">
        <v>183</v>
      </c>
      <c r="K134" s="24" t="str">
        <f>M134</f>
        <v>JS</v>
      </c>
      <c r="L134" s="24">
        <f>I134*10/100</f>
        <v>20</v>
      </c>
      <c r="M134" s="25" t="s">
        <v>25</v>
      </c>
      <c r="N134" s="25">
        <f>I134/3/2</f>
        <v>33.333333333333336</v>
      </c>
      <c r="O134" s="26">
        <f>I134/3-L134</f>
        <v>46.666666666666671</v>
      </c>
      <c r="P134" s="27">
        <v>3</v>
      </c>
      <c r="Q134" s="28">
        <f>O134/3</f>
        <v>15.555555555555557</v>
      </c>
      <c r="R134" s="29">
        <f>I134/3</f>
        <v>66.666666666666671</v>
      </c>
      <c r="S134" s="30">
        <f>L134+N134+N135+O134+R134</f>
        <v>200</v>
      </c>
      <c r="T134" s="36">
        <f>I134-S134</f>
        <v>0</v>
      </c>
      <c r="U134" s="32">
        <f>I134*8</f>
        <v>1600</v>
      </c>
      <c r="V134" s="1" t="s">
        <v>222</v>
      </c>
      <c r="W134" s="7" t="s">
        <v>31</v>
      </c>
      <c r="X134" s="7"/>
      <c r="Y134" s="134" t="e">
        <f>#REF!-#REF!</f>
        <v>#REF!</v>
      </c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K134" s="72"/>
    </row>
    <row r="135" spans="1:40" x14ac:dyDescent="0.25">
      <c r="A135" s="3"/>
      <c r="B135" s="39"/>
      <c r="C135" s="3"/>
      <c r="D135" s="3"/>
      <c r="E135" s="3"/>
      <c r="F135" s="37"/>
      <c r="G135" s="7"/>
      <c r="H135" s="7"/>
      <c r="I135" s="7"/>
      <c r="J135" s="7"/>
      <c r="K135" s="1"/>
      <c r="L135" s="6"/>
      <c r="M135" s="38" t="s">
        <v>32</v>
      </c>
      <c r="N135" s="33">
        <f>I134/3/2</f>
        <v>33.333333333333336</v>
      </c>
      <c r="O135" s="1"/>
      <c r="P135" s="3"/>
      <c r="Q135" s="1"/>
      <c r="R135" s="1"/>
      <c r="S135" s="1"/>
      <c r="T135" s="1"/>
      <c r="U135" s="1"/>
      <c r="V135" s="1"/>
      <c r="W135" s="7"/>
      <c r="X135" s="222" t="s">
        <v>167</v>
      </c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K135" s="72"/>
    </row>
    <row r="136" spans="1:40" x14ac:dyDescent="0.25">
      <c r="A136" s="250" t="s">
        <v>100</v>
      </c>
      <c r="B136" s="39">
        <v>5</v>
      </c>
      <c r="C136" s="250" t="s">
        <v>100</v>
      </c>
      <c r="D136" s="3" t="s">
        <v>175</v>
      </c>
      <c r="E136" s="62" t="s">
        <v>51</v>
      </c>
      <c r="F136" s="3" t="s">
        <v>176</v>
      </c>
      <c r="G136" s="7">
        <v>6000</v>
      </c>
      <c r="H136" s="1" t="s">
        <v>148</v>
      </c>
      <c r="I136" s="63">
        <v>500</v>
      </c>
      <c r="J136" s="50" t="s">
        <v>39</v>
      </c>
      <c r="K136" s="38" t="s">
        <v>32</v>
      </c>
      <c r="L136" s="38">
        <f>I136*10/100</f>
        <v>50</v>
      </c>
      <c r="M136" s="201" t="s">
        <v>32</v>
      </c>
      <c r="N136" s="58">
        <f>I136/3</f>
        <v>166.66666666666666</v>
      </c>
      <c r="O136" s="26">
        <f>N136-L136</f>
        <v>116.66666666666666</v>
      </c>
      <c r="P136" s="27">
        <v>2</v>
      </c>
      <c r="Q136" s="28">
        <f>O136/P136</f>
        <v>58.333333333333329</v>
      </c>
      <c r="R136" s="53">
        <f>N136</f>
        <v>166.66666666666666</v>
      </c>
      <c r="S136" s="30">
        <f>L136+N136+O136+R136</f>
        <v>500</v>
      </c>
      <c r="T136" s="54">
        <f>I136-S136</f>
        <v>0</v>
      </c>
      <c r="U136" s="55">
        <v>5000</v>
      </c>
      <c r="V136" s="56" t="s">
        <v>177</v>
      </c>
      <c r="W136" s="7" t="s">
        <v>178</v>
      </c>
      <c r="X136" s="7" t="s">
        <v>170</v>
      </c>
      <c r="Y136" s="7"/>
      <c r="Z136" s="178"/>
      <c r="AA136" s="129"/>
      <c r="AB136" s="129"/>
      <c r="AC136" s="72"/>
      <c r="AD136" s="72"/>
      <c r="AE136" s="72"/>
      <c r="AF136" s="72"/>
      <c r="AG136" s="72"/>
      <c r="AH136" s="72"/>
      <c r="AI136" s="72"/>
    </row>
    <row r="137" spans="1:40" x14ac:dyDescent="0.25">
      <c r="A137" s="250" t="s">
        <v>100</v>
      </c>
      <c r="B137" s="39">
        <v>6</v>
      </c>
      <c r="C137" s="250" t="s">
        <v>100</v>
      </c>
      <c r="D137" s="3" t="s">
        <v>28</v>
      </c>
      <c r="E137" s="34" t="s">
        <v>29</v>
      </c>
      <c r="F137" s="4" t="s">
        <v>30</v>
      </c>
      <c r="G137" s="7">
        <v>3000</v>
      </c>
      <c r="H137" s="1" t="s">
        <v>33</v>
      </c>
      <c r="I137" s="35">
        <v>200</v>
      </c>
      <c r="J137" s="23" t="s">
        <v>38</v>
      </c>
      <c r="K137" s="24" t="str">
        <f>M137</f>
        <v>JS</v>
      </c>
      <c r="L137" s="24">
        <f>I137*10/100</f>
        <v>20</v>
      </c>
      <c r="M137" s="25" t="s">
        <v>25</v>
      </c>
      <c r="N137" s="25">
        <f>I137/3/2</f>
        <v>33.333333333333336</v>
      </c>
      <c r="O137" s="26">
        <f>I137/3-L137</f>
        <v>46.666666666666671</v>
      </c>
      <c r="P137" s="27">
        <v>2</v>
      </c>
      <c r="Q137" s="28">
        <f>O137/3</f>
        <v>15.555555555555557</v>
      </c>
      <c r="R137" s="29">
        <f>I137/3</f>
        <v>66.666666666666671</v>
      </c>
      <c r="S137" s="30">
        <f>L137+N137+N138+O137+R137</f>
        <v>200</v>
      </c>
      <c r="T137" s="36">
        <f>I137-S137</f>
        <v>0</v>
      </c>
      <c r="U137" s="32">
        <f>I137*6</f>
        <v>1200</v>
      </c>
      <c r="V137" s="1" t="s">
        <v>225</v>
      </c>
      <c r="W137" s="7" t="s">
        <v>31</v>
      </c>
      <c r="X137" s="7"/>
      <c r="Y137" s="7"/>
      <c r="Z137" s="178"/>
      <c r="AA137" s="178"/>
      <c r="AB137" s="129"/>
      <c r="AC137" s="72"/>
      <c r="AD137" s="178"/>
      <c r="AE137" s="129"/>
      <c r="AF137" s="129"/>
      <c r="AG137" s="72"/>
      <c r="AH137" s="72"/>
      <c r="AI137" s="72"/>
      <c r="AJ137" s="299"/>
      <c r="AK137" s="72"/>
    </row>
    <row r="138" spans="1:40" x14ac:dyDescent="0.25">
      <c r="A138" s="3"/>
      <c r="B138" s="39"/>
      <c r="C138" s="3"/>
      <c r="D138" s="3"/>
      <c r="E138" s="3"/>
      <c r="F138" s="37"/>
      <c r="G138" s="7"/>
      <c r="H138" s="7"/>
      <c r="I138" s="7"/>
      <c r="J138" s="7"/>
      <c r="K138" s="1"/>
      <c r="L138" s="6"/>
      <c r="M138" s="38" t="s">
        <v>32</v>
      </c>
      <c r="N138" s="33">
        <f>I137/3/2</f>
        <v>33.333333333333336</v>
      </c>
      <c r="O138" s="1"/>
      <c r="P138" s="3"/>
      <c r="Q138" s="1"/>
      <c r="R138" s="1"/>
      <c r="S138" s="1"/>
      <c r="T138" s="1"/>
      <c r="U138" s="1"/>
      <c r="V138" s="1"/>
      <c r="W138" s="7"/>
      <c r="X138" s="7"/>
      <c r="Y138" s="7"/>
      <c r="Z138" s="178"/>
      <c r="AA138" s="178"/>
      <c r="AB138" s="129"/>
      <c r="AC138" s="72"/>
      <c r="AD138" s="178"/>
      <c r="AE138" s="129"/>
      <c r="AF138" s="129"/>
      <c r="AG138" s="72"/>
      <c r="AH138" s="72"/>
      <c r="AI138" s="72"/>
      <c r="AJ138" s="299"/>
      <c r="AK138" s="72"/>
    </row>
    <row r="139" spans="1:40" x14ac:dyDescent="0.25">
      <c r="A139" s="250" t="s">
        <v>100</v>
      </c>
      <c r="B139" s="39">
        <v>7</v>
      </c>
      <c r="C139" s="250" t="s">
        <v>100</v>
      </c>
      <c r="D139" s="96" t="s">
        <v>221</v>
      </c>
      <c r="E139" s="34" t="s">
        <v>29</v>
      </c>
      <c r="F139" s="4" t="s">
        <v>30</v>
      </c>
      <c r="G139" s="7">
        <v>3000</v>
      </c>
      <c r="H139" s="1" t="s">
        <v>33</v>
      </c>
      <c r="I139" s="35">
        <v>200</v>
      </c>
      <c r="J139" s="23" t="s">
        <v>183</v>
      </c>
      <c r="K139" s="24" t="str">
        <f>M139</f>
        <v>JS</v>
      </c>
      <c r="L139" s="24">
        <f>I139*10/100</f>
        <v>20</v>
      </c>
      <c r="M139" s="25" t="s">
        <v>25</v>
      </c>
      <c r="N139" s="25">
        <f>I139/3/2</f>
        <v>33.333333333333336</v>
      </c>
      <c r="O139" s="26">
        <f>I139/3-L139</f>
        <v>46.666666666666671</v>
      </c>
      <c r="P139" s="27">
        <v>3</v>
      </c>
      <c r="Q139" s="28">
        <f>O139/3</f>
        <v>15.555555555555557</v>
      </c>
      <c r="R139" s="29">
        <f>I139/3</f>
        <v>66.666666666666671</v>
      </c>
      <c r="S139" s="30">
        <f>L139+N139+N140+O139+R139</f>
        <v>200</v>
      </c>
      <c r="T139" s="197">
        <f>I139-S139</f>
        <v>0</v>
      </c>
      <c r="U139" s="32">
        <f>I139*7</f>
        <v>1400</v>
      </c>
      <c r="V139" s="1" t="s">
        <v>34</v>
      </c>
      <c r="W139" s="7" t="s">
        <v>31</v>
      </c>
      <c r="X139" s="7" t="s">
        <v>249</v>
      </c>
      <c r="Y139" s="178"/>
      <c r="Z139" s="178"/>
      <c r="AA139" s="178"/>
      <c r="AB139" s="129"/>
      <c r="AC139" s="178"/>
      <c r="AD139" s="178"/>
      <c r="AE139" s="129"/>
      <c r="AF139" s="129"/>
      <c r="AG139" s="72"/>
      <c r="AH139" s="72"/>
      <c r="AI139" s="72"/>
    </row>
    <row r="140" spans="1:40" x14ac:dyDescent="0.25">
      <c r="A140" s="3"/>
      <c r="B140" s="39"/>
      <c r="C140" s="3"/>
      <c r="D140" s="3"/>
      <c r="E140" s="3"/>
      <c r="F140" s="37"/>
      <c r="G140" s="134"/>
      <c r="H140" s="7"/>
      <c r="I140" s="7"/>
      <c r="J140" s="7"/>
      <c r="K140" s="1"/>
      <c r="L140" s="6"/>
      <c r="M140" s="38" t="s">
        <v>32</v>
      </c>
      <c r="N140" s="33">
        <f>I139/3/2</f>
        <v>33.333333333333336</v>
      </c>
      <c r="O140" s="1"/>
      <c r="P140" s="27"/>
      <c r="Q140" s="28"/>
      <c r="R140" s="1"/>
      <c r="S140" s="1"/>
      <c r="T140" s="1"/>
      <c r="U140" s="1"/>
      <c r="V140" s="3"/>
      <c r="W140" s="7"/>
      <c r="X140" s="7"/>
      <c r="Y140" s="72"/>
      <c r="Z140" s="72"/>
      <c r="AA140" s="72"/>
      <c r="AB140" s="178"/>
      <c r="AC140" s="178"/>
      <c r="AD140" s="178"/>
      <c r="AE140" s="129"/>
      <c r="AF140" s="129"/>
      <c r="AG140" s="72"/>
      <c r="AH140" s="72"/>
      <c r="AI140" s="72"/>
    </row>
    <row r="141" spans="1:40" x14ac:dyDescent="0.25">
      <c r="A141" s="250" t="s">
        <v>100</v>
      </c>
      <c r="B141" s="39">
        <v>8</v>
      </c>
      <c r="C141" s="250" t="s">
        <v>100</v>
      </c>
      <c r="D141" s="96" t="s">
        <v>221</v>
      </c>
      <c r="E141" s="34" t="s">
        <v>29</v>
      </c>
      <c r="F141" s="4" t="s">
        <v>30</v>
      </c>
      <c r="G141" s="7">
        <v>3000</v>
      </c>
      <c r="H141" s="1" t="s">
        <v>33</v>
      </c>
      <c r="I141" s="35">
        <v>200</v>
      </c>
      <c r="J141" s="23" t="s">
        <v>183</v>
      </c>
      <c r="K141" s="24" t="str">
        <f>M141</f>
        <v>JS</v>
      </c>
      <c r="L141" s="24">
        <f>I141*10/100</f>
        <v>20</v>
      </c>
      <c r="M141" s="25" t="s">
        <v>25</v>
      </c>
      <c r="N141" s="25">
        <f>I141/3/2</f>
        <v>33.333333333333336</v>
      </c>
      <c r="O141" s="26">
        <f>I141/3-L141</f>
        <v>46.666666666666671</v>
      </c>
      <c r="P141" s="27">
        <v>3</v>
      </c>
      <c r="Q141" s="28">
        <f>O141/3</f>
        <v>15.555555555555557</v>
      </c>
      <c r="R141" s="29">
        <f>I141/3</f>
        <v>66.666666666666671</v>
      </c>
      <c r="S141" s="30">
        <f>L141+N141+N142+O141+R141</f>
        <v>200</v>
      </c>
      <c r="T141" s="197">
        <f>I141-S141</f>
        <v>0</v>
      </c>
      <c r="U141" s="32">
        <f>I141*6</f>
        <v>1200</v>
      </c>
      <c r="V141" s="1" t="s">
        <v>225</v>
      </c>
      <c r="W141" s="7" t="s">
        <v>31</v>
      </c>
      <c r="X141" s="7" t="s">
        <v>250</v>
      </c>
      <c r="Y141" s="178"/>
      <c r="Z141" s="178"/>
      <c r="AA141" s="178"/>
      <c r="AB141" s="129"/>
      <c r="AC141" s="178"/>
      <c r="AD141" s="178"/>
      <c r="AE141" s="129"/>
      <c r="AF141" s="129"/>
      <c r="AG141" s="72"/>
      <c r="AH141" s="72"/>
      <c r="AI141" s="72"/>
    </row>
    <row r="142" spans="1:40" x14ac:dyDescent="0.25">
      <c r="A142" s="3"/>
      <c r="B142" s="39"/>
      <c r="C142" s="3"/>
      <c r="D142" s="3"/>
      <c r="E142" s="3"/>
      <c r="F142" s="37"/>
      <c r="G142" s="134"/>
      <c r="H142" s="7"/>
      <c r="I142" s="7"/>
      <c r="J142" s="7"/>
      <c r="K142" s="1"/>
      <c r="L142" s="6"/>
      <c r="M142" s="38" t="s">
        <v>32</v>
      </c>
      <c r="N142" s="33">
        <f>I141/3/2</f>
        <v>33.333333333333336</v>
      </c>
      <c r="O142" s="1"/>
      <c r="P142" s="27"/>
      <c r="Q142" s="28"/>
      <c r="R142" s="1"/>
      <c r="S142" s="1"/>
      <c r="T142" s="1"/>
      <c r="U142" s="1"/>
      <c r="V142" s="3"/>
      <c r="W142" s="7"/>
      <c r="X142" s="7"/>
      <c r="Y142" s="72"/>
      <c r="Z142" s="72"/>
      <c r="AA142" s="72"/>
      <c r="AB142" s="178"/>
      <c r="AC142" s="178"/>
      <c r="AD142" s="178"/>
      <c r="AE142" s="129"/>
      <c r="AF142" s="129"/>
      <c r="AG142" s="72"/>
      <c r="AH142" s="72"/>
      <c r="AI142" s="72"/>
    </row>
    <row r="143" spans="1:40" x14ac:dyDescent="0.25">
      <c r="A143" s="250" t="s">
        <v>100</v>
      </c>
      <c r="B143" s="39">
        <v>9</v>
      </c>
      <c r="C143" s="250" t="s">
        <v>100</v>
      </c>
      <c r="D143" s="3" t="s">
        <v>253</v>
      </c>
      <c r="E143" s="80" t="s">
        <v>72</v>
      </c>
      <c r="F143" s="4" t="s">
        <v>254</v>
      </c>
      <c r="G143" s="7">
        <v>7760</v>
      </c>
      <c r="H143" s="289" t="s">
        <v>255</v>
      </c>
      <c r="I143" s="64">
        <v>776</v>
      </c>
      <c r="J143" s="23" t="str">
        <f>J67</f>
        <v>BOLETO ITAU</v>
      </c>
      <c r="K143" s="33" t="s">
        <v>26</v>
      </c>
      <c r="L143" s="33">
        <f>I143*10/100</f>
        <v>77.599999999999994</v>
      </c>
      <c r="M143" s="51" t="s">
        <v>37</v>
      </c>
      <c r="N143" s="51">
        <f>I143/3/2</f>
        <v>129.33333333333334</v>
      </c>
      <c r="O143" s="290">
        <f>I143/3-L143</f>
        <v>181.06666666666669</v>
      </c>
      <c r="P143" s="148">
        <v>4</v>
      </c>
      <c r="Q143" s="117">
        <f>O143/4</f>
        <v>45.266666666666673</v>
      </c>
      <c r="R143" s="291">
        <f>N143+N144</f>
        <v>258.66666666666669</v>
      </c>
      <c r="S143" s="50">
        <f>L143+N143+N144+O143+R143</f>
        <v>776</v>
      </c>
      <c r="T143" s="292">
        <f>I143-S143</f>
        <v>0</v>
      </c>
      <c r="U143" s="293">
        <f>I143*3</f>
        <v>2328</v>
      </c>
      <c r="V143" s="294" t="s">
        <v>262</v>
      </c>
      <c r="W143" s="7" t="s">
        <v>256</v>
      </c>
      <c r="X143" s="7" t="s">
        <v>190</v>
      </c>
      <c r="Y143" s="7"/>
      <c r="Z143" s="178"/>
      <c r="AA143" s="178"/>
      <c r="AB143" s="129"/>
      <c r="AC143" s="72"/>
      <c r="AD143" s="178"/>
      <c r="AE143" s="129"/>
      <c r="AF143" s="129"/>
      <c r="AG143" s="72"/>
      <c r="AH143" s="72"/>
      <c r="AI143" s="72"/>
      <c r="AJ143" s="299"/>
      <c r="AK143" s="72"/>
      <c r="AL143" s="72"/>
      <c r="AM143" s="72"/>
      <c r="AN143" s="72"/>
    </row>
    <row r="144" spans="1:40" x14ac:dyDescent="0.25">
      <c r="A144" s="1"/>
      <c r="B144" s="39"/>
      <c r="C144" s="1"/>
      <c r="D144" s="3"/>
      <c r="E144" s="1"/>
      <c r="F144" s="4"/>
      <c r="G144" s="7"/>
      <c r="H144" s="3"/>
      <c r="I144" s="134"/>
      <c r="J144" s="7"/>
      <c r="K144" s="134"/>
      <c r="L144" s="7"/>
      <c r="M144" s="117" t="s">
        <v>92</v>
      </c>
      <c r="N144" s="117">
        <f>N143</f>
        <v>129.33333333333334</v>
      </c>
      <c r="O144" s="1"/>
      <c r="P144" s="72"/>
      <c r="Q144" s="72"/>
      <c r="R144" s="1"/>
      <c r="S144" s="1"/>
      <c r="T144" s="1"/>
      <c r="U144" s="1"/>
      <c r="V144" s="1"/>
      <c r="W144" s="7"/>
      <c r="X144" s="7"/>
      <c r="Y144" s="7"/>
      <c r="Z144" s="178"/>
      <c r="AA144" s="178"/>
      <c r="AB144" s="129"/>
      <c r="AC144" s="72"/>
      <c r="AD144" s="178"/>
      <c r="AE144" s="129"/>
      <c r="AF144" s="129"/>
      <c r="AG144" s="72"/>
      <c r="AH144" s="72"/>
      <c r="AI144" s="72"/>
      <c r="AJ144" s="299"/>
      <c r="AK144" s="72"/>
      <c r="AL144" s="72"/>
      <c r="AM144" s="72"/>
      <c r="AN144" s="72"/>
    </row>
    <row r="145" spans="1:39" x14ac:dyDescent="0.25">
      <c r="A145" s="250" t="s">
        <v>100</v>
      </c>
      <c r="B145" s="39">
        <v>10</v>
      </c>
      <c r="C145" s="250" t="s">
        <v>100</v>
      </c>
      <c r="D145" s="3" t="s">
        <v>273</v>
      </c>
      <c r="E145" s="48" t="s">
        <v>35</v>
      </c>
      <c r="F145" s="4" t="s">
        <v>274</v>
      </c>
      <c r="G145" s="7">
        <v>2070</v>
      </c>
      <c r="H145" s="1" t="s">
        <v>275</v>
      </c>
      <c r="I145" s="49">
        <v>57.39</v>
      </c>
      <c r="J145" s="23" t="str">
        <f>J143</f>
        <v>BOLETO ITAU</v>
      </c>
      <c r="K145" s="38" t="s">
        <v>32</v>
      </c>
      <c r="L145" s="38">
        <f>I145*10/100</f>
        <v>5.7389999999999999</v>
      </c>
      <c r="M145" s="58" t="str">
        <f>K145</f>
        <v>JÉTER</v>
      </c>
      <c r="N145" s="58">
        <f>I145/3</f>
        <v>19.13</v>
      </c>
      <c r="O145" s="26">
        <f>I145/3-L145</f>
        <v>13.390999999999998</v>
      </c>
      <c r="P145" s="27">
        <v>2</v>
      </c>
      <c r="Q145" s="28">
        <f>O145/P145</f>
        <v>6.6954999999999991</v>
      </c>
      <c r="R145" s="60">
        <f>I145/3</f>
        <v>19.13</v>
      </c>
      <c r="S145" s="30">
        <f>L145+N145+O145+R145</f>
        <v>57.39</v>
      </c>
      <c r="T145" s="31">
        <f t="shared" ref="T145" si="66">I145-S145</f>
        <v>0</v>
      </c>
      <c r="U145" s="61">
        <f>I145*5</f>
        <v>286.95</v>
      </c>
      <c r="V145" s="1" t="s">
        <v>46</v>
      </c>
      <c r="W145" s="7" t="s">
        <v>256</v>
      </c>
      <c r="X145" s="7"/>
      <c r="Y145" s="178"/>
      <c r="Z145" s="178"/>
      <c r="AA145" s="129"/>
      <c r="AB145" s="72"/>
      <c r="AC145" s="178"/>
      <c r="AD145" s="129"/>
      <c r="AE145" s="129"/>
      <c r="AF145" s="72"/>
      <c r="AG145" s="72"/>
      <c r="AH145" s="72"/>
      <c r="AI145" s="72"/>
      <c r="AJ145" s="299"/>
      <c r="AK145" s="72"/>
      <c r="AL145" s="72"/>
      <c r="AM145" s="72"/>
    </row>
    <row r="146" spans="1:39" s="264" customFormat="1" ht="12.75" x14ac:dyDescent="0.2">
      <c r="A146" s="262"/>
      <c r="B146" s="263"/>
      <c r="C146" s="262"/>
      <c r="E146" s="263"/>
      <c r="F146" s="265"/>
      <c r="G146" s="266"/>
      <c r="H146" s="263"/>
      <c r="I146" s="266"/>
      <c r="J146" s="266"/>
      <c r="K146" s="267"/>
      <c r="L146" s="267"/>
      <c r="M146" s="266"/>
      <c r="N146" s="266"/>
      <c r="O146" s="268"/>
      <c r="P146" s="269"/>
      <c r="Q146" s="270"/>
      <c r="R146" s="268"/>
      <c r="S146" s="270"/>
      <c r="T146" s="266"/>
      <c r="U146" s="266"/>
      <c r="V146" s="263"/>
      <c r="W146" s="266"/>
      <c r="X146" s="266"/>
      <c r="AB146" s="263"/>
      <c r="AC146" s="263"/>
      <c r="AJ146" s="265"/>
    </row>
    <row r="147" spans="1:39" x14ac:dyDescent="0.25">
      <c r="A147" s="72"/>
      <c r="B147" s="72"/>
      <c r="C147" s="72"/>
      <c r="D147" s="72"/>
      <c r="E147" s="72"/>
      <c r="F147" s="72"/>
      <c r="G147" s="72"/>
      <c r="H147" s="72"/>
      <c r="I147" s="178">
        <f>SUM(I129:I146)</f>
        <v>2933.39</v>
      </c>
      <c r="J147" s="129"/>
      <c r="K147" s="72"/>
      <c r="L147" s="178">
        <f>SUM(L129:L146)</f>
        <v>293.339</v>
      </c>
      <c r="M147" s="72"/>
      <c r="N147" s="178">
        <f>SUM(N129:N146)</f>
        <v>977.79666666666697</v>
      </c>
      <c r="O147" s="178">
        <f>SUM(O129:O146)</f>
        <v>684.45766666666668</v>
      </c>
      <c r="P147" s="72"/>
      <c r="Q147" s="178">
        <f>SUM(Q129:Q146)</f>
        <v>242.51772222222223</v>
      </c>
      <c r="R147" s="178">
        <f>SUM(R129:R146)</f>
        <v>977.79666666666651</v>
      </c>
      <c r="S147" s="178">
        <f>SUM(S129:S146)</f>
        <v>2933.39</v>
      </c>
      <c r="T147" s="178">
        <f>SUM(T129:T146)</f>
        <v>0</v>
      </c>
      <c r="U147" s="178">
        <f>SUM(U129:U146)</f>
        <v>18614.95</v>
      </c>
      <c r="V147" s="129"/>
      <c r="W147" s="129"/>
      <c r="X147" s="129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</row>
    <row r="148" spans="1:39" x14ac:dyDescent="0.25">
      <c r="A148" s="72"/>
      <c r="B148" s="72"/>
      <c r="C148" s="72"/>
      <c r="D148" s="72" t="s">
        <v>231</v>
      </c>
      <c r="E148" s="72"/>
      <c r="F148" s="72"/>
      <c r="G148" s="72"/>
      <c r="H148" s="72"/>
      <c r="I148" s="209"/>
      <c r="J148" s="129"/>
      <c r="K148" s="72"/>
      <c r="L148" s="72"/>
      <c r="M148" s="72"/>
      <c r="N148" s="129"/>
      <c r="O148" s="72"/>
      <c r="P148" s="72"/>
      <c r="Q148" s="129"/>
      <c r="R148" s="129"/>
      <c r="S148" s="72"/>
      <c r="T148" s="72"/>
      <c r="U148" s="72"/>
      <c r="V148" s="129"/>
      <c r="W148" s="129"/>
      <c r="X148" s="129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</row>
    <row r="149" spans="1:39" x14ac:dyDescent="0.25">
      <c r="A149" s="72"/>
      <c r="B149" s="72"/>
      <c r="C149" s="72"/>
      <c r="D149" s="72"/>
      <c r="E149" s="72"/>
      <c r="F149" s="72"/>
      <c r="G149" s="72"/>
      <c r="H149" s="72"/>
    </row>
    <row r="150" spans="1:39" x14ac:dyDescent="0.25">
      <c r="A150" s="72"/>
      <c r="B150" s="72"/>
      <c r="C150" s="72"/>
      <c r="D150" s="72"/>
      <c r="E150" s="72"/>
      <c r="F150" s="72"/>
      <c r="G150" s="72"/>
      <c r="H150" s="72"/>
    </row>
    <row r="151" spans="1:39" x14ac:dyDescent="0.25">
      <c r="A151" s="72"/>
      <c r="B151" s="72"/>
      <c r="C151" s="72"/>
      <c r="D151" s="72"/>
      <c r="E151" s="72"/>
      <c r="F151" s="72"/>
      <c r="G151" s="72"/>
      <c r="H151" s="72"/>
    </row>
    <row r="152" spans="1:39" x14ac:dyDescent="0.25">
      <c r="A152" s="72"/>
      <c r="B152" s="72"/>
      <c r="C152" s="72"/>
      <c r="D152" s="72"/>
      <c r="E152" s="72"/>
      <c r="F152" s="72"/>
      <c r="G152" s="72"/>
      <c r="H152" s="72"/>
    </row>
    <row r="153" spans="1:39" x14ac:dyDescent="0.25">
      <c r="A153" s="72"/>
      <c r="B153" s="72"/>
      <c r="C153" s="72"/>
      <c r="D153" s="72"/>
      <c r="E153" s="72"/>
      <c r="F153" s="72"/>
      <c r="G153" s="72"/>
      <c r="H153" s="72"/>
    </row>
    <row r="154" spans="1:39" x14ac:dyDescent="0.25">
      <c r="A154" s="72"/>
      <c r="B154" s="72"/>
      <c r="C154" s="72"/>
      <c r="D154" s="72"/>
      <c r="E154" s="72"/>
      <c r="F154" s="72"/>
      <c r="G154" s="72"/>
      <c r="H154" s="72"/>
    </row>
    <row r="155" spans="1:39" x14ac:dyDescent="0.25">
      <c r="A155" s="72"/>
      <c r="B155" s="72"/>
      <c r="C155" s="72"/>
      <c r="D155" s="72"/>
      <c r="E155" s="72"/>
      <c r="F155" s="72"/>
      <c r="G155" s="72"/>
      <c r="H155" s="72"/>
    </row>
    <row r="156" spans="1:39" x14ac:dyDescent="0.25">
      <c r="A156" s="72"/>
      <c r="B156" s="72"/>
      <c r="C156" s="72"/>
      <c r="D156" s="72"/>
      <c r="E156" s="72"/>
      <c r="F156" s="72"/>
      <c r="G156" s="72"/>
      <c r="H156" s="72"/>
    </row>
    <row r="157" spans="1:39" x14ac:dyDescent="0.25">
      <c r="A157" s="72"/>
      <c r="B157" s="72"/>
      <c r="C157" s="72"/>
      <c r="D157" s="72"/>
      <c r="E157" s="72"/>
      <c r="F157" s="72"/>
      <c r="G157" s="72"/>
      <c r="H157" s="72"/>
    </row>
    <row r="158" spans="1:39" x14ac:dyDescent="0.25">
      <c r="A158" s="72"/>
      <c r="B158" s="72"/>
      <c r="C158" s="72"/>
      <c r="D158" s="72"/>
      <c r="E158" s="72"/>
      <c r="F158" s="72"/>
      <c r="G158" s="72"/>
      <c r="H158" s="72"/>
    </row>
    <row r="159" spans="1:39" x14ac:dyDescent="0.25">
      <c r="A159" s="72"/>
      <c r="B159" s="72"/>
      <c r="C159" s="72"/>
      <c r="D159" s="72"/>
      <c r="E159" s="72"/>
      <c r="F159" s="72"/>
      <c r="G159" s="72"/>
      <c r="H159" s="72"/>
    </row>
    <row r="160" spans="1:39" x14ac:dyDescent="0.25">
      <c r="A160" s="72"/>
      <c r="B160" s="72"/>
      <c r="C160" s="72"/>
      <c r="D160" s="72"/>
      <c r="E160" s="72"/>
      <c r="F160" s="72"/>
      <c r="G160" s="72"/>
      <c r="H160" s="72"/>
    </row>
    <row r="161" spans="1:37" x14ac:dyDescent="0.25">
      <c r="A161" s="72"/>
      <c r="B161" s="72"/>
      <c r="C161" s="72"/>
      <c r="D161" s="72"/>
      <c r="E161" s="72"/>
      <c r="F161" s="72"/>
      <c r="G161" s="72"/>
      <c r="H161" s="72"/>
    </row>
    <row r="162" spans="1:37" x14ac:dyDescent="0.25">
      <c r="A162" s="72"/>
      <c r="B162" s="72"/>
      <c r="C162" s="72"/>
      <c r="D162" s="72"/>
      <c r="E162" s="72"/>
      <c r="F162" s="72"/>
      <c r="G162" s="72"/>
      <c r="H162" s="72"/>
    </row>
    <row r="163" spans="1:37" x14ac:dyDescent="0.25">
      <c r="A163" s="72"/>
      <c r="B163" s="72"/>
      <c r="C163" s="72"/>
      <c r="D163" s="72"/>
      <c r="E163" s="72"/>
      <c r="F163" s="72"/>
      <c r="G163" s="72"/>
      <c r="H163" s="72"/>
    </row>
    <row r="164" spans="1:37" x14ac:dyDescent="0.25">
      <c r="A164" s="72"/>
      <c r="B164" s="72"/>
      <c r="C164" s="72"/>
      <c r="D164" s="72"/>
      <c r="E164" s="72"/>
      <c r="F164" s="72"/>
      <c r="G164" s="72"/>
      <c r="H164" s="72"/>
      <c r="AK164" s="312">
        <f>AH90+AH92+AH95+AH96+AH97</f>
        <v>-85.406967890264951</v>
      </c>
    </row>
    <row r="165" spans="1:37" x14ac:dyDescent="0.25">
      <c r="A165" s="72"/>
      <c r="B165" s="72"/>
      <c r="C165" s="72"/>
      <c r="D165" s="72"/>
      <c r="E165" s="72"/>
      <c r="F165" s="72"/>
      <c r="G165" s="72"/>
      <c r="H165" s="72"/>
    </row>
    <row r="166" spans="1:37" x14ac:dyDescent="0.25">
      <c r="A166" s="72"/>
      <c r="B166" s="72"/>
      <c r="C166" s="72"/>
      <c r="D166" s="72"/>
      <c r="E166" s="72"/>
      <c r="F166" s="72"/>
      <c r="G166" s="72"/>
      <c r="H166" s="72"/>
    </row>
    <row r="167" spans="1:37" x14ac:dyDescent="0.25">
      <c r="A167" s="72"/>
      <c r="B167" s="72"/>
      <c r="C167" s="72"/>
      <c r="D167" s="72"/>
      <c r="E167" s="72"/>
      <c r="F167" s="72"/>
      <c r="G167" s="72"/>
      <c r="H167" s="72"/>
    </row>
    <row r="168" spans="1:37" x14ac:dyDescent="0.25">
      <c r="A168" s="72"/>
      <c r="B168" s="72"/>
      <c r="C168" s="72"/>
      <c r="D168" s="72"/>
      <c r="E168" s="72"/>
      <c r="F168" s="72"/>
      <c r="G168" s="72"/>
      <c r="H168" s="72"/>
    </row>
    <row r="169" spans="1:37" x14ac:dyDescent="0.25">
      <c r="A169" s="72"/>
      <c r="B169" s="72"/>
      <c r="C169" s="72"/>
      <c r="D169" s="72"/>
      <c r="E169" s="72"/>
      <c r="F169" s="72"/>
      <c r="G169" s="72"/>
      <c r="H169" s="72"/>
    </row>
    <row r="170" spans="1:37" x14ac:dyDescent="0.25">
      <c r="A170" s="72"/>
      <c r="B170" s="72"/>
      <c r="C170" s="72"/>
      <c r="D170" s="72"/>
      <c r="E170" s="72"/>
      <c r="F170" s="72"/>
      <c r="G170" s="72"/>
      <c r="H170" s="72"/>
    </row>
    <row r="171" spans="1:37" x14ac:dyDescent="0.25">
      <c r="A171" s="72"/>
      <c r="B171" s="72"/>
      <c r="C171" s="72"/>
      <c r="D171" s="72"/>
      <c r="E171" s="72"/>
      <c r="F171" s="72"/>
      <c r="G171" s="72"/>
      <c r="H171" s="72"/>
    </row>
    <row r="172" spans="1:37" x14ac:dyDescent="0.25">
      <c r="A172" s="72"/>
      <c r="B172" s="72"/>
      <c r="C172" s="72"/>
      <c r="D172" s="72"/>
      <c r="E172" s="72"/>
      <c r="F172" s="72"/>
      <c r="G172" s="72"/>
      <c r="H172" s="72"/>
    </row>
    <row r="173" spans="1:37" x14ac:dyDescent="0.25">
      <c r="A173" s="72"/>
      <c r="B173" s="72"/>
      <c r="C173" s="72"/>
      <c r="D173" s="72"/>
      <c r="E173" s="72"/>
      <c r="F173" s="72"/>
      <c r="G173" s="72"/>
      <c r="H173" s="72"/>
    </row>
    <row r="174" spans="1:37" x14ac:dyDescent="0.25">
      <c r="A174" s="72"/>
      <c r="B174" s="72"/>
      <c r="C174" s="72"/>
      <c r="D174" s="72"/>
      <c r="E174" s="72"/>
      <c r="F174" s="72"/>
      <c r="G174" s="72"/>
      <c r="H174" s="72"/>
    </row>
    <row r="175" spans="1:37" x14ac:dyDescent="0.25">
      <c r="A175" s="72"/>
      <c r="B175" s="72"/>
      <c r="C175" s="72"/>
      <c r="D175" s="72"/>
      <c r="E175" s="72"/>
      <c r="F175" s="72"/>
      <c r="G175" s="72"/>
      <c r="H175" s="72"/>
    </row>
    <row r="176" spans="1:37" x14ac:dyDescent="0.25">
      <c r="A176" s="72"/>
      <c r="B176" s="72"/>
      <c r="C176" s="72"/>
      <c r="D176" s="72"/>
      <c r="E176" s="72"/>
      <c r="F176" s="72"/>
      <c r="G176" s="72"/>
      <c r="H176" s="72"/>
    </row>
    <row r="177" spans="1:39" x14ac:dyDescent="0.25">
      <c r="A177" s="72"/>
      <c r="B177" s="72"/>
      <c r="C177" s="72"/>
      <c r="D177" s="72"/>
      <c r="E177" s="72"/>
      <c r="F177" s="72"/>
      <c r="G177" s="72"/>
      <c r="H177" s="72"/>
    </row>
    <row r="178" spans="1:39" x14ac:dyDescent="0.25">
      <c r="A178" s="72"/>
      <c r="B178" s="72"/>
      <c r="C178" s="72"/>
      <c r="D178" s="72"/>
      <c r="E178" s="72"/>
      <c r="F178" s="72"/>
      <c r="G178" s="72"/>
      <c r="H178" s="72"/>
      <c r="AK178" s="72"/>
    </row>
    <row r="179" spans="1:39" x14ac:dyDescent="0.25">
      <c r="A179" s="72"/>
      <c r="B179" s="72"/>
      <c r="C179" s="72"/>
      <c r="D179" s="72"/>
      <c r="E179" s="72"/>
      <c r="F179" s="72"/>
      <c r="G179" s="72"/>
      <c r="H179" s="72"/>
      <c r="AK179" s="72"/>
    </row>
    <row r="180" spans="1:39" x14ac:dyDescent="0.25">
      <c r="A180" s="72"/>
      <c r="B180" s="72"/>
      <c r="C180" s="72"/>
      <c r="D180" s="72"/>
      <c r="E180" s="72"/>
      <c r="F180" s="72"/>
      <c r="G180" s="72"/>
      <c r="H180" s="72"/>
      <c r="AK180" s="72"/>
    </row>
    <row r="181" spans="1:39" x14ac:dyDescent="0.25">
      <c r="A181" s="72"/>
      <c r="B181" s="72"/>
      <c r="C181" s="72"/>
      <c r="D181" s="72"/>
      <c r="E181" s="72"/>
      <c r="F181" s="72"/>
      <c r="G181" s="72"/>
      <c r="H181" s="72"/>
      <c r="AK181" s="72"/>
    </row>
    <row r="182" spans="1:39" x14ac:dyDescent="0.25">
      <c r="AK182" s="72"/>
    </row>
    <row r="183" spans="1:39" x14ac:dyDescent="0.25">
      <c r="A183" s="72"/>
      <c r="B183" s="72"/>
      <c r="C183" s="72"/>
      <c r="D183" s="72"/>
      <c r="E183" s="72"/>
      <c r="F183" s="72"/>
      <c r="G183" s="72"/>
      <c r="H183" s="72"/>
      <c r="AK183" s="72"/>
    </row>
    <row r="184" spans="1:39" x14ac:dyDescent="0.25">
      <c r="A184" s="72"/>
      <c r="B184" s="72"/>
      <c r="C184" s="72"/>
      <c r="D184" s="72"/>
      <c r="E184" s="72"/>
      <c r="F184" s="72"/>
      <c r="G184" s="72"/>
      <c r="H184" s="72"/>
      <c r="AJ184" s="347"/>
      <c r="AK184" s="72"/>
    </row>
    <row r="185" spans="1:39" x14ac:dyDescent="0.25">
      <c r="A185" s="72"/>
      <c r="B185" s="72"/>
      <c r="C185" s="72"/>
      <c r="D185" s="72"/>
      <c r="E185" s="72"/>
      <c r="F185" s="72"/>
      <c r="G185" s="209">
        <f>G71/3</f>
        <v>900</v>
      </c>
      <c r="H185" s="72" t="s">
        <v>242</v>
      </c>
      <c r="N185" s="218">
        <f>N71+Q71+R71+Q71</f>
        <v>340</v>
      </c>
      <c r="AJ185" s="299"/>
      <c r="AK185" s="72"/>
      <c r="AL185" s="72"/>
      <c r="AM185" s="72"/>
    </row>
    <row r="186" spans="1:39" s="72" customFormat="1" x14ac:dyDescent="0.25">
      <c r="G186" s="209">
        <f>G185</f>
        <v>900</v>
      </c>
      <c r="H186" s="72" t="s">
        <v>243</v>
      </c>
      <c r="I186" s="68"/>
      <c r="J186" s="13"/>
      <c r="K186"/>
      <c r="L186"/>
      <c r="M186"/>
      <c r="N186" s="218">
        <f>N185*3</f>
        <v>1020</v>
      </c>
      <c r="O186"/>
      <c r="P186"/>
      <c r="Q186" s="13"/>
      <c r="R186" s="13"/>
      <c r="S186"/>
      <c r="T186"/>
      <c r="U186"/>
      <c r="V186" s="13"/>
      <c r="W186" s="13"/>
      <c r="X186" s="13"/>
      <c r="Y186"/>
      <c r="Z186"/>
      <c r="AA186"/>
      <c r="AB186"/>
      <c r="AC186"/>
      <c r="AD186"/>
      <c r="AE186"/>
      <c r="AF186"/>
      <c r="AG186"/>
      <c r="AH186"/>
      <c r="AI186"/>
      <c r="AJ186" s="299"/>
    </row>
    <row r="187" spans="1:39" x14ac:dyDescent="0.25">
      <c r="A187" s="72"/>
      <c r="B187" s="72"/>
      <c r="C187" s="72"/>
      <c r="D187" s="72"/>
      <c r="E187" s="72"/>
      <c r="F187" s="72"/>
      <c r="G187" s="209">
        <f>G71*20/100</f>
        <v>540</v>
      </c>
      <c r="H187" s="72" t="s">
        <v>244</v>
      </c>
      <c r="AJ187" s="299"/>
      <c r="AK187" s="72"/>
      <c r="AL187" s="72"/>
      <c r="AM187" s="72"/>
    </row>
    <row r="188" spans="1:39" x14ac:dyDescent="0.25">
      <c r="A188" s="72"/>
      <c r="B188" s="72"/>
      <c r="C188" s="72"/>
      <c r="D188" s="72"/>
      <c r="E188" s="72"/>
      <c r="F188" s="72"/>
      <c r="G188" s="209">
        <f>G71-G185-G186-G187</f>
        <v>360</v>
      </c>
      <c r="H188" s="288" t="s">
        <v>245</v>
      </c>
      <c r="AJ188" s="299"/>
      <c r="AK188" s="72"/>
      <c r="AL188" s="72"/>
      <c r="AM188" s="72"/>
    </row>
    <row r="189" spans="1:39" x14ac:dyDescent="0.25">
      <c r="A189" s="72"/>
      <c r="B189" s="72"/>
      <c r="C189" s="72"/>
      <c r="D189" s="72"/>
      <c r="E189" s="72"/>
      <c r="F189" s="72"/>
      <c r="G189" s="72"/>
      <c r="H189" s="72"/>
      <c r="AJ189" s="299"/>
      <c r="AK189" s="72"/>
      <c r="AL189" s="72"/>
      <c r="AM189" s="72"/>
    </row>
    <row r="190" spans="1:39" x14ac:dyDescent="0.25">
      <c r="A190" s="72"/>
      <c r="B190" s="72"/>
      <c r="C190" s="72"/>
      <c r="D190" s="72"/>
      <c r="E190" s="72"/>
      <c r="F190" s="72"/>
      <c r="G190" s="72"/>
      <c r="H190" s="72"/>
      <c r="AJ190" s="299"/>
      <c r="AK190" s="72"/>
      <c r="AL190" s="72"/>
      <c r="AM190" s="72"/>
    </row>
    <row r="191" spans="1:39" x14ac:dyDescent="0.25">
      <c r="A191" s="72"/>
      <c r="B191" s="72"/>
      <c r="C191" s="72"/>
      <c r="D191" s="72"/>
      <c r="E191" s="72"/>
      <c r="F191" s="72"/>
      <c r="G191" s="72"/>
      <c r="H191" s="72"/>
      <c r="AJ191" s="299"/>
      <c r="AK191" s="72"/>
      <c r="AL191" s="72"/>
      <c r="AM191" s="72"/>
    </row>
    <row r="192" spans="1:39" x14ac:dyDescent="0.25">
      <c r="A192" s="72"/>
      <c r="B192" s="72"/>
      <c r="C192" s="72"/>
      <c r="D192" s="72"/>
      <c r="E192" s="72"/>
      <c r="F192" s="72"/>
      <c r="G192" s="72"/>
      <c r="H192" s="72"/>
      <c r="AJ192" s="299"/>
      <c r="AK192" s="72"/>
      <c r="AL192" s="72"/>
      <c r="AM192" s="72"/>
    </row>
    <row r="193" spans="1:40" s="135" customFormat="1" x14ac:dyDescent="0.25">
      <c r="A193" s="72"/>
      <c r="B193" s="72"/>
      <c r="C193" s="72"/>
      <c r="D193" s="72"/>
      <c r="E193" s="72"/>
      <c r="F193" s="72"/>
      <c r="G193" s="72"/>
      <c r="H193" s="72"/>
      <c r="I193" s="68"/>
      <c r="J193" s="13"/>
      <c r="K193"/>
      <c r="L193"/>
      <c r="M193"/>
      <c r="N193" s="13"/>
      <c r="O193"/>
      <c r="P193"/>
      <c r="Q193" s="13"/>
      <c r="R193" s="13"/>
      <c r="S193"/>
      <c r="T193"/>
      <c r="U193"/>
      <c r="V193" s="13"/>
      <c r="W193" s="13"/>
      <c r="X193" s="13"/>
      <c r="Y193"/>
      <c r="Z193"/>
      <c r="AA193"/>
      <c r="AB193"/>
      <c r="AC193"/>
      <c r="AD193"/>
      <c r="AE193"/>
      <c r="AF193"/>
      <c r="AG193"/>
      <c r="AH193"/>
      <c r="AI193"/>
      <c r="AJ193" s="299"/>
      <c r="AK193" s="72"/>
      <c r="AL193" s="72"/>
      <c r="AM193" s="72"/>
      <c r="AN193" s="72"/>
    </row>
    <row r="194" spans="1:40" s="135" customFormat="1" x14ac:dyDescent="0.25">
      <c r="A194" s="72"/>
      <c r="B194" s="72"/>
      <c r="C194" s="72"/>
      <c r="D194" s="72"/>
      <c r="E194" s="72"/>
      <c r="F194" s="72"/>
      <c r="G194" s="72"/>
      <c r="H194" s="72"/>
      <c r="I194" s="68"/>
      <c r="J194" s="13"/>
      <c r="K194"/>
      <c r="L194"/>
      <c r="M194"/>
      <c r="N194" s="13"/>
      <c r="O194"/>
      <c r="P194"/>
      <c r="Q194" s="13"/>
      <c r="R194" s="13"/>
      <c r="S194"/>
      <c r="T194"/>
      <c r="U194"/>
      <c r="V194" s="13"/>
      <c r="W194" s="13"/>
      <c r="X194" s="13"/>
      <c r="Y194"/>
      <c r="Z194"/>
      <c r="AA194"/>
      <c r="AB194"/>
      <c r="AC194"/>
      <c r="AD194"/>
      <c r="AE194"/>
      <c r="AF194"/>
      <c r="AG194"/>
      <c r="AH194"/>
      <c r="AI194"/>
      <c r="AJ194" s="299"/>
      <c r="AK194" s="72"/>
      <c r="AL194" s="72"/>
      <c r="AM194" s="72"/>
    </row>
    <row r="195" spans="1:40" x14ac:dyDescent="0.25">
      <c r="A195" s="72"/>
      <c r="B195" s="72"/>
      <c r="C195" s="72"/>
      <c r="D195" s="72"/>
      <c r="E195" s="72"/>
      <c r="F195" s="72"/>
      <c r="G195" s="72"/>
      <c r="H195" s="72"/>
      <c r="AJ195" s="299"/>
      <c r="AK195" s="72"/>
      <c r="AL195" s="72"/>
      <c r="AM195" s="72"/>
    </row>
    <row r="196" spans="1:40" x14ac:dyDescent="0.25">
      <c r="A196" s="72"/>
      <c r="B196" s="72"/>
      <c r="C196" s="72"/>
      <c r="D196" s="72"/>
      <c r="E196" s="72"/>
      <c r="F196" s="72"/>
      <c r="G196" s="72"/>
      <c r="H196" s="72"/>
      <c r="AJ196" s="299"/>
      <c r="AK196" s="72"/>
      <c r="AL196" s="72"/>
      <c r="AM196" s="72"/>
    </row>
    <row r="197" spans="1:40" x14ac:dyDescent="0.25">
      <c r="A197" s="72"/>
      <c r="B197" s="72"/>
      <c r="C197" s="72"/>
      <c r="D197" s="72"/>
      <c r="E197" s="72"/>
      <c r="F197" s="72"/>
      <c r="G197" s="72"/>
      <c r="H197" s="72"/>
    </row>
    <row r="198" spans="1:40" x14ac:dyDescent="0.25">
      <c r="A198" s="72"/>
      <c r="B198" s="72"/>
      <c r="C198" s="72"/>
      <c r="D198" s="72"/>
      <c r="E198" s="72"/>
      <c r="F198" s="72"/>
      <c r="G198" s="72"/>
      <c r="H198" s="72"/>
    </row>
    <row r="199" spans="1:40" x14ac:dyDescent="0.25">
      <c r="A199" s="72"/>
      <c r="B199" s="72"/>
      <c r="C199" s="72"/>
      <c r="D199" s="72"/>
      <c r="E199" s="72"/>
      <c r="F199" s="72"/>
      <c r="G199" s="72"/>
      <c r="H199" s="72"/>
      <c r="AJ199" s="299"/>
      <c r="AK199" s="72"/>
      <c r="AL199" s="72"/>
      <c r="AM199" s="72"/>
    </row>
    <row r="200" spans="1:40" x14ac:dyDescent="0.25">
      <c r="A200" s="72"/>
      <c r="B200" s="72"/>
      <c r="C200" s="72"/>
      <c r="D200" s="72"/>
      <c r="E200" s="72"/>
      <c r="F200" s="72"/>
      <c r="G200" s="72"/>
      <c r="H200" s="72"/>
      <c r="AJ200" s="299"/>
      <c r="AK200" s="72"/>
      <c r="AL200" s="72"/>
      <c r="AM200" s="72"/>
    </row>
    <row r="201" spans="1:40" x14ac:dyDescent="0.25">
      <c r="D201" s="72"/>
      <c r="E201" s="72"/>
      <c r="F201" s="72"/>
      <c r="G201" s="72"/>
      <c r="H201" s="72"/>
      <c r="AJ201" s="299"/>
      <c r="AK201" s="72"/>
      <c r="AL201" s="72"/>
      <c r="AM201" s="72"/>
    </row>
    <row r="202" spans="1:40" x14ac:dyDescent="0.25">
      <c r="D202" s="72"/>
      <c r="E202" s="72"/>
      <c r="F202" s="72"/>
      <c r="G202" s="72"/>
      <c r="H202" s="72"/>
      <c r="AJ202" s="299"/>
      <c r="AK202" s="72"/>
      <c r="AL202" s="72"/>
      <c r="AM202" s="72"/>
    </row>
    <row r="203" spans="1:40" x14ac:dyDescent="0.25">
      <c r="D203" s="72"/>
      <c r="I203" s="274"/>
      <c r="J203" s="94"/>
      <c r="K203" s="94"/>
      <c r="L203" s="94"/>
      <c r="M203" s="94"/>
      <c r="N203" s="272"/>
      <c r="O203" s="94"/>
      <c r="P203" s="94"/>
      <c r="Q203" s="272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299"/>
      <c r="AK203" s="72"/>
      <c r="AL203" s="72"/>
      <c r="AM203" s="72"/>
    </row>
    <row r="204" spans="1:40" x14ac:dyDescent="0.25">
      <c r="Y204" s="218"/>
      <c r="Z204" s="218"/>
      <c r="AA204" s="218"/>
      <c r="AB204" s="207"/>
      <c r="AC204" s="208"/>
      <c r="AD204" s="208"/>
      <c r="AE204" s="207"/>
      <c r="AF204" s="207"/>
      <c r="AG204" s="207"/>
      <c r="AH204" s="207"/>
      <c r="AI204" s="207"/>
      <c r="AJ204" s="299"/>
      <c r="AK204" s="72"/>
      <c r="AL204" s="72"/>
      <c r="AM204" s="72"/>
    </row>
    <row r="223" spans="25:37" x14ac:dyDescent="0.25"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K223" s="72"/>
    </row>
    <row r="224" spans="25:37" x14ac:dyDescent="0.25">
      <c r="AK224" s="72"/>
    </row>
    <row r="225" spans="1:37" x14ac:dyDescent="0.25">
      <c r="A225" s="72"/>
      <c r="B225" s="72"/>
      <c r="C225" s="72"/>
      <c r="D225" s="72"/>
      <c r="E225" s="72"/>
      <c r="F225" s="72"/>
      <c r="G225" s="72"/>
      <c r="H225" s="72"/>
      <c r="I225" s="209"/>
      <c r="J225" s="129"/>
      <c r="K225" s="72"/>
      <c r="L225" s="72"/>
      <c r="M225" s="72"/>
      <c r="N225" s="129"/>
      <c r="O225" s="72"/>
      <c r="P225" s="72"/>
      <c r="Q225" s="178"/>
      <c r="R225" s="129"/>
      <c r="S225" s="209"/>
      <c r="T225" s="72"/>
      <c r="U225" s="72"/>
      <c r="V225" s="129"/>
      <c r="W225" s="129"/>
      <c r="X225" s="129"/>
      <c r="AK225" s="72"/>
    </row>
    <row r="226" spans="1:37" x14ac:dyDescent="0.25">
      <c r="Q226" s="218"/>
      <c r="AK226" s="72"/>
    </row>
    <row r="227" spans="1:37" x14ac:dyDescent="0.25">
      <c r="Q227" s="218"/>
      <c r="AK227" s="72"/>
    </row>
    <row r="228" spans="1:37" x14ac:dyDescent="0.25">
      <c r="Q228" s="218"/>
      <c r="AK228" s="72"/>
    </row>
    <row r="229" spans="1:37" x14ac:dyDescent="0.25">
      <c r="Q229" s="218"/>
      <c r="AK229" s="72"/>
    </row>
    <row r="230" spans="1:37" x14ac:dyDescent="0.25">
      <c r="Q230" s="218"/>
      <c r="AK230" s="72"/>
    </row>
    <row r="231" spans="1:37" x14ac:dyDescent="0.25">
      <c r="AK231" s="72"/>
    </row>
    <row r="232" spans="1:37" x14ac:dyDescent="0.25">
      <c r="AK232" s="72"/>
    </row>
    <row r="233" spans="1:37" x14ac:dyDescent="0.25">
      <c r="AK233" s="72"/>
    </row>
    <row r="234" spans="1:37" x14ac:dyDescent="0.25">
      <c r="AK234" s="72"/>
    </row>
    <row r="235" spans="1:37" x14ac:dyDescent="0.25">
      <c r="AK235" s="72"/>
    </row>
    <row r="236" spans="1:37" x14ac:dyDescent="0.25">
      <c r="AK236" s="72"/>
    </row>
    <row r="237" spans="1:37" x14ac:dyDescent="0.25">
      <c r="AK237" s="72"/>
    </row>
    <row r="238" spans="1:37" x14ac:dyDescent="0.25">
      <c r="AK238" s="72"/>
    </row>
    <row r="239" spans="1:37" x14ac:dyDescent="0.25">
      <c r="AK239" s="72"/>
    </row>
    <row r="240" spans="1:37" x14ac:dyDescent="0.25">
      <c r="AK240" s="72"/>
    </row>
    <row r="241" spans="1:40" x14ac:dyDescent="0.25">
      <c r="AK241" s="72"/>
    </row>
    <row r="242" spans="1:40" x14ac:dyDescent="0.25">
      <c r="AK242" s="72"/>
    </row>
    <row r="243" spans="1:40" x14ac:dyDescent="0.25">
      <c r="AK243" s="72"/>
    </row>
    <row r="244" spans="1:40" x14ac:dyDescent="0.25">
      <c r="AK244" s="72"/>
    </row>
    <row r="245" spans="1:40" x14ac:dyDescent="0.25">
      <c r="AK245" s="72"/>
    </row>
    <row r="246" spans="1:40" x14ac:dyDescent="0.25">
      <c r="AK246" s="72"/>
    </row>
    <row r="247" spans="1:40" x14ac:dyDescent="0.25">
      <c r="AK247" s="72"/>
    </row>
    <row r="250" spans="1:40" s="94" customFormat="1" x14ac:dyDescent="0.25">
      <c r="A250"/>
      <c r="B250"/>
      <c r="C250"/>
      <c r="D250"/>
      <c r="E250"/>
      <c r="F250"/>
      <c r="G250"/>
      <c r="H250"/>
      <c r="I250" s="68"/>
      <c r="J250" s="13"/>
      <c r="K250"/>
      <c r="L250"/>
      <c r="M250"/>
      <c r="N250" s="13"/>
      <c r="O250"/>
      <c r="P250"/>
      <c r="Q250" s="13"/>
      <c r="R250" s="13"/>
      <c r="S250"/>
      <c r="T250"/>
      <c r="U250"/>
      <c r="V250" s="13"/>
      <c r="W250" s="13"/>
      <c r="X250" s="13"/>
      <c r="Y250"/>
      <c r="Z250"/>
      <c r="AA250"/>
      <c r="AB250"/>
      <c r="AC250"/>
      <c r="AD250"/>
      <c r="AE250"/>
      <c r="AF250"/>
      <c r="AG250"/>
      <c r="AH250"/>
      <c r="AI250"/>
      <c r="AJ250" s="349"/>
      <c r="AK250" s="207"/>
      <c r="AL250" s="207"/>
      <c r="AM250" s="207"/>
      <c r="AN250" s="207"/>
    </row>
    <row r="251" spans="1:40" s="94" customFormat="1" x14ac:dyDescent="0.25">
      <c r="A251"/>
      <c r="B251"/>
      <c r="C251"/>
      <c r="D251"/>
      <c r="E251"/>
      <c r="F251"/>
      <c r="G251"/>
      <c r="H251"/>
      <c r="I251" s="68"/>
      <c r="J251" s="13"/>
      <c r="K251"/>
      <c r="L251"/>
      <c r="M251"/>
      <c r="N251" s="13"/>
      <c r="O251"/>
      <c r="P251"/>
      <c r="Q251" s="13"/>
      <c r="R251" s="13"/>
      <c r="S251"/>
      <c r="T251"/>
      <c r="U251"/>
      <c r="V251" s="13"/>
      <c r="W251" s="13"/>
      <c r="X251" s="13"/>
      <c r="Y251"/>
      <c r="Z251"/>
      <c r="AA251"/>
      <c r="AB251"/>
      <c r="AC251"/>
      <c r="AD251"/>
      <c r="AE251"/>
      <c r="AF251"/>
      <c r="AG251"/>
      <c r="AH251"/>
      <c r="AI251"/>
      <c r="AJ251" s="347"/>
      <c r="AK251" s="207"/>
      <c r="AL251" s="207"/>
      <c r="AM251" s="207"/>
      <c r="AN251" s="207"/>
    </row>
    <row r="252" spans="1:40" x14ac:dyDescent="0.25">
      <c r="AJ252" s="299"/>
      <c r="AK252" s="72"/>
    </row>
    <row r="253" spans="1:40" x14ac:dyDescent="0.25">
      <c r="AJ253" s="299"/>
      <c r="AK253" s="72"/>
    </row>
    <row r="256" spans="1:40" x14ac:dyDescent="0.25">
      <c r="AJ256" s="299"/>
      <c r="AK256" s="72"/>
      <c r="AL256" s="72"/>
      <c r="AM256" s="72"/>
    </row>
    <row r="258" spans="1:40" s="135" customFormat="1" x14ac:dyDescent="0.25">
      <c r="A258"/>
      <c r="B258"/>
      <c r="C258"/>
      <c r="D258"/>
      <c r="E258"/>
      <c r="F258"/>
      <c r="G258"/>
      <c r="H258"/>
      <c r="I258" s="68"/>
      <c r="J258" s="13"/>
      <c r="K258"/>
      <c r="L258"/>
      <c r="M258"/>
      <c r="N258" s="13"/>
      <c r="O258"/>
      <c r="P258"/>
      <c r="Q258" s="13"/>
      <c r="R258" s="13"/>
      <c r="S258"/>
      <c r="T258"/>
      <c r="U258"/>
      <c r="V258" s="13"/>
      <c r="W258" s="13"/>
      <c r="X258" s="13"/>
      <c r="Y258"/>
      <c r="Z258"/>
      <c r="AA258"/>
      <c r="AB258"/>
      <c r="AC258"/>
      <c r="AD258"/>
      <c r="AE258"/>
      <c r="AF258"/>
      <c r="AG258"/>
      <c r="AH258"/>
      <c r="AI258"/>
      <c r="AJ258" s="299"/>
      <c r="AK258" s="72"/>
      <c r="AL258" s="72"/>
      <c r="AM258" s="72"/>
      <c r="AN258" s="72"/>
    </row>
    <row r="261" spans="1:40" x14ac:dyDescent="0.25">
      <c r="AJ261" s="299"/>
      <c r="AK261" s="72"/>
      <c r="AL261" s="72"/>
      <c r="AM261" s="72"/>
    </row>
    <row r="266" spans="1:40" x14ac:dyDescent="0.25">
      <c r="AJ266" s="299"/>
      <c r="AK266" s="72"/>
    </row>
    <row r="267" spans="1:40" x14ac:dyDescent="0.25">
      <c r="AJ267" s="299"/>
      <c r="AK267" s="72"/>
    </row>
    <row r="270" spans="1:40" x14ac:dyDescent="0.25">
      <c r="AJ270" s="299"/>
      <c r="AK270" s="72"/>
      <c r="AL270" s="72"/>
      <c r="AM270" s="72"/>
    </row>
  </sheetData>
  <hyperlinks>
    <hyperlink ref="A1" r:id="rId1" xr:uid="{25C61A8D-EBE3-4998-865B-9A0F4911E64C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RECEITAS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2024-11-01T13:08:57Z</dcterms:created>
  <dcterms:modified xsi:type="dcterms:W3CDTF">2025-04-04T21:38:03Z</dcterms:modified>
</cp:coreProperties>
</file>