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INANCEIRO\3 - MARÇO\"/>
    </mc:Choice>
  </mc:AlternateContent>
  <xr:revisionPtr revIDLastSave="0" documentId="13_ncr:1_{349EC3BB-5936-4D50-9695-27664365E5E8}" xr6:coauthVersionLast="47" xr6:coauthVersionMax="47" xr10:uidLastSave="{00000000-0000-0000-0000-000000000000}"/>
  <bookViews>
    <workbookView xWindow="-120" yWindow="-120" windowWidth="15600" windowHeight="11160" firstSheet="1" activeTab="2" xr2:uid="{1BC67D01-F85B-44E0-B9BF-B02E6264FA1A}"/>
  </bookViews>
  <sheets>
    <sheet name="RECEITAS JANEIRO" sheetId="1" r:id="rId1"/>
    <sheet name="RECEITAS FEVEREIRO" sheetId="2" r:id="rId2"/>
    <sheet name="RECEITAS MARÇ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X31" i="3"/>
  <c r="W31" i="3"/>
  <c r="W30" i="3"/>
  <c r="W29" i="3"/>
  <c r="W28" i="3"/>
  <c r="I27" i="2"/>
  <c r="T27" i="3" l="1"/>
  <c r="Q27" i="3"/>
  <c r="S27" i="3" s="1"/>
  <c r="Y26" i="3"/>
  <c r="X26" i="3"/>
  <c r="W26" i="3"/>
  <c r="J26" i="3"/>
  <c r="W25" i="3"/>
  <c r="F40" i="3"/>
  <c r="G41" i="3" s="1"/>
  <c r="F42" i="3" l="1"/>
  <c r="F44" i="3" s="1"/>
  <c r="W23" i="3"/>
  <c r="F43" i="3" l="1"/>
  <c r="G42" i="3"/>
  <c r="H42" i="3" s="1"/>
  <c r="J22" i="3"/>
  <c r="W22" i="3"/>
  <c r="Q51" i="3"/>
  <c r="T34" i="3" l="1"/>
  <c r="Y10" i="3"/>
  <c r="W10" i="3"/>
  <c r="T10" i="3"/>
  <c r="W18" i="3"/>
  <c r="T18" i="3"/>
  <c r="H18" i="3"/>
  <c r="G16" i="3"/>
  <c r="T16" i="3"/>
  <c r="Y15" i="3"/>
  <c r="Y16" i="3" s="1"/>
  <c r="Y18" i="3" s="1"/>
  <c r="W15" i="3"/>
  <c r="W21" i="3"/>
  <c r="W13" i="3"/>
  <c r="T13" i="3"/>
  <c r="J13" i="3"/>
  <c r="W9" i="3"/>
  <c r="W11" i="3"/>
  <c r="W8" i="3"/>
  <c r="J8" i="3"/>
  <c r="J18" i="3" s="1"/>
  <c r="T8" i="3"/>
  <c r="W20" i="3"/>
  <c r="T20" i="3"/>
  <c r="J16" i="3" l="1"/>
  <c r="G18" i="3"/>
  <c r="G33" i="3" s="1"/>
  <c r="Y28" i="3"/>
  <c r="Y11" i="3"/>
  <c r="T2" i="3"/>
  <c r="Q2" i="3"/>
  <c r="O2" i="3"/>
  <c r="L2" i="3"/>
  <c r="Q34" i="3"/>
  <c r="N53" i="3" s="1"/>
  <c r="Y3" i="3"/>
  <c r="O3" i="3"/>
  <c r="T3" i="3"/>
  <c r="Y6" i="3"/>
  <c r="Y20" i="3" s="1"/>
  <c r="Y22" i="3" s="1"/>
  <c r="L6" i="3"/>
  <c r="Y4" i="3"/>
  <c r="J4" i="3"/>
  <c r="J3" i="3" s="1"/>
  <c r="H4" i="3"/>
  <c r="H16" i="3" s="1"/>
  <c r="T4" i="3"/>
  <c r="X7" i="3"/>
  <c r="J7" i="3"/>
  <c r="T7" i="3"/>
  <c r="T5" i="3"/>
  <c r="W5" i="3"/>
  <c r="Q70" i="3"/>
  <c r="O70" i="3"/>
  <c r="P68" i="3"/>
  <c r="O68" i="3"/>
  <c r="O69" i="3" s="1"/>
  <c r="L68" i="3"/>
  <c r="O67" i="3"/>
  <c r="T67" i="3" s="1"/>
  <c r="E67" i="3"/>
  <c r="T66" i="3"/>
  <c r="T68" i="3" s="1"/>
  <c r="T70" i="3" s="1"/>
  <c r="T57" i="3"/>
  <c r="V52" i="3"/>
  <c r="U52" i="3"/>
  <c r="P50" i="3"/>
  <c r="S50" i="3" s="1"/>
  <c r="O25" i="3"/>
  <c r="T25" i="3" s="1"/>
  <c r="L25" i="3"/>
  <c r="J25" i="3"/>
  <c r="J27" i="3" s="1"/>
  <c r="T30" i="3"/>
  <c r="O30" i="3"/>
  <c r="L40" i="3" s="1"/>
  <c r="W24" i="3"/>
  <c r="O24" i="3"/>
  <c r="M24" i="3"/>
  <c r="L24" i="3"/>
  <c r="W60" i="3"/>
  <c r="T60" i="3"/>
  <c r="Y72" i="3"/>
  <c r="T72" i="3"/>
  <c r="E72" i="3"/>
  <c r="T9" i="3"/>
  <c r="T11" i="3"/>
  <c r="W14" i="3"/>
  <c r="G27" i="2"/>
  <c r="O22" i="2"/>
  <c r="L22" i="2"/>
  <c r="Q22" i="2"/>
  <c r="U28" i="2"/>
  <c r="W25" i="2"/>
  <c r="J25" i="2"/>
  <c r="L21" i="2"/>
  <c r="Y22" i="2"/>
  <c r="X22" i="2"/>
  <c r="T22" i="2"/>
  <c r="W24" i="2"/>
  <c r="O23" i="2"/>
  <c r="L23" i="2"/>
  <c r="Y24" i="2"/>
  <c r="V24" i="2"/>
  <c r="E24" i="2"/>
  <c r="E12" i="2"/>
  <c r="L11" i="2"/>
  <c r="O16" i="2"/>
  <c r="O17" i="2" s="1"/>
  <c r="N35" i="2" s="1"/>
  <c r="L16" i="2"/>
  <c r="L17" i="2" s="1"/>
  <c r="L35" i="2" s="1"/>
  <c r="W20" i="2"/>
  <c r="L20" i="2"/>
  <c r="T20" i="2"/>
  <c r="O20" i="2"/>
  <c r="Q23" i="2"/>
  <c r="H23" i="2"/>
  <c r="H22" i="2" s="1"/>
  <c r="Y23" i="2"/>
  <c r="X23" i="2"/>
  <c r="T23" i="2"/>
  <c r="O21" i="2"/>
  <c r="T21" i="2"/>
  <c r="Q21" i="2"/>
  <c r="S21" i="2" s="1"/>
  <c r="L31" i="3" l="1"/>
  <c r="O31" i="3"/>
  <c r="T31" i="3" s="1"/>
  <c r="W33" i="3"/>
  <c r="Q31" i="3"/>
  <c r="S31" i="3" s="1"/>
  <c r="W16" i="3"/>
  <c r="O29" i="3"/>
  <c r="T29" i="3" s="1"/>
  <c r="O27" i="3"/>
  <c r="L45" i="3" s="1"/>
  <c r="Q28" i="3"/>
  <c r="Q29" i="3"/>
  <c r="S29" i="3" s="1"/>
  <c r="Y23" i="3"/>
  <c r="Y29" i="3"/>
  <c r="Y31" i="3" s="1"/>
  <c r="Y27" i="3"/>
  <c r="L27" i="3"/>
  <c r="L29" i="3"/>
  <c r="G63" i="3"/>
  <c r="L3" i="3"/>
  <c r="L28" i="3"/>
  <c r="L26" i="3"/>
  <c r="Q26" i="3" s="1"/>
  <c r="O28" i="3"/>
  <c r="T28" i="3" s="1"/>
  <c r="O26" i="3"/>
  <c r="T26" i="3" s="1"/>
  <c r="T24" i="3"/>
  <c r="O22" i="3"/>
  <c r="T22" i="3" s="1"/>
  <c r="Q22" i="3"/>
  <c r="L22" i="3"/>
  <c r="X21" i="3"/>
  <c r="X10" i="3"/>
  <c r="L10" i="3"/>
  <c r="O16" i="3"/>
  <c r="O10" i="3"/>
  <c r="Q16" i="3"/>
  <c r="Q18" i="3" s="1"/>
  <c r="Q10" i="3"/>
  <c r="S10" i="3" s="1"/>
  <c r="Y9" i="3"/>
  <c r="L15" i="3"/>
  <c r="L16" i="3"/>
  <c r="O21" i="3"/>
  <c r="O23" i="3" s="1"/>
  <c r="O15" i="3"/>
  <c r="Q21" i="3"/>
  <c r="Q15" i="3"/>
  <c r="T21" i="3"/>
  <c r="T23" i="3" s="1"/>
  <c r="T15" i="3"/>
  <c r="L13" i="3"/>
  <c r="L21" i="3"/>
  <c r="L23" i="3" s="1"/>
  <c r="O8" i="3"/>
  <c r="O13" i="3"/>
  <c r="Q8" i="3"/>
  <c r="S8" i="3" s="1"/>
  <c r="Q13" i="3"/>
  <c r="R60" i="3"/>
  <c r="O7" i="3"/>
  <c r="Q14" i="3"/>
  <c r="S14" i="3" s="1"/>
  <c r="Q7" i="3"/>
  <c r="O72" i="3"/>
  <c r="I63" i="3"/>
  <c r="U64" i="3" s="1"/>
  <c r="Q72" i="3"/>
  <c r="S72" i="3" s="1"/>
  <c r="L20" i="3"/>
  <c r="L8" i="3"/>
  <c r="R14" i="3"/>
  <c r="R25" i="3"/>
  <c r="Q67" i="3"/>
  <c r="Q68" i="3" s="1"/>
  <c r="R68" i="3" s="1"/>
  <c r="Q4" i="3"/>
  <c r="L67" i="3"/>
  <c r="P67" i="3" s="1"/>
  <c r="U67" i="3" s="1"/>
  <c r="V67" i="3" s="1"/>
  <c r="L4" i="3"/>
  <c r="O5" i="3"/>
  <c r="O20" i="3"/>
  <c r="L39" i="3" s="1"/>
  <c r="L14" i="3"/>
  <c r="L11" i="3"/>
  <c r="J48" i="3" s="1"/>
  <c r="L9" i="3"/>
  <c r="L72" i="3"/>
  <c r="L5" i="3"/>
  <c r="J45" i="3" s="1"/>
  <c r="L7" i="3"/>
  <c r="O4" i="3"/>
  <c r="R3" i="3"/>
  <c r="R29" i="3" s="1"/>
  <c r="Q20" i="3"/>
  <c r="S20" i="3" s="1"/>
  <c r="L60" i="3"/>
  <c r="L61" i="3" s="1"/>
  <c r="L30" i="3"/>
  <c r="Q30" i="3" s="1"/>
  <c r="O11" i="3"/>
  <c r="L48" i="3" s="1"/>
  <c r="O9" i="3"/>
  <c r="T14" i="3"/>
  <c r="Q11" i="3"/>
  <c r="S11" i="3" s="1"/>
  <c r="Q9" i="3"/>
  <c r="S9" i="3" s="1"/>
  <c r="R72" i="3"/>
  <c r="O60" i="3"/>
  <c r="O61" i="3" s="1"/>
  <c r="Q5" i="3"/>
  <c r="S5" i="3" s="1"/>
  <c r="R4" i="3"/>
  <c r="O6" i="3"/>
  <c r="O14" i="3"/>
  <c r="R11" i="3"/>
  <c r="R13" i="3" s="1"/>
  <c r="R31" i="3" s="1"/>
  <c r="R9" i="3"/>
  <c r="Q60" i="3"/>
  <c r="S60" i="3" s="1"/>
  <c r="R5" i="3"/>
  <c r="R23" i="3" s="1"/>
  <c r="Q6" i="3"/>
  <c r="L34" i="3"/>
  <c r="O34" i="3"/>
  <c r="L53" i="3" s="1"/>
  <c r="P53" i="3"/>
  <c r="X4" i="3"/>
  <c r="X3" i="3" s="1"/>
  <c r="X6" i="3"/>
  <c r="X16" i="3" s="1"/>
  <c r="X18" i="3" s="1"/>
  <c r="S28" i="3"/>
  <c r="Q24" i="3"/>
  <c r="S26" i="3" s="1"/>
  <c r="Q25" i="3"/>
  <c r="L70" i="3"/>
  <c r="U68" i="3"/>
  <c r="V68" i="3" s="1"/>
  <c r="P70" i="3"/>
  <c r="R70" i="3" s="1"/>
  <c r="L34" i="2"/>
  <c r="S22" i="2"/>
  <c r="U21" i="2"/>
  <c r="V21" i="2" s="1"/>
  <c r="R24" i="3" l="1"/>
  <c r="R30" i="3" s="1"/>
  <c r="L44" i="3"/>
  <c r="J44" i="3"/>
  <c r="Q3" i="3"/>
  <c r="U27" i="3"/>
  <c r="V27" i="3" s="1"/>
  <c r="R10" i="3"/>
  <c r="R28" i="3"/>
  <c r="R27" i="3"/>
  <c r="U26" i="3"/>
  <c r="V26" i="3" s="1"/>
  <c r="U28" i="3"/>
  <c r="V28" i="3" s="1"/>
  <c r="X22" i="3"/>
  <c r="X23" i="3"/>
  <c r="S21" i="3"/>
  <c r="Q23" i="3"/>
  <c r="S18" i="3"/>
  <c r="S16" i="3"/>
  <c r="J53" i="3"/>
  <c r="U34" i="3"/>
  <c r="S53" i="3" s="1"/>
  <c r="T53" i="3" s="1"/>
  <c r="R6" i="3"/>
  <c r="R8" i="3" s="1"/>
  <c r="R26" i="3" s="1"/>
  <c r="R22" i="3"/>
  <c r="O12" i="3"/>
  <c r="O33" i="3" s="1"/>
  <c r="L18" i="3"/>
  <c r="J41" i="3" s="1"/>
  <c r="U10" i="3"/>
  <c r="R67" i="3"/>
  <c r="O18" i="3"/>
  <c r="O19" i="3" s="1"/>
  <c r="O17" i="3"/>
  <c r="U22" i="3"/>
  <c r="V22" i="3" s="1"/>
  <c r="S6" i="3"/>
  <c r="L43" i="3"/>
  <c r="R15" i="3"/>
  <c r="R16" i="3"/>
  <c r="S4" i="3"/>
  <c r="L17" i="3"/>
  <c r="R7" i="3"/>
  <c r="R18" i="3"/>
  <c r="J51" i="3"/>
  <c r="P51" i="3" s="1"/>
  <c r="S51" i="3" s="1"/>
  <c r="U21" i="3"/>
  <c r="V21" i="3" s="1"/>
  <c r="R20" i="3"/>
  <c r="R21" i="3"/>
  <c r="U8" i="3"/>
  <c r="V8" i="3" s="1"/>
  <c r="S15" i="3"/>
  <c r="U7" i="3"/>
  <c r="V7" i="3" s="1"/>
  <c r="U13" i="3"/>
  <c r="V13" i="3" s="1"/>
  <c r="S7" i="3"/>
  <c r="S13" i="3"/>
  <c r="T6" i="3"/>
  <c r="T33" i="3" s="1"/>
  <c r="U72" i="3"/>
  <c r="V72" i="3" s="1"/>
  <c r="U14" i="3"/>
  <c r="V14" i="3" s="1"/>
  <c r="U60" i="3"/>
  <c r="V60" i="3" s="1"/>
  <c r="U5" i="3"/>
  <c r="V5" i="3" s="1"/>
  <c r="U20" i="3"/>
  <c r="V20" i="3" s="1"/>
  <c r="U4" i="3"/>
  <c r="V4" i="3" s="1"/>
  <c r="U9" i="3"/>
  <c r="V9" i="3" s="1"/>
  <c r="S3" i="3"/>
  <c r="U70" i="3"/>
  <c r="V70" i="3" s="1"/>
  <c r="S25" i="3"/>
  <c r="U25" i="3"/>
  <c r="V25" i="3" s="1"/>
  <c r="S30" i="3"/>
  <c r="U30" i="3"/>
  <c r="V30" i="3" s="1"/>
  <c r="S24" i="3"/>
  <c r="U24" i="3"/>
  <c r="V24" i="3" s="1"/>
  <c r="W19" i="2"/>
  <c r="T18" i="2"/>
  <c r="T24" i="2" s="1"/>
  <c r="Q18" i="2"/>
  <c r="O18" i="2"/>
  <c r="O24" i="2" s="1"/>
  <c r="L18" i="2"/>
  <c r="L24" i="2" s="1"/>
  <c r="E18" i="2"/>
  <c r="Y18" i="2"/>
  <c r="W18" i="2"/>
  <c r="Y45" i="2"/>
  <c r="U3" i="3" l="1"/>
  <c r="Q33" i="3"/>
  <c r="Q63" i="3" s="1"/>
  <c r="U31" i="3"/>
  <c r="V31" i="3" s="1"/>
  <c r="S22" i="3"/>
  <c r="S33" i="3" s="1"/>
  <c r="O63" i="3"/>
  <c r="V10" i="3" s="1"/>
  <c r="U23" i="3"/>
  <c r="V23" i="3" s="1"/>
  <c r="S23" i="3"/>
  <c r="L38" i="3"/>
  <c r="U11" i="3"/>
  <c r="V11" i="3" s="1"/>
  <c r="U16" i="3"/>
  <c r="U18" i="3" s="1"/>
  <c r="V18" i="3" s="1"/>
  <c r="L41" i="3"/>
  <c r="L42" i="3"/>
  <c r="L19" i="3"/>
  <c r="L33" i="3" s="1"/>
  <c r="U15" i="3"/>
  <c r="V15" i="3" s="1"/>
  <c r="U6" i="3"/>
  <c r="V6" i="3" s="1"/>
  <c r="V3" i="3"/>
  <c r="S18" i="2"/>
  <c r="Q24" i="2"/>
  <c r="V18" i="2"/>
  <c r="O12" i="2"/>
  <c r="V46" i="2"/>
  <c r="W16" i="2"/>
  <c r="R16" i="2"/>
  <c r="R18" i="2" s="1"/>
  <c r="Q16" i="2"/>
  <c r="T16" i="2"/>
  <c r="R15" i="2"/>
  <c r="T15" i="2"/>
  <c r="O15" i="2"/>
  <c r="L15" i="2"/>
  <c r="Q15" i="2" s="1"/>
  <c r="S15" i="2" s="1"/>
  <c r="W13" i="2"/>
  <c r="L12" i="2"/>
  <c r="Q12" i="2"/>
  <c r="R12" i="2"/>
  <c r="R11" i="2"/>
  <c r="T12" i="2"/>
  <c r="U29" i="3" l="1"/>
  <c r="V29" i="3" s="1"/>
  <c r="L47" i="3"/>
  <c r="L52" i="3" s="1"/>
  <c r="L54" i="3" s="1"/>
  <c r="L63" i="3" s="1"/>
  <c r="V16" i="3"/>
  <c r="V33" i="3" s="1"/>
  <c r="J42" i="3"/>
  <c r="J47" i="3" s="1"/>
  <c r="J52" i="3" s="1"/>
  <c r="J54" i="3" s="1"/>
  <c r="P49" i="3"/>
  <c r="S49" i="3" s="1"/>
  <c r="N38" i="3"/>
  <c r="N42" i="3" s="1"/>
  <c r="S16" i="2"/>
  <c r="U16" i="2"/>
  <c r="V16" i="2" s="1"/>
  <c r="R46" i="2"/>
  <c r="U15" i="2"/>
  <c r="V15" i="2" s="1"/>
  <c r="L10" i="2"/>
  <c r="X11" i="2"/>
  <c r="X12" i="2" s="1"/>
  <c r="T11" i="2"/>
  <c r="O11" i="2"/>
  <c r="O10" i="2"/>
  <c r="R10" i="2"/>
  <c r="Q10" i="2"/>
  <c r="Y10" i="2"/>
  <c r="Y11" i="2" s="1"/>
  <c r="Y12" i="2" s="1"/>
  <c r="T10" i="2"/>
  <c r="E10" i="2"/>
  <c r="W9" i="2"/>
  <c r="R9" i="2"/>
  <c r="Q9" i="2"/>
  <c r="S9" i="2" s="1"/>
  <c r="T9" i="2"/>
  <c r="O9" i="2"/>
  <c r="L9" i="2"/>
  <c r="E9" i="2"/>
  <c r="W7" i="2"/>
  <c r="T5" i="2"/>
  <c r="T4" i="2"/>
  <c r="Q7" i="2"/>
  <c r="S24" i="2" s="1"/>
  <c r="R7" i="2"/>
  <c r="R6" i="2"/>
  <c r="R21" i="2" s="1"/>
  <c r="O7" i="2"/>
  <c r="N41" i="2" s="1"/>
  <c r="L7" i="2"/>
  <c r="Y7" i="2"/>
  <c r="Y9" i="2" s="1"/>
  <c r="T7" i="2"/>
  <c r="L6" i="2"/>
  <c r="Y6" i="2"/>
  <c r="X6" i="2"/>
  <c r="T6" i="2"/>
  <c r="O6" i="2"/>
  <c r="N33" i="2" s="1"/>
  <c r="H6" i="2"/>
  <c r="U33" i="3" l="1"/>
  <c r="V34" i="3"/>
  <c r="P42" i="3"/>
  <c r="N40" i="3"/>
  <c r="P40" i="3" s="1"/>
  <c r="N48" i="3"/>
  <c r="P48" i="3" s="1"/>
  <c r="S48" i="3" s="1"/>
  <c r="N39" i="3"/>
  <c r="P39" i="3" s="1"/>
  <c r="N45" i="3"/>
  <c r="P45" i="3" s="1"/>
  <c r="N44" i="3"/>
  <c r="P44" i="3" s="1"/>
  <c r="N46" i="3"/>
  <c r="P46" i="3" s="1"/>
  <c r="N49" i="3"/>
  <c r="N43" i="3"/>
  <c r="P43" i="3" s="1"/>
  <c r="P38" i="3"/>
  <c r="N41" i="3"/>
  <c r="P41" i="3" s="1"/>
  <c r="U22" i="2"/>
  <c r="V22" i="2" s="1"/>
  <c r="L44" i="2"/>
  <c r="R23" i="2"/>
  <c r="R24" i="2"/>
  <c r="Q20" i="2"/>
  <c r="S20" i="2" s="1"/>
  <c r="Q6" i="2"/>
  <c r="S6" i="2" s="1"/>
  <c r="O8" i="2"/>
  <c r="N31" i="2" s="1"/>
  <c r="U10" i="2"/>
  <c r="Q11" i="2"/>
  <c r="U9" i="2"/>
  <c r="V9" i="2" s="1"/>
  <c r="S7" i="2"/>
  <c r="U63" i="3" l="1"/>
  <c r="S40" i="3"/>
  <c r="N47" i="3"/>
  <c r="N52" i="3" s="1"/>
  <c r="N54" i="3" s="1"/>
  <c r="S46" i="3"/>
  <c r="S43" i="3"/>
  <c r="P47" i="3"/>
  <c r="P52" i="3" s="1"/>
  <c r="P54" i="3" s="1"/>
  <c r="U20" i="2"/>
  <c r="V20" i="2" s="1"/>
  <c r="S11" i="2"/>
  <c r="U6" i="2"/>
  <c r="V6" i="2" s="1"/>
  <c r="U7" i="2"/>
  <c r="V7" i="2" s="1"/>
  <c r="U11" i="2"/>
  <c r="V11" i="2" s="1"/>
  <c r="R3" i="2"/>
  <c r="Q3" i="2"/>
  <c r="O3" i="2"/>
  <c r="L3" i="2"/>
  <c r="Q5" i="2"/>
  <c r="S5" i="2" s="1"/>
  <c r="P5" i="2"/>
  <c r="O5" i="2"/>
  <c r="L5" i="2"/>
  <c r="M5" i="2"/>
  <c r="N5" i="2"/>
  <c r="K5" i="2"/>
  <c r="J5" i="2"/>
  <c r="W4" i="2"/>
  <c r="W27" i="2" s="1"/>
  <c r="R4" i="2"/>
  <c r="R5" i="2" s="1"/>
  <c r="Q4" i="2"/>
  <c r="S4" i="2" s="1"/>
  <c r="O4" i="2"/>
  <c r="L4" i="2"/>
  <c r="S47" i="3" l="1"/>
  <c r="W63" i="3"/>
  <c r="N34" i="2"/>
  <c r="L37" i="2"/>
  <c r="S23" i="2"/>
  <c r="U23" i="2"/>
  <c r="V23" i="2" s="1"/>
  <c r="S12" i="2"/>
  <c r="U12" i="2"/>
  <c r="V12" i="2" s="1"/>
  <c r="S10" i="2"/>
  <c r="J7" i="2"/>
  <c r="J9" i="2" s="1"/>
  <c r="J10" i="2" s="1"/>
  <c r="J11" i="2" s="1"/>
  <c r="J12" i="2" s="1"/>
  <c r="J6" i="2"/>
  <c r="U5" i="2"/>
  <c r="V5" i="2" s="1"/>
  <c r="V10" i="2"/>
  <c r="T3" i="2"/>
  <c r="S3" i="2"/>
  <c r="S52" i="3" l="1"/>
  <c r="T40" i="3" s="1"/>
  <c r="J13" i="2"/>
  <c r="J15" i="2"/>
  <c r="U3" i="2"/>
  <c r="T43" i="3" l="1"/>
  <c r="S54" i="3"/>
  <c r="S63" i="3" s="1"/>
  <c r="T48" i="3"/>
  <c r="T49" i="3"/>
  <c r="T46" i="3"/>
  <c r="T51" i="3"/>
  <c r="T47" i="3"/>
  <c r="J16" i="2"/>
  <c r="J19" i="2"/>
  <c r="V3" i="2"/>
  <c r="T52" i="3" l="1"/>
  <c r="T63" i="3" s="1"/>
  <c r="J21" i="2"/>
  <c r="J23" i="2" s="1"/>
  <c r="T50" i="2"/>
  <c r="Q59" i="2"/>
  <c r="O59" i="2"/>
  <c r="P57" i="2"/>
  <c r="O57" i="2"/>
  <c r="O58" i="2" s="1"/>
  <c r="L57" i="2"/>
  <c r="L59" i="2" s="1"/>
  <c r="Q56" i="2"/>
  <c r="Q57" i="2" s="1"/>
  <c r="O56" i="2"/>
  <c r="L56" i="2"/>
  <c r="P56" i="2" s="1"/>
  <c r="E56" i="2"/>
  <c r="T55" i="2"/>
  <c r="T57" i="2" s="1"/>
  <c r="T59" i="2" s="1"/>
  <c r="X45" i="2"/>
  <c r="R44" i="2"/>
  <c r="V44" i="2" s="1"/>
  <c r="R43" i="2"/>
  <c r="V43" i="2" s="1"/>
  <c r="O14" i="2"/>
  <c r="N38" i="2" s="1"/>
  <c r="V13" i="2"/>
  <c r="T13" i="2"/>
  <c r="O13" i="2"/>
  <c r="M13" i="2"/>
  <c r="L13" i="2"/>
  <c r="O19" i="2"/>
  <c r="M19" i="2"/>
  <c r="L19" i="2"/>
  <c r="R25" i="2"/>
  <c r="O25" i="2"/>
  <c r="L25" i="2"/>
  <c r="I27" i="1"/>
  <c r="I60" i="1" s="1"/>
  <c r="Y25" i="1"/>
  <c r="T25" i="1"/>
  <c r="O25" i="1"/>
  <c r="L25" i="1"/>
  <c r="Q25" i="1" s="1"/>
  <c r="S25" i="1" s="1"/>
  <c r="Q54" i="1"/>
  <c r="O54" i="1"/>
  <c r="J24" i="1"/>
  <c r="Y24" i="1"/>
  <c r="T24" i="1"/>
  <c r="O24" i="1"/>
  <c r="L24" i="1"/>
  <c r="O21" i="1"/>
  <c r="L21" i="1"/>
  <c r="W23" i="1"/>
  <c r="O23" i="1"/>
  <c r="T23" i="1" s="1"/>
  <c r="L23" i="1"/>
  <c r="Q23" i="1" s="1"/>
  <c r="S23" i="1" s="1"/>
  <c r="I59" i="1"/>
  <c r="U46" i="1"/>
  <c r="O22" i="1"/>
  <c r="L42" i="1" s="1"/>
  <c r="L22" i="1"/>
  <c r="T22" i="1"/>
  <c r="T21" i="1"/>
  <c r="G19" i="1"/>
  <c r="T20" i="1"/>
  <c r="O20" i="1"/>
  <c r="L20" i="1"/>
  <c r="Q20" i="1" s="1"/>
  <c r="S20" i="1" s="1"/>
  <c r="L19" i="1"/>
  <c r="T46" i="1"/>
  <c r="P44" i="1"/>
  <c r="R44" i="1" s="1"/>
  <c r="W3" i="1"/>
  <c r="Y19" i="1"/>
  <c r="Y21" i="1" s="1"/>
  <c r="X19" i="1"/>
  <c r="X20" i="1" s="1"/>
  <c r="X21" i="1" s="1"/>
  <c r="X22" i="1" s="1"/>
  <c r="X24" i="1" s="1"/>
  <c r="X25" i="1" s="1"/>
  <c r="O19" i="1"/>
  <c r="P45" i="1"/>
  <c r="R45" i="1" s="1"/>
  <c r="N32" i="2" l="1"/>
  <c r="L41" i="2"/>
  <c r="L27" i="2"/>
  <c r="L46" i="2" s="1"/>
  <c r="N37" i="2"/>
  <c r="O27" i="2"/>
  <c r="N46" i="2" s="1"/>
  <c r="T19" i="2"/>
  <c r="Q13" i="2"/>
  <c r="U4" i="2"/>
  <c r="R56" i="2"/>
  <c r="L40" i="2"/>
  <c r="R57" i="2"/>
  <c r="T56" i="2"/>
  <c r="U56" i="2" s="1"/>
  <c r="V56" i="2" s="1"/>
  <c r="T25" i="2"/>
  <c r="Q19" i="2"/>
  <c r="S19" i="2" s="1"/>
  <c r="U57" i="2"/>
  <c r="V57" i="2" s="1"/>
  <c r="Q25" i="2"/>
  <c r="R19" i="2"/>
  <c r="R20" i="2" s="1"/>
  <c r="R22" i="2" s="1"/>
  <c r="R13" i="2"/>
  <c r="P59" i="2"/>
  <c r="R59" i="2" s="1"/>
  <c r="U25" i="1"/>
  <c r="V25" i="1" s="1"/>
  <c r="Q24" i="1"/>
  <c r="S24" i="1" s="1"/>
  <c r="U23" i="1"/>
  <c r="V23" i="1" s="1"/>
  <c r="Y20" i="1"/>
  <c r="Y22" i="1" s="1"/>
  <c r="I61" i="1"/>
  <c r="K60" i="1"/>
  <c r="Q22" i="1"/>
  <c r="U20" i="1"/>
  <c r="V20" i="1" s="1"/>
  <c r="Q21" i="1"/>
  <c r="W19" i="1"/>
  <c r="R3" i="1"/>
  <c r="R17" i="1" s="1"/>
  <c r="H19" i="1"/>
  <c r="H20" i="1" s="1"/>
  <c r="H21" i="1" s="1"/>
  <c r="H22" i="1" s="1"/>
  <c r="H24" i="1" s="1"/>
  <c r="H25" i="1" s="1"/>
  <c r="T19" i="1"/>
  <c r="Q19" i="1"/>
  <c r="T17" i="1"/>
  <c r="Q17" i="1"/>
  <c r="S17" i="1" s="1"/>
  <c r="O17" i="1"/>
  <c r="L17" i="1"/>
  <c r="T15" i="1"/>
  <c r="Q15" i="1"/>
  <c r="S15" i="1" s="1"/>
  <c r="O15" i="1"/>
  <c r="L15" i="1"/>
  <c r="X14" i="1"/>
  <c r="W14" i="1"/>
  <c r="O14" i="1"/>
  <c r="T14" i="1" s="1"/>
  <c r="L14" i="1"/>
  <c r="Q14" i="1" s="1"/>
  <c r="S14" i="1" s="1"/>
  <c r="C14" i="1"/>
  <c r="M12" i="1"/>
  <c r="M14" i="1" s="1"/>
  <c r="M10" i="1"/>
  <c r="M6" i="1"/>
  <c r="M15" i="1" s="1"/>
  <c r="M17" i="1" s="1"/>
  <c r="M5" i="1"/>
  <c r="M4" i="1"/>
  <c r="U24" i="1" l="1"/>
  <c r="V24" i="1" s="1"/>
  <c r="T27" i="2"/>
  <c r="Q27" i="2"/>
  <c r="S13" i="2"/>
  <c r="V4" i="2"/>
  <c r="U59" i="2"/>
  <c r="V59" i="2" s="1"/>
  <c r="S25" i="2"/>
  <c r="N40" i="2"/>
  <c r="N45" i="2" s="1"/>
  <c r="N47" i="2" s="1"/>
  <c r="L45" i="2"/>
  <c r="L47" i="2" s="1"/>
  <c r="U25" i="2"/>
  <c r="U19" i="2"/>
  <c r="V19" i="2" s="1"/>
  <c r="S21" i="1"/>
  <c r="S22" i="1"/>
  <c r="U22" i="1"/>
  <c r="V22" i="1" s="1"/>
  <c r="M22" i="1"/>
  <c r="P22" i="1"/>
  <c r="U21" i="1"/>
  <c r="S19" i="1"/>
  <c r="U19" i="1"/>
  <c r="R14" i="1"/>
  <c r="R19" i="1"/>
  <c r="R6" i="1"/>
  <c r="R22" i="1" s="1"/>
  <c r="R23" i="1" s="1"/>
  <c r="R12" i="1"/>
  <c r="R5" i="1"/>
  <c r="R21" i="1" s="1"/>
  <c r="R8" i="1"/>
  <c r="R24" i="1" s="1"/>
  <c r="R25" i="1" s="1"/>
  <c r="R15" i="1"/>
  <c r="R4" i="1"/>
  <c r="R20" i="1" s="1"/>
  <c r="R10" i="1"/>
  <c r="O18" i="1"/>
  <c r="U17" i="1" s="1"/>
  <c r="V17" i="1" s="1"/>
  <c r="O16" i="1"/>
  <c r="U15" i="1" s="1"/>
  <c r="V15" i="1" s="1"/>
  <c r="U14" i="1"/>
  <c r="V14" i="1" s="1"/>
  <c r="T12" i="1"/>
  <c r="Q12" i="1"/>
  <c r="S12" i="1" s="1"/>
  <c r="O12" i="1"/>
  <c r="L12" i="1"/>
  <c r="O13" i="1" s="1"/>
  <c r="W10" i="1"/>
  <c r="O11" i="1"/>
  <c r="V10" i="1"/>
  <c r="T10" i="1"/>
  <c r="O10" i="1"/>
  <c r="L10" i="1"/>
  <c r="Q10" i="1" s="1"/>
  <c r="S10" i="1" s="1"/>
  <c r="O52" i="1"/>
  <c r="O53" i="1" s="1"/>
  <c r="O7" i="1"/>
  <c r="O6" i="1"/>
  <c r="L38" i="1" s="1"/>
  <c r="O5" i="1"/>
  <c r="T5" i="1" s="1"/>
  <c r="O4" i="1"/>
  <c r="T4" i="1" s="1"/>
  <c r="O3" i="1"/>
  <c r="T8" i="1"/>
  <c r="P52" i="1"/>
  <c r="P54" i="1" s="1"/>
  <c r="R54" i="1" s="1"/>
  <c r="L52" i="1"/>
  <c r="L54" i="1" s="1"/>
  <c r="J8" i="1"/>
  <c r="L8" i="1"/>
  <c r="J38" i="1" s="1"/>
  <c r="T50" i="1"/>
  <c r="T52" i="1" s="1"/>
  <c r="T54" i="1" s="1"/>
  <c r="T6" i="1"/>
  <c r="L6" i="1"/>
  <c r="Q6" i="1" s="1"/>
  <c r="S6" i="1" s="1"/>
  <c r="L5" i="1"/>
  <c r="Q5" i="1" s="1"/>
  <c r="S5" i="1" s="1"/>
  <c r="L4" i="1"/>
  <c r="Q4" i="1" s="1"/>
  <c r="S4" i="1" s="1"/>
  <c r="L3" i="1"/>
  <c r="O51" i="1"/>
  <c r="X4" i="1"/>
  <c r="W4" i="1"/>
  <c r="W27" i="1" s="1"/>
  <c r="C4" i="1"/>
  <c r="Q51" i="1"/>
  <c r="L51" i="1"/>
  <c r="E51" i="1"/>
  <c r="X5" i="1"/>
  <c r="C5" i="1"/>
  <c r="W5" i="1"/>
  <c r="C6" i="1"/>
  <c r="C10" i="1" s="1"/>
  <c r="W6" i="1"/>
  <c r="L33" i="1" l="1"/>
  <c r="J42" i="1"/>
  <c r="L27" i="1"/>
  <c r="U54" i="1"/>
  <c r="V54" i="1" s="1"/>
  <c r="S27" i="2"/>
  <c r="P31" i="2" s="1"/>
  <c r="U27" i="2"/>
  <c r="P46" i="2"/>
  <c r="V25" i="2"/>
  <c r="V21" i="1"/>
  <c r="J41" i="1"/>
  <c r="V19" i="1"/>
  <c r="T51" i="1"/>
  <c r="Q8" i="1"/>
  <c r="S8" i="1" s="1"/>
  <c r="T3" i="1"/>
  <c r="T27" i="1" s="1"/>
  <c r="O8" i="1"/>
  <c r="O27" i="1" s="1"/>
  <c r="U52" i="1"/>
  <c r="V52" i="1" s="1"/>
  <c r="O9" i="1"/>
  <c r="L40" i="1" s="1"/>
  <c r="Q52" i="1"/>
  <c r="R52" i="1" s="1"/>
  <c r="P51" i="1"/>
  <c r="Q3" i="1"/>
  <c r="U4" i="1"/>
  <c r="R51" i="1"/>
  <c r="Q27" i="1" l="1"/>
  <c r="P38" i="2"/>
  <c r="R38" i="2" s="1"/>
  <c r="P42" i="2"/>
  <c r="P35" i="2"/>
  <c r="R35" i="2" s="1"/>
  <c r="P34" i="2"/>
  <c r="R34" i="2" s="1"/>
  <c r="P39" i="2"/>
  <c r="R39" i="2" s="1"/>
  <c r="R31" i="2"/>
  <c r="P37" i="2"/>
  <c r="R37" i="2" s="1"/>
  <c r="P41" i="2"/>
  <c r="P32" i="2"/>
  <c r="R32" i="2" s="1"/>
  <c r="AB32" i="2" s="1"/>
  <c r="P36" i="2"/>
  <c r="R36" i="2" s="1"/>
  <c r="P33" i="2"/>
  <c r="R33" i="2" s="1"/>
  <c r="J46" i="1"/>
  <c r="J47" i="1" s="1"/>
  <c r="L39" i="1"/>
  <c r="L41" i="1" s="1"/>
  <c r="L46" i="1" s="1"/>
  <c r="S3" i="1"/>
  <c r="S27" i="1" s="1"/>
  <c r="U12" i="1"/>
  <c r="V12" i="1" s="1"/>
  <c r="U8" i="1"/>
  <c r="V8" i="1" s="1"/>
  <c r="U3" i="1"/>
  <c r="V4" i="1"/>
  <c r="R41" i="2" l="1"/>
  <c r="V41" i="2" s="1"/>
  <c r="R42" i="2"/>
  <c r="V42" i="2" s="1"/>
  <c r="V36" i="2"/>
  <c r="V33" i="2"/>
  <c r="V39" i="2"/>
  <c r="R40" i="2"/>
  <c r="P40" i="2"/>
  <c r="P45" i="2" s="1"/>
  <c r="P47" i="2" s="1"/>
  <c r="L47" i="1"/>
  <c r="N43" i="1"/>
  <c r="P43" i="1" s="1"/>
  <c r="S28" i="1"/>
  <c r="U28" i="1" s="1"/>
  <c r="T2" i="1"/>
  <c r="R45" i="2" l="1"/>
  <c r="R47" i="2" s="1"/>
  <c r="T41" i="2"/>
  <c r="V40" i="2"/>
  <c r="V45" i="2" s="1"/>
  <c r="V47" i="2" s="1"/>
  <c r="R43" i="1"/>
  <c r="N42" i="1"/>
  <c r="U5" i="1"/>
  <c r="U27" i="1" s="1"/>
  <c r="V6" i="1"/>
  <c r="W33" i="2" l="1"/>
  <c r="N37" i="1"/>
  <c r="P37" i="1" s="1"/>
  <c r="P42" i="1"/>
  <c r="R42" i="1" s="1"/>
  <c r="N36" i="1"/>
  <c r="P36" i="1" s="1"/>
  <c r="N38" i="1"/>
  <c r="P38" i="1" s="1"/>
  <c r="N39" i="1"/>
  <c r="P39" i="1" s="1"/>
  <c r="N33" i="1"/>
  <c r="P33" i="1" s="1"/>
  <c r="X33" i="1" s="1"/>
  <c r="N40" i="1"/>
  <c r="P40" i="1" s="1"/>
  <c r="N35" i="1"/>
  <c r="P35" i="1" s="1"/>
  <c r="N34" i="1"/>
  <c r="P34" i="1" s="1"/>
  <c r="N32" i="1"/>
  <c r="P32" i="1" s="1"/>
  <c r="V5" i="1"/>
  <c r="U51" i="1"/>
  <c r="V51" i="1" s="1"/>
  <c r="W44" i="2" l="1"/>
  <c r="W46" i="2"/>
  <c r="W42" i="2"/>
  <c r="W41" i="2"/>
  <c r="W39" i="2"/>
  <c r="W36" i="2"/>
  <c r="P41" i="1"/>
  <c r="P46" i="1" s="1"/>
  <c r="P47" i="1" s="1"/>
  <c r="R40" i="1"/>
  <c r="R37" i="1"/>
  <c r="N41" i="1"/>
  <c r="N46" i="1" s="1"/>
  <c r="N47" i="1" s="1"/>
  <c r="R34" i="1"/>
  <c r="V3" i="1"/>
  <c r="V27" i="1" s="1"/>
  <c r="W45" i="2" l="1"/>
  <c r="R41" i="1"/>
  <c r="R46" i="1" s="1"/>
  <c r="S34" i="1" l="1"/>
  <c r="S45" i="1"/>
  <c r="R47" i="1"/>
  <c r="S47" i="1" s="1"/>
  <c r="S43" i="1"/>
  <c r="S42" i="1"/>
  <c r="S40" i="1"/>
  <c r="S37" i="1"/>
  <c r="S46" i="1" l="1"/>
</calcChain>
</file>

<file path=xl/sharedStrings.xml><?xml version="1.0" encoding="utf-8"?>
<sst xmlns="http://schemas.openxmlformats.org/spreadsheetml/2006/main" count="1105" uniqueCount="236">
  <si>
    <t>MENU PRINCIPAL</t>
  </si>
  <si>
    <t>RECEBIMENTOS</t>
  </si>
  <si>
    <t>CASH BACK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</si>
  <si>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</si>
  <si>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</si>
  <si>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</si>
  <si>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</si>
  <si>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</si>
  <si>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</si>
  <si>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</si>
  <si>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 xml:space="preserve">DESCRIÇÃO DOS SERVIÇOS </t>
  </si>
  <si>
    <t>VALOR CONTRATO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</si>
  <si>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</si>
  <si>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</si>
  <si>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</si>
  <si>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</si>
  <si>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</si>
  <si>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</si>
  <si>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</si>
  <si>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</si>
  <si>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PARCEIROS</t>
  </si>
  <si>
    <t>DR. JÉTER</t>
  </si>
  <si>
    <t>DRA. SANDRA</t>
  </si>
  <si>
    <t>DR. JORGE</t>
  </si>
  <si>
    <t>DRA. PAULA</t>
  </si>
  <si>
    <t>DRA. ISABEL</t>
  </si>
  <si>
    <t>DR. JOÃO</t>
  </si>
  <si>
    <t>DR. THIAGO</t>
  </si>
  <si>
    <t>DRA. TAÍZA</t>
  </si>
  <si>
    <t>%</t>
  </si>
  <si>
    <t>DRA. DANIELA</t>
  </si>
  <si>
    <t>JAILSON JÚNIOR DOS SANTOS BARBOSA</t>
  </si>
  <si>
    <t>FAMÍLIA E SUCESSÕES</t>
  </si>
  <si>
    <t>NÚCLEO DE ATIVIDADE</t>
  </si>
  <si>
    <t>DIVÓRCIO CONSENSUAL</t>
  </si>
  <si>
    <t>FORMA DE PAGAMENTO</t>
  </si>
  <si>
    <t>ENTRADA R$2.000,00 + 6 X R$250,00</t>
  </si>
  <si>
    <t>LÚCIA</t>
  </si>
  <si>
    <t>ENTRADA</t>
  </si>
  <si>
    <t>OBSERVAÇÕES</t>
  </si>
  <si>
    <t>TOTAL GERAL</t>
  </si>
  <si>
    <t>RECEBIDO</t>
  </si>
  <si>
    <t>ALMIR CORNELIO DE SOUZA</t>
  </si>
  <si>
    <t>CIVIL</t>
  </si>
  <si>
    <t>8 X R$500,00</t>
  </si>
  <si>
    <t>DR THIAGO</t>
  </si>
  <si>
    <t>PIX JSPJ</t>
  </si>
  <si>
    <t>01 DE 08</t>
  </si>
  <si>
    <t>ALÍCIA DE SOUZA REICHE</t>
  </si>
  <si>
    <t>RESC. CONTRATUAL C.C TUTELA URGENCIA</t>
  </si>
  <si>
    <t>AÇÃO ANUL. EXEC. DE IMÓVEL C/C DANOS MORAIS</t>
  </si>
  <si>
    <t>ENTRADA R$1.500,00 + 5 X R$250,00</t>
  </si>
  <si>
    <t>NAYARA ALANA CAMPOS CAVALARI</t>
  </si>
  <si>
    <t>AÇÃO DECL. NULIDADE NEG. JURÍDICO</t>
  </si>
  <si>
    <t>PRÓ EXITO 30%</t>
  </si>
  <si>
    <t>PARCELA ÚNICA</t>
  </si>
  <si>
    <t>AGUARDANDO</t>
  </si>
  <si>
    <t>ATEND. 26/11/2024</t>
  </si>
  <si>
    <t>PRÓ EXITO</t>
  </si>
  <si>
    <t>CONSULTA</t>
  </si>
  <si>
    <t>PROCESSOS PRÓ-EXITO</t>
  </si>
  <si>
    <t xml:space="preserve">TRABALHISTA </t>
  </si>
  <si>
    <t>DATA CONTRATO</t>
  </si>
  <si>
    <t>GLAUCIA CRISTINA BARROS SANTOS</t>
  </si>
  <si>
    <t>PRO EXITO</t>
  </si>
  <si>
    <t>ATEND. 17/12/2024</t>
  </si>
  <si>
    <t>ACORDO RECLAMAÇÃO TRABALHISTA</t>
  </si>
  <si>
    <t>ÚNICA</t>
  </si>
  <si>
    <t>LUCILENE AP. VAZ DA SILVA</t>
  </si>
  <si>
    <t>AÇÃO DE IND. DANOS MATERIAIS E MORAIS</t>
  </si>
  <si>
    <t>ATEND. 13/12/2024</t>
  </si>
  <si>
    <t>02 DE 08</t>
  </si>
  <si>
    <t>VANILZA BARRETO</t>
  </si>
  <si>
    <t>EXTRA-JUDICIAL</t>
  </si>
  <si>
    <t>RECURSO ADM. DETRAN/AP -  SUSPENSÃO CNH</t>
  </si>
  <si>
    <t>CARTÃO DÉBITO</t>
  </si>
  <si>
    <t>TOTAL 1</t>
  </si>
  <si>
    <t>TOTAL PARCEIROS</t>
  </si>
  <si>
    <t>EQUIPES</t>
  </si>
  <si>
    <t>GESTÃO</t>
  </si>
  <si>
    <t>TOT. EQUIPES</t>
  </si>
  <si>
    <t>RESULTADOS</t>
  </si>
  <si>
    <t>REPASSES</t>
  </si>
  <si>
    <t>PERCENTUAIS</t>
  </si>
  <si>
    <t>METAS CAPT.</t>
  </si>
  <si>
    <t>WANESSA RODRIGUES DE MELO</t>
  </si>
  <si>
    <t>RIQUELME RODRIGUES NERIS SIDONI</t>
  </si>
  <si>
    <t>RECURSO ADM. DETRAN/AP -  MULTA EXCESSO VELOCIDADE</t>
  </si>
  <si>
    <t>JANE CRISTINA LANDI</t>
  </si>
  <si>
    <t>KAMILY</t>
  </si>
  <si>
    <t xml:space="preserve">BRUNA </t>
  </si>
  <si>
    <t>AUXILIARES TÉC.</t>
  </si>
  <si>
    <t>PAGOU 150 + 450</t>
  </si>
  <si>
    <t>DIANA PEREIRA</t>
  </si>
  <si>
    <t>CONSULTA /  BUSCA E APREENSÃO VEÍCULO</t>
  </si>
  <si>
    <t>LEILA SANTANA</t>
  </si>
  <si>
    <t>SUCESSÕES</t>
  </si>
  <si>
    <t>CONSULTA / INVENTÁRIO</t>
  </si>
  <si>
    <t>META ANUAL</t>
  </si>
  <si>
    <t>META MENSAL</t>
  </si>
  <si>
    <t>RESULTADO</t>
  </si>
  <si>
    <t>BOLETO PJ ITAÚ</t>
  </si>
  <si>
    <t>PARC. 01 DE 06</t>
  </si>
  <si>
    <t>IMOBILIÁRIO</t>
  </si>
  <si>
    <t>MARCO GAIOLA</t>
  </si>
  <si>
    <t>MARIZILDA L. SOUZA / SULAMITA L. S. ROSIGNAL</t>
  </si>
  <si>
    <t xml:space="preserve">FAMÍLIA </t>
  </si>
  <si>
    <t>CONSULTA / DIVÓRCIO</t>
  </si>
  <si>
    <t>ALEXANDRO BARBOSA ROCETTI</t>
  </si>
  <si>
    <t>AÇÃO DE IND. DANOS MATERIAIS / NEGATIVA SEGURADORA</t>
  </si>
  <si>
    <t>LUAN GETÚLIO ANDRADE / GABRIELA</t>
  </si>
  <si>
    <t>STATUS</t>
  </si>
  <si>
    <t>REC. R$2.000,00 CLIENTE JAILSON</t>
  </si>
  <si>
    <t>REPASSADO</t>
  </si>
  <si>
    <t>SEM REPASSE</t>
  </si>
  <si>
    <t>CLIENTES MENSALISTAS FEVEREIRO 2025</t>
  </si>
  <si>
    <t>VALOR A PAGAR</t>
  </si>
  <si>
    <t>SULAMITA LEITE SIQUEIRA ROSIGNAL</t>
  </si>
  <si>
    <t>FAMÍLIA</t>
  </si>
  <si>
    <t xml:space="preserve">AÇÃO DE DIVÓRCIO C.C. GUARDA, VISITAS, ALIMENTOS </t>
  </si>
  <si>
    <t>PIX  PJ ITAÚ</t>
  </si>
  <si>
    <t>JÉTER</t>
  </si>
  <si>
    <t>PARCELA 01</t>
  </si>
  <si>
    <t>MAITANY RODRIGUES HERICHS CHAVES</t>
  </si>
  <si>
    <t>EMPRESARIAL</t>
  </si>
  <si>
    <t>ALTERAÇÃO CONTRATO SOCIAL</t>
  </si>
  <si>
    <t>PARC. 30% PENSÃO ALIM.</t>
  </si>
  <si>
    <t>PAGTO ANDERSON CHAVES</t>
  </si>
  <si>
    <t>MARIA NILZA ROMERO</t>
  </si>
  <si>
    <t>CONSULTA INVENTÁRIO</t>
  </si>
  <si>
    <t>PIX  PJ BB</t>
  </si>
  <si>
    <t>MIRIAM CRISTINA DA SILVA</t>
  </si>
  <si>
    <t xml:space="preserve">CONSULTA </t>
  </si>
  <si>
    <t>ADEMAR LUIS SCARAZZATTI</t>
  </si>
  <si>
    <t>TRABALHISTA/P.A.D</t>
  </si>
  <si>
    <t>DEFESA PROC. ADM. DISCIPLINAR / DAE SOB</t>
  </si>
  <si>
    <t>01 DE 12</t>
  </si>
  <si>
    <t>ELISANGELA INOCÊNCIO ALCÂNTARA</t>
  </si>
  <si>
    <t>CUMPRIMENTO DE SENTENÇA</t>
  </si>
  <si>
    <t>10 X R$100,00</t>
  </si>
  <si>
    <t>12 X R$500,00</t>
  </si>
  <si>
    <t>01 DE 10</t>
  </si>
  <si>
    <t>TRABALHISTA</t>
  </si>
  <si>
    <t>LUAN GETÚLIO ANDRADE</t>
  </si>
  <si>
    <t>DEFESA ACIDENTE TRANSITO</t>
  </si>
  <si>
    <t>?</t>
  </si>
  <si>
    <t>VALDICE MACHADO OLIVEIRA SALUSTRIANO</t>
  </si>
  <si>
    <t>DINHEIRO / BRUNA</t>
  </si>
  <si>
    <t>03 DE 08</t>
  </si>
  <si>
    <t>MARCO ANTONIO GAIOLA ALVES</t>
  </si>
  <si>
    <t>EXTRAJUDICIAL</t>
  </si>
  <si>
    <t>CONTRATO DE VENDA E COMPRA DE IMÓVEL RURAL</t>
  </si>
  <si>
    <t>S/C</t>
  </si>
  <si>
    <t>PREVIDENCIÁRIO</t>
  </si>
  <si>
    <t>PLANEJAMENTO PREVIDENCIÁRIO</t>
  </si>
  <si>
    <t>6 X R$250,00</t>
  </si>
  <si>
    <t>01 DE 06</t>
  </si>
  <si>
    <t xml:space="preserve"> AGUARDANDO</t>
  </si>
  <si>
    <t>ASSOCIAÇÃO TEMBÉ</t>
  </si>
  <si>
    <t>ASSESSORIA JURÍDICA</t>
  </si>
  <si>
    <t>12 X R$1200,00</t>
  </si>
  <si>
    <t>PARC. 01 DE 05</t>
  </si>
  <si>
    <t>MARCO AURELIO PERINI ARRUDA</t>
  </si>
  <si>
    <t>RECURSO ADM. DETRAN/AP -  EXCESSO PONTUAÇÃO CNH</t>
  </si>
  <si>
    <t>SIMONE DA SILVA DIAS CABRILANA</t>
  </si>
  <si>
    <t>MIRIAN CRISTINA DA SILVA</t>
  </si>
  <si>
    <t>ACORDO EM RECLAMAÇÃO TRABALHISTA</t>
  </si>
  <si>
    <t>CRÉDITO MAYRA</t>
  </si>
  <si>
    <t>VALOR REC. MAQ. DRA ISABEL</t>
  </si>
  <si>
    <t>VANDERLEI CARLOS</t>
  </si>
  <si>
    <t>VALDICE MACHADO DE OLIVEIRA SALUSTRIANO</t>
  </si>
  <si>
    <t>PARCELA REF. JANEIRO 2025</t>
  </si>
  <si>
    <t>CRIMINAL</t>
  </si>
  <si>
    <t>02 DE 12</t>
  </si>
  <si>
    <t>PARCELA REF. FEVEREIRO 2025</t>
  </si>
  <si>
    <t>BENEDITO FERREIRA DE ANDRADE</t>
  </si>
  <si>
    <t>DINHEIRO</t>
  </si>
  <si>
    <t>PARCELA 02 DE 06</t>
  </si>
  <si>
    <t>1/2 S.M ENTRDA + 30% PRÓ-EXITO</t>
  </si>
  <si>
    <t>O.K</t>
  </si>
  <si>
    <t>OBSERVAÇÃO</t>
  </si>
  <si>
    <t>DESC. R$319,27</t>
  </si>
  <si>
    <t>MARÇO</t>
  </si>
  <si>
    <t>DARIANE DOS SANTOS ALVES</t>
  </si>
  <si>
    <t xml:space="preserve">CUMPRIMENTO DE SENTENÇA DE ALIMENTOS </t>
  </si>
  <si>
    <t>LUANA THAIS DA SILVA BOTTON</t>
  </si>
  <si>
    <t>QUEIXA CRIME</t>
  </si>
  <si>
    <t>MARCOS ADRIANO DIAS</t>
  </si>
  <si>
    <t>DANIEL MARCOS DE SOUZA REIS / BRUNA</t>
  </si>
  <si>
    <t>ANÍSIA ROSA LOPES / ORODINO</t>
  </si>
  <si>
    <t>ASS. JUR. PROC. DOAÇÃO IMÓVEIS</t>
  </si>
  <si>
    <t>SALDO P/ DESP. CART.</t>
  </si>
  <si>
    <t>CLIENTES MENSALISTAS MARÇO 2025</t>
  </si>
  <si>
    <t>RICHARD FELIPE HENRIQUE</t>
  </si>
  <si>
    <t>AÇÃO INDENIZATÓRIA / ACIDENTE TRANSITO</t>
  </si>
  <si>
    <t>3 X R$756,00 + 30% PRÓ-EXITO</t>
  </si>
  <si>
    <t>PARC. 01/03 R$756,OO</t>
  </si>
  <si>
    <t>JÉSSICA HELENA DA SILVA FERREIRA</t>
  </si>
  <si>
    <t>AÇÃO INDENIZATÓRIA / EMPREENDIMENTO IMOBILIÁRIO</t>
  </si>
  <si>
    <t>8 X R$300,00 + 30% PRÓ EXITO</t>
  </si>
  <si>
    <t>PARC 01/08</t>
  </si>
  <si>
    <t>PARC. 02 / 12</t>
  </si>
  <si>
    <t>PARC. 02/ 10</t>
  </si>
  <si>
    <t>PARCELA 02</t>
  </si>
  <si>
    <t>SANDRO ROGÉRIO DOS SANTOS</t>
  </si>
  <si>
    <t>PEDIDO EXTINÇÃO PUNIBILIDADE / PRESCRIÇÃO PUNITIVA</t>
  </si>
  <si>
    <t>5 X R$1000,00</t>
  </si>
  <si>
    <t>PARC. O1 / 05</t>
  </si>
  <si>
    <t>VERA LÚCIA BENVENUTE RAMOS</t>
  </si>
  <si>
    <t>DJANIRA FONTELES BEZERRA DE AZEVEDO</t>
  </si>
  <si>
    <t>AÇÃO DE DIVÓRCIO CONSENSUAL</t>
  </si>
  <si>
    <t>2 X R$1.000,00</t>
  </si>
  <si>
    <t>PARCELA 01 / 02</t>
  </si>
  <si>
    <t>PAG. LUIZ ALVES BEZERRA</t>
  </si>
  <si>
    <t>ANGELICA MOREIRA DA SILVA DE ALMEIDA</t>
  </si>
  <si>
    <t>TELMA MOREIRA CAVALCANTI</t>
  </si>
  <si>
    <t xml:space="preserve">ANA CLAÚDIA </t>
  </si>
  <si>
    <t>CONSULTA /ERRO MÉDICO</t>
  </si>
  <si>
    <t>RENAN GOMES MOREIRA</t>
  </si>
  <si>
    <t>ELABORAÇÃO CONTRATO COMPRA E VENDA DE IMÓVEL</t>
  </si>
  <si>
    <t>ELIAS INOCENCIO DA SILVA</t>
  </si>
  <si>
    <t>META PROPOSTA</t>
  </si>
  <si>
    <t>ACUMULADO</t>
  </si>
  <si>
    <t>PARCELA 03 DE 06</t>
  </si>
  <si>
    <t>EXECUÇÃO DE ALIMENTOS</t>
  </si>
  <si>
    <t>ROGERIO DA SILVA SANTOS BISPO</t>
  </si>
  <si>
    <t>PARCELA 03 DE 12</t>
  </si>
  <si>
    <t>BRUNO CARLOS SILVA DE ARAÚJO</t>
  </si>
  <si>
    <t>25 X R$200,00</t>
  </si>
  <si>
    <t>PARCELA 01 DE 25</t>
  </si>
  <si>
    <t>RECEITA RECEBIDA</t>
  </si>
  <si>
    <t>ENTRADA R$1.000,00 + 6 X R$250,00</t>
  </si>
  <si>
    <t>GUSTAVO HENRIQUE FOGAGNOLI BOS</t>
  </si>
  <si>
    <t>INÍCIO PAGTO 10/04/2025</t>
  </si>
  <si>
    <t>META NÃO CUMPRIDA</t>
  </si>
  <si>
    <t>VALORES REPASSADOS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</si>
</sst>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&quot;R$&quot;\ 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theme="9" tint="0.39982299264503923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2"/>
        <bgColor rgb="FF3F3151"/>
      </patternFill>
    </fill>
    <fill>
      <patternFill patternType="solid">
        <fgColor theme="1" tint="0.149845881527146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23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9C6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8EE3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262626"/>
        <bgColor rgb="FF3F3151"/>
      </patternFill>
    </fill>
    <fill>
      <patternFill patternType="solid">
        <fgColor rgb="FF26262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rgb="FF00B050"/>
      </patternFill>
    </fill>
    <fill>
      <patternFill patternType="solid">
        <fgColor theme="7" tint="0.39997558519241921"/>
        <bgColor rgb="FF3F3151"/>
      </patternFill>
    </fill>
    <fill>
      <patternFill patternType="solid">
        <fgColor theme="7" tint="0.39997558519241921"/>
        <bgColor rgb="FF7030A0"/>
      </patternFill>
    </fill>
    <fill>
      <patternFill patternType="solid">
        <fgColor theme="7" tint="0.39997558519241921"/>
        <bgColor rgb="FF009900"/>
      </patternFill>
    </fill>
    <fill>
      <patternFill patternType="solid">
        <fgColor rgb="FF00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DFF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5">
    <xf numFmtId="0" fontId="0" fillId="0" borderId="0" xfId="0"/>
    <xf numFmtId="14" fontId="4" fillId="2" borderId="1" xfId="3" applyNumberFormat="1" applyFont="1" applyFill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64" fontId="5" fillId="10" borderId="1" xfId="0" applyNumberFormat="1" applyFont="1" applyFill="1" applyBorder="1" applyAlignment="1">
      <alignment horizontal="center" vertical="center"/>
    </xf>
    <xf numFmtId="10" fontId="5" fillId="11" borderId="1" xfId="2" applyNumberFormat="1" applyFont="1" applyFill="1" applyBorder="1" applyAlignment="1">
      <alignment horizontal="center" vertical="center"/>
    </xf>
    <xf numFmtId="10" fontId="5" fillId="13" borderId="1" xfId="0" applyNumberFormat="1" applyFont="1" applyFill="1" applyBorder="1" applyAlignment="1">
      <alignment horizontal="center"/>
    </xf>
    <xf numFmtId="10" fontId="5" fillId="3" borderId="1" xfId="2" applyNumberFormat="1" applyFont="1" applyFill="1" applyBorder="1" applyAlignment="1">
      <alignment horizontal="center"/>
    </xf>
    <xf numFmtId="164" fontId="5" fillId="1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6" fillId="15" borderId="1" xfId="0" applyNumberFormat="1" applyFont="1" applyFill="1" applyBorder="1" applyAlignment="1">
      <alignment horizontal="center" vertical="center"/>
    </xf>
    <xf numFmtId="164" fontId="6" fillId="16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0" fontId="6" fillId="9" borderId="1" xfId="2" applyNumberFormat="1" applyFont="1" applyFill="1" applyBorder="1" applyAlignment="1">
      <alignment horizontal="center" vertical="center"/>
    </xf>
    <xf numFmtId="0" fontId="7" fillId="0" borderId="1" xfId="0" applyFont="1" applyBorder="1"/>
    <xf numFmtId="164" fontId="7" fillId="3" borderId="1" xfId="0" applyNumberFormat="1" applyFont="1" applyFill="1" applyBorder="1" applyAlignment="1">
      <alignment horizontal="center" vertical="center"/>
    </xf>
    <xf numFmtId="10" fontId="6" fillId="5" borderId="1" xfId="2" applyNumberFormat="1" applyFont="1" applyFill="1" applyBorder="1" applyAlignment="1">
      <alignment horizontal="center"/>
    </xf>
    <xf numFmtId="164" fontId="0" fillId="0" borderId="0" xfId="0" applyNumberFormat="1"/>
    <xf numFmtId="164" fontId="6" fillId="29" borderId="1" xfId="0" applyNumberFormat="1" applyFont="1" applyFill="1" applyBorder="1" applyAlignment="1">
      <alignment horizontal="center" vertical="center"/>
    </xf>
    <xf numFmtId="164" fontId="5" fillId="30" borderId="1" xfId="0" applyNumberFormat="1" applyFont="1" applyFill="1" applyBorder="1" applyAlignment="1">
      <alignment horizontal="center" vertical="center"/>
    </xf>
    <xf numFmtId="164" fontId="5" fillId="18" borderId="1" xfId="0" applyNumberFormat="1" applyFont="1" applyFill="1" applyBorder="1" applyAlignment="1">
      <alignment horizontal="center" vertical="center"/>
    </xf>
    <xf numFmtId="10" fontId="5" fillId="12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14" fontId="6" fillId="38" borderId="1" xfId="0" applyNumberFormat="1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/>
    </xf>
    <xf numFmtId="0" fontId="6" fillId="38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left" vertical="center"/>
    </xf>
    <xf numFmtId="164" fontId="6" fillId="38" borderId="1" xfId="0" applyNumberFormat="1" applyFont="1" applyFill="1" applyBorder="1" applyAlignment="1">
      <alignment horizontal="center" vertical="center"/>
    </xf>
    <xf numFmtId="164" fontId="6" fillId="38" borderId="1" xfId="1" applyNumberFormat="1" applyFont="1" applyFill="1" applyBorder="1" applyAlignment="1">
      <alignment horizontal="center" vertical="center"/>
    </xf>
    <xf numFmtId="164" fontId="8" fillId="39" borderId="1" xfId="1" applyNumberFormat="1" applyFont="1" applyFill="1" applyBorder="1" applyAlignment="1">
      <alignment horizontal="center" vertical="center"/>
    </xf>
    <xf numFmtId="17" fontId="5" fillId="42" borderId="1" xfId="0" applyNumberFormat="1" applyFont="1" applyFill="1" applyBorder="1" applyAlignment="1">
      <alignment horizontal="center"/>
    </xf>
    <xf numFmtId="164" fontId="9" fillId="23" borderId="1" xfId="0" applyNumberFormat="1" applyFont="1" applyFill="1" applyBorder="1" applyAlignment="1">
      <alignment horizontal="center"/>
    </xf>
    <xf numFmtId="10" fontId="5" fillId="12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14" fontId="10" fillId="38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8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10" fillId="38" borderId="1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164" fontId="10" fillId="25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0" fontId="10" fillId="0" borderId="0" xfId="0" applyFont="1" applyAlignment="1">
      <alignment horizontal="center"/>
    </xf>
    <xf numFmtId="10" fontId="8" fillId="19" borderId="1" xfId="2" applyNumberFormat="1" applyFont="1" applyFill="1" applyBorder="1" applyAlignment="1">
      <alignment horizontal="center"/>
    </xf>
    <xf numFmtId="0" fontId="10" fillId="42" borderId="1" xfId="0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/>
    <xf numFmtId="16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8" borderId="1" xfId="0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10" fillId="32" borderId="1" xfId="0" applyFont="1" applyFill="1" applyBorder="1"/>
    <xf numFmtId="164" fontId="10" fillId="32" borderId="1" xfId="0" applyNumberFormat="1" applyFont="1" applyFill="1" applyBorder="1"/>
    <xf numFmtId="0" fontId="10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0" fontId="8" fillId="32" borderId="1" xfId="0" applyFont="1" applyFill="1" applyBorder="1" applyAlignment="1">
      <alignment horizontal="center"/>
    </xf>
    <xf numFmtId="164" fontId="5" fillId="32" borderId="2" xfId="0" applyNumberFormat="1" applyFont="1" applyFill="1" applyBorder="1" applyAlignment="1">
      <alignment horizontal="center"/>
    </xf>
    <xf numFmtId="10" fontId="10" fillId="32" borderId="1" xfId="2" applyNumberFormat="1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0" fontId="10" fillId="0" borderId="2" xfId="0" applyFont="1" applyBorder="1"/>
    <xf numFmtId="164" fontId="5" fillId="40" borderId="1" xfId="0" applyNumberFormat="1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10" fontId="10" fillId="0" borderId="0" xfId="2" applyNumberFormat="1" applyFont="1" applyAlignment="1">
      <alignment horizontal="center"/>
    </xf>
    <xf numFmtId="10" fontId="10" fillId="42" borderId="1" xfId="2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164" fontId="7" fillId="31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164" fontId="8" fillId="27" borderId="1" xfId="0" applyNumberFormat="1" applyFont="1" applyFill="1" applyBorder="1" applyAlignment="1">
      <alignment horizontal="center"/>
    </xf>
    <xf numFmtId="164" fontId="7" fillId="17" borderId="1" xfId="0" applyNumberFormat="1" applyFont="1" applyFill="1" applyBorder="1" applyAlignment="1">
      <alignment horizontal="center"/>
    </xf>
    <xf numFmtId="10" fontId="7" fillId="17" borderId="1" xfId="2" applyNumberFormat="1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164" fontId="8" fillId="20" borderId="1" xfId="0" applyNumberFormat="1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0" fontId="8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8" fillId="26" borderId="1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10" fontId="10" fillId="20" borderId="1" xfId="2" applyNumberFormat="1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164" fontId="8" fillId="21" borderId="1" xfId="0" applyNumberFormat="1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164" fontId="8" fillId="24" borderId="1" xfId="0" applyNumberFormat="1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10" fontId="10" fillId="21" borderId="1" xfId="2" applyNumberFormat="1" applyFont="1" applyFill="1" applyBorder="1" applyAlignment="1">
      <alignment horizontal="center"/>
    </xf>
    <xf numFmtId="0" fontId="8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0" fontId="10" fillId="23" borderId="1" xfId="2" applyNumberFormat="1" applyFont="1" applyFill="1" applyBorder="1" applyAlignment="1">
      <alignment horizontal="center"/>
    </xf>
    <xf numFmtId="10" fontId="7" fillId="13" borderId="1" xfId="2" applyNumberFormat="1" applyFont="1" applyFill="1" applyBorder="1" applyAlignment="1">
      <alignment horizontal="center"/>
    </xf>
    <xf numFmtId="164" fontId="5" fillId="43" borderId="1" xfId="0" applyNumberFormat="1" applyFont="1" applyFill="1" applyBorder="1" applyAlignment="1">
      <alignment horizontal="center"/>
    </xf>
    <xf numFmtId="10" fontId="7" fillId="43" borderId="1" xfId="2" applyNumberFormat="1" applyFont="1" applyFill="1" applyBorder="1" applyAlignment="1">
      <alignment horizontal="center"/>
    </xf>
    <xf numFmtId="0" fontId="7" fillId="43" borderId="1" xfId="0" applyFont="1" applyFill="1" applyBorder="1" applyAlignment="1">
      <alignment horizontal="center"/>
    </xf>
    <xf numFmtId="0" fontId="8" fillId="33" borderId="1" xfId="0" applyFont="1" applyFill="1" applyBorder="1" applyAlignment="1">
      <alignment horizontal="center"/>
    </xf>
    <xf numFmtId="0" fontId="8" fillId="37" borderId="1" xfId="0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0" fontId="8" fillId="38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2" fillId="44" borderId="4" xfId="0" applyFont="1" applyFill="1" applyBorder="1" applyAlignment="1">
      <alignment horizontal="center"/>
    </xf>
    <xf numFmtId="0" fontId="2" fillId="45" borderId="5" xfId="0" applyFont="1" applyFill="1" applyBorder="1" applyAlignment="1">
      <alignment horizontal="center"/>
    </xf>
    <xf numFmtId="0" fontId="2" fillId="46" borderId="4" xfId="0" applyFont="1" applyFill="1" applyBorder="1" applyAlignment="1">
      <alignment horizontal="center"/>
    </xf>
    <xf numFmtId="164" fontId="2" fillId="44" borderId="4" xfId="0" applyNumberFormat="1" applyFont="1" applyFill="1" applyBorder="1" applyAlignment="1">
      <alignment horizontal="center"/>
    </xf>
    <xf numFmtId="164" fontId="2" fillId="45" borderId="5" xfId="0" applyNumberFormat="1" applyFont="1" applyFill="1" applyBorder="1" applyAlignment="1">
      <alignment horizontal="center"/>
    </xf>
    <xf numFmtId="164" fontId="2" fillId="46" borderId="4" xfId="0" applyNumberFormat="1" applyFont="1" applyFill="1" applyBorder="1" applyAlignment="1">
      <alignment horizontal="center"/>
    </xf>
    <xf numFmtId="10" fontId="1" fillId="46" borderId="4" xfId="2" applyNumberFormat="1" applyFont="1" applyFill="1" applyBorder="1" applyAlignment="1">
      <alignment horizontal="center"/>
    </xf>
    <xf numFmtId="0" fontId="1" fillId="46" borderId="4" xfId="2" applyNumberFormat="1" applyFont="1" applyFill="1" applyBorder="1" applyAlignment="1">
      <alignment horizontal="center"/>
    </xf>
    <xf numFmtId="164" fontId="10" fillId="42" borderId="1" xfId="0" applyNumberFormat="1" applyFont="1" applyFill="1" applyBorder="1"/>
    <xf numFmtId="164" fontId="10" fillId="47" borderId="1" xfId="0" applyNumberFormat="1" applyFont="1" applyFill="1" applyBorder="1" applyAlignment="1">
      <alignment horizontal="center"/>
    </xf>
    <xf numFmtId="0" fontId="10" fillId="47" borderId="1" xfId="0" applyFont="1" applyFill="1" applyBorder="1" applyAlignment="1">
      <alignment horizontal="center"/>
    </xf>
    <xf numFmtId="10" fontId="10" fillId="47" borderId="1" xfId="2" applyNumberFormat="1" applyFont="1" applyFill="1" applyBorder="1" applyAlignment="1">
      <alignment horizontal="center"/>
    </xf>
    <xf numFmtId="164" fontId="10" fillId="48" borderId="1" xfId="0" applyNumberFormat="1" applyFont="1" applyFill="1" applyBorder="1" applyAlignment="1">
      <alignment horizontal="center"/>
    </xf>
    <xf numFmtId="10" fontId="10" fillId="48" borderId="1" xfId="2" applyNumberFormat="1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25" borderId="0" xfId="0" applyFont="1" applyFill="1"/>
    <xf numFmtId="164" fontId="10" fillId="34" borderId="1" xfId="0" applyNumberFormat="1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10" fillId="20" borderId="3" xfId="0" applyFont="1" applyFill="1" applyBorder="1" applyAlignment="1">
      <alignment horizontal="center"/>
    </xf>
    <xf numFmtId="0" fontId="10" fillId="21" borderId="3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" fillId="46" borderId="6" xfId="2" applyNumberFormat="1" applyFont="1" applyFill="1" applyBorder="1" applyAlignment="1">
      <alignment horizontal="center"/>
    </xf>
    <xf numFmtId="0" fontId="7" fillId="43" borderId="3" xfId="0" applyFont="1" applyFill="1" applyBorder="1" applyAlignment="1">
      <alignment horizontal="center"/>
    </xf>
    <xf numFmtId="0" fontId="10" fillId="25" borderId="1" xfId="0" applyFont="1" applyFill="1" applyBorder="1"/>
    <xf numFmtId="0" fontId="10" fillId="27" borderId="1" xfId="0" applyFont="1" applyFill="1" applyBorder="1"/>
    <xf numFmtId="0" fontId="10" fillId="20" borderId="1" xfId="0" applyFont="1" applyFill="1" applyBorder="1"/>
    <xf numFmtId="164" fontId="11" fillId="44" borderId="1" xfId="0" applyNumberFormat="1" applyFont="1" applyFill="1" applyBorder="1" applyAlignment="1">
      <alignment horizontal="center"/>
    </xf>
    <xf numFmtId="164" fontId="11" fillId="45" borderId="1" xfId="0" applyNumberFormat="1" applyFont="1" applyFill="1" applyBorder="1" applyAlignment="1">
      <alignment horizontal="center"/>
    </xf>
    <xf numFmtId="0" fontId="8" fillId="42" borderId="1" xfId="0" applyFont="1" applyFill="1" applyBorder="1" applyAlignment="1">
      <alignment horizontal="center"/>
    </xf>
    <xf numFmtId="10" fontId="8" fillId="42" borderId="1" xfId="2" applyNumberFormat="1" applyFont="1" applyFill="1" applyBorder="1" applyAlignment="1">
      <alignment horizontal="center"/>
    </xf>
    <xf numFmtId="0" fontId="8" fillId="42" borderId="3" xfId="0" applyFont="1" applyFill="1" applyBorder="1" applyAlignment="1">
      <alignment horizontal="center"/>
    </xf>
    <xf numFmtId="17" fontId="5" fillId="49" borderId="1" xfId="0" applyNumberFormat="1" applyFont="1" applyFill="1" applyBorder="1" applyAlignment="1">
      <alignment horizontal="center"/>
    </xf>
    <xf numFmtId="164" fontId="6" fillId="50" borderId="1" xfId="0" applyNumberFormat="1" applyFont="1" applyFill="1" applyBorder="1" applyAlignment="1">
      <alignment horizontal="center" vertical="center"/>
    </xf>
    <xf numFmtId="10" fontId="6" fillId="19" borderId="1" xfId="2" applyNumberFormat="1" applyFont="1" applyFill="1" applyBorder="1" applyAlignment="1">
      <alignment horizontal="center" vertical="center"/>
    </xf>
    <xf numFmtId="10" fontId="6" fillId="19" borderId="1" xfId="2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164" fontId="9" fillId="19" borderId="1" xfId="0" applyNumberFormat="1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left" vertical="center"/>
    </xf>
    <xf numFmtId="164" fontId="6" fillId="19" borderId="1" xfId="1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164" fontId="6" fillId="51" borderId="1" xfId="0" applyNumberFormat="1" applyFont="1" applyFill="1" applyBorder="1" applyAlignment="1">
      <alignment horizontal="center" vertical="center"/>
    </xf>
    <xf numFmtId="10" fontId="6" fillId="52" borderId="2" xfId="2" applyNumberFormat="1" applyFont="1" applyFill="1" applyBorder="1" applyAlignment="1">
      <alignment horizontal="center" vertical="center"/>
    </xf>
    <xf numFmtId="10" fontId="6" fillId="19" borderId="1" xfId="0" applyNumberFormat="1" applyFont="1" applyFill="1" applyBorder="1" applyAlignment="1">
      <alignment horizontal="center"/>
    </xf>
    <xf numFmtId="164" fontId="6" fillId="53" borderId="1" xfId="0" applyNumberFormat="1" applyFont="1" applyFill="1" applyBorder="1" applyAlignment="1">
      <alignment horizontal="center" vertical="center"/>
    </xf>
    <xf numFmtId="164" fontId="8" fillId="19" borderId="1" xfId="2" applyNumberFormat="1" applyFont="1" applyFill="1" applyBorder="1" applyAlignment="1">
      <alignment horizontal="center"/>
    </xf>
    <xf numFmtId="164" fontId="8" fillId="22" borderId="1" xfId="0" applyNumberFormat="1" applyFont="1" applyFill="1" applyBorder="1" applyAlignment="1">
      <alignment horizontal="center"/>
    </xf>
    <xf numFmtId="164" fontId="8" fillId="26" borderId="1" xfId="0" applyNumberFormat="1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justify" vertical="center"/>
    </xf>
    <xf numFmtId="14" fontId="10" fillId="32" borderId="1" xfId="0" applyNumberFormat="1" applyFont="1" applyFill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64" fontId="7" fillId="13" borderId="1" xfId="0" applyNumberFormat="1" applyFont="1" applyFill="1" applyBorder="1"/>
    <xf numFmtId="10" fontId="10" fillId="32" borderId="1" xfId="0" applyNumberFormat="1" applyFont="1" applyFill="1" applyBorder="1" applyAlignment="1">
      <alignment horizontal="center"/>
    </xf>
    <xf numFmtId="164" fontId="7" fillId="32" borderId="1" xfId="0" applyNumberFormat="1" applyFont="1" applyFill="1" applyBorder="1"/>
    <xf numFmtId="17" fontId="10" fillId="32" borderId="1" xfId="0" applyNumberFormat="1" applyFont="1" applyFill="1" applyBorder="1" applyAlignment="1">
      <alignment horizontal="center"/>
    </xf>
    <xf numFmtId="164" fontId="10" fillId="44" borderId="1" xfId="0" applyNumberFormat="1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0" fontId="8" fillId="46" borderId="4" xfId="0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164" fontId="5" fillId="13" borderId="0" xfId="0" applyNumberFormat="1" applyFont="1" applyFill="1"/>
    <xf numFmtId="0" fontId="8" fillId="19" borderId="1" xfId="0" applyFont="1" applyFill="1" applyBorder="1"/>
    <xf numFmtId="164" fontId="8" fillId="44" borderId="4" xfId="0" applyNumberFormat="1" applyFont="1" applyFill="1" applyBorder="1" applyAlignment="1">
      <alignment horizontal="center"/>
    </xf>
    <xf numFmtId="0" fontId="8" fillId="44" borderId="4" xfId="0" applyFont="1" applyFill="1" applyBorder="1" applyAlignment="1">
      <alignment horizontal="center"/>
    </xf>
    <xf numFmtId="164" fontId="8" fillId="46" borderId="4" xfId="0" applyNumberFormat="1" applyFont="1" applyFill="1" applyBorder="1" applyAlignment="1">
      <alignment horizontal="center"/>
    </xf>
    <xf numFmtId="164" fontId="8" fillId="45" borderId="5" xfId="0" applyNumberFormat="1" applyFont="1" applyFill="1" applyBorder="1" applyAlignment="1">
      <alignment horizontal="center"/>
    </xf>
    <xf numFmtId="0" fontId="8" fillId="45" borderId="5" xfId="0" applyFont="1" applyFill="1" applyBorder="1" applyAlignment="1">
      <alignment horizontal="center"/>
    </xf>
    <xf numFmtId="10" fontId="10" fillId="46" borderId="4" xfId="2" applyNumberFormat="1" applyFont="1" applyFill="1" applyBorder="1" applyAlignment="1">
      <alignment horizontal="center"/>
    </xf>
    <xf numFmtId="0" fontId="10" fillId="46" borderId="4" xfId="2" applyNumberFormat="1" applyFont="1" applyFill="1" applyBorder="1" applyAlignment="1">
      <alignment horizontal="center"/>
    </xf>
    <xf numFmtId="0" fontId="10" fillId="46" borderId="6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54" borderId="1" xfId="0" applyFont="1" applyFill="1" applyBorder="1" applyAlignment="1">
      <alignment horizontal="center"/>
    </xf>
    <xf numFmtId="164" fontId="10" fillId="54" borderId="1" xfId="0" applyNumberFormat="1" applyFont="1" applyFill="1" applyBorder="1" applyAlignment="1">
      <alignment horizontal="center"/>
    </xf>
    <xf numFmtId="164" fontId="9" fillId="54" borderId="1" xfId="0" applyNumberFormat="1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10" fillId="46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0" fontId="10" fillId="0" borderId="0" xfId="2" applyNumberFormat="1" applyFont="1" applyBorder="1" applyAlignment="1">
      <alignment horizontal="center"/>
    </xf>
    <xf numFmtId="164" fontId="8" fillId="54" borderId="1" xfId="0" applyNumberFormat="1" applyFont="1" applyFill="1" applyBorder="1" applyAlignment="1">
      <alignment horizontal="center"/>
    </xf>
    <xf numFmtId="0" fontId="8" fillId="54" borderId="1" xfId="0" applyFont="1" applyFill="1" applyBorder="1" applyAlignment="1">
      <alignment horizontal="center"/>
    </xf>
    <xf numFmtId="10" fontId="10" fillId="54" borderId="1" xfId="2" applyNumberFormat="1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164" fontId="8" fillId="17" borderId="1" xfId="0" applyNumberFormat="1" applyFont="1" applyFill="1" applyBorder="1" applyAlignment="1">
      <alignment horizontal="center"/>
    </xf>
    <xf numFmtId="164" fontId="8" fillId="25" borderId="1" xfId="0" applyNumberFormat="1" applyFont="1" applyFill="1" applyBorder="1" applyAlignment="1">
      <alignment horizontal="center"/>
    </xf>
    <xf numFmtId="164" fontId="10" fillId="0" borderId="0" xfId="2" applyNumberFormat="1" applyFont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164" fontId="10" fillId="0" borderId="1" xfId="2" applyNumberFormat="1" applyFont="1" applyBorder="1" applyAlignment="1">
      <alignment horizontal="center"/>
    </xf>
    <xf numFmtId="0" fontId="10" fillId="27" borderId="1" xfId="0" applyFont="1" applyFill="1" applyBorder="1" applyAlignment="1">
      <alignment horizontal="center"/>
    </xf>
    <xf numFmtId="0" fontId="7" fillId="55" borderId="1" xfId="0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164" fontId="10" fillId="2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164" fontId="12" fillId="56" borderId="1" xfId="0" applyNumberFormat="1" applyFont="1" applyFill="1" applyBorder="1" applyAlignment="1">
      <alignment horizontal="center"/>
    </xf>
    <xf numFmtId="0" fontId="10" fillId="39" borderId="1" xfId="0" applyFont="1" applyFill="1" applyBorder="1" applyAlignment="1">
      <alignment horizontal="center"/>
    </xf>
    <xf numFmtId="0" fontId="9" fillId="57" borderId="1" xfId="0" applyFont="1" applyFill="1" applyBorder="1" applyAlignment="1">
      <alignment horizontal="center"/>
    </xf>
    <xf numFmtId="0" fontId="10" fillId="58" borderId="1" xfId="0" applyFont="1" applyFill="1" applyBorder="1" applyAlignment="1">
      <alignment horizontal="center"/>
    </xf>
    <xf numFmtId="0" fontId="10" fillId="59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7" fillId="32" borderId="1" xfId="0" applyNumberFormat="1" applyFont="1" applyFill="1" applyBorder="1" applyAlignment="1">
      <alignment horizontal="center"/>
    </xf>
    <xf numFmtId="164" fontId="5" fillId="13" borderId="0" xfId="0" applyNumberFormat="1" applyFont="1" applyFill="1" applyAlignment="1">
      <alignment horizontal="center"/>
    </xf>
    <xf numFmtId="0" fontId="8" fillId="46" borderId="1" xfId="0" applyFont="1" applyFill="1" applyBorder="1" applyAlignment="1">
      <alignment horizontal="center"/>
    </xf>
    <xf numFmtId="164" fontId="8" fillId="46" borderId="1" xfId="0" applyNumberFormat="1" applyFont="1" applyFill="1" applyBorder="1" applyAlignment="1">
      <alignment horizontal="center"/>
    </xf>
    <xf numFmtId="10" fontId="10" fillId="46" borderId="1" xfId="2" applyNumberFormat="1" applyFont="1" applyFill="1" applyBorder="1" applyAlignment="1">
      <alignment horizontal="center"/>
    </xf>
    <xf numFmtId="0" fontId="10" fillId="46" borderId="1" xfId="2" applyNumberFormat="1" applyFont="1" applyFill="1" applyBorder="1" applyAlignment="1">
      <alignment horizontal="center"/>
    </xf>
    <xf numFmtId="164" fontId="5" fillId="36" borderId="1" xfId="0" applyNumberFormat="1" applyFont="1" applyFill="1" applyBorder="1" applyAlignment="1">
      <alignment horizontal="center"/>
    </xf>
    <xf numFmtId="164" fontId="10" fillId="45" borderId="5" xfId="0" applyNumberFormat="1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7" fillId="6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0" fontId="7" fillId="32" borderId="1" xfId="2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4" fontId="10" fillId="42" borderId="1" xfId="0" applyNumberFormat="1" applyFont="1" applyFill="1" applyBorder="1" applyAlignment="1">
      <alignment horizontal="center"/>
    </xf>
    <xf numFmtId="164" fontId="10" fillId="57" borderId="1" xfId="0" applyNumberFormat="1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7" fillId="61" borderId="1" xfId="0" applyFont="1" applyFill="1" applyBorder="1" applyAlignment="1">
      <alignment horizontal="center"/>
    </xf>
    <xf numFmtId="164" fontId="7" fillId="43" borderId="1" xfId="0" applyNumberFormat="1" applyFont="1" applyFill="1" applyBorder="1" applyAlignment="1">
      <alignment horizontal="center"/>
    </xf>
    <xf numFmtId="0" fontId="10" fillId="32" borderId="0" xfId="0" applyFont="1" applyFill="1"/>
    <xf numFmtId="0" fontId="10" fillId="32" borderId="0" xfId="0" applyFont="1" applyFill="1" applyAlignment="1">
      <alignment horizontal="center"/>
    </xf>
    <xf numFmtId="164" fontId="10" fillId="32" borderId="0" xfId="0" applyNumberFormat="1" applyFont="1" applyFill="1" applyAlignment="1">
      <alignment horizontal="center"/>
    </xf>
    <xf numFmtId="164" fontId="8" fillId="39" borderId="0" xfId="0" applyNumberFormat="1" applyFont="1" applyFill="1" applyAlignment="1">
      <alignment horizontal="center"/>
    </xf>
    <xf numFmtId="164" fontId="10" fillId="41" borderId="0" xfId="0" applyNumberFormat="1" applyFont="1" applyFill="1" applyAlignment="1">
      <alignment horizontal="center"/>
    </xf>
    <xf numFmtId="164" fontId="7" fillId="40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7" fillId="1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4" fontId="10" fillId="59" borderId="1" xfId="0" applyNumberFormat="1" applyFont="1" applyFill="1" applyBorder="1" applyAlignment="1">
      <alignment horizontal="center"/>
    </xf>
    <xf numFmtId="10" fontId="10" fillId="59" borderId="1" xfId="2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0" fontId="7" fillId="32" borderId="1" xfId="0" applyFont="1" applyFill="1" applyBorder="1" applyAlignment="1">
      <alignment horizont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EEB500"/>
      <color rgb="FFCC6600"/>
      <color rgb="FF6DFFFF"/>
      <color rgb="FF800000"/>
      <color rgb="FF00B0F0"/>
      <color rgb="FFE2EFDA"/>
      <color rgb="FFCC9900"/>
      <color rgb="FF00FFCC"/>
      <color rgb="FF48EE3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678AD9C5-0B24-426C-91DF-CDBB0BFFE839}"/>
            </a:ext>
          </a:extLst>
        </xdr:cNvPr>
        <xdr:cNvSpPr/>
      </xdr:nvSpPr>
      <xdr:spPr>
        <a:xfrm>
          <a:off x="220980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39FFA330-E6AB-4276-B83D-51AC9622A75D}"/>
            </a:ext>
          </a:extLst>
        </xdr:cNvPr>
        <xdr:cNvSpPr/>
      </xdr:nvSpPr>
      <xdr:spPr>
        <a:xfrm>
          <a:off x="266700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80EFD0B1-31C6-4F22-BD02-15B386D29CB8}"/>
            </a:ext>
          </a:extLst>
        </xdr:cNvPr>
        <xdr:cNvSpPr/>
      </xdr:nvSpPr>
      <xdr:spPr>
        <a:xfrm>
          <a:off x="23812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3E46-DA81-461F-BFEE-CAC528B79047}">
  <sheetPr>
    <tabColor theme="5" tint="-0.249977111117893"/>
  </sheetPr>
  <dimension ref="A1:AC61"/>
  <sheetViews>
    <sheetView topLeftCell="H22" workbookViewId="0">
      <selection activeCell="X34" sqref="X34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14.140625" bestFit="1" customWidth="1"/>
    <col min="4" max="4" width="38.28515625" bestFit="1" customWidth="1"/>
    <col min="5" max="5" width="20.42578125" bestFit="1" customWidth="1"/>
    <col min="6" max="6" width="43.28515625" style="163" bestFit="1" customWidth="1"/>
    <col min="7" max="7" width="15.7109375" style="29" bestFit="1" customWidth="1"/>
    <col min="8" max="8" width="32.42578125" style="21" bestFit="1" customWidth="1"/>
    <col min="9" max="9" width="14.5703125" style="20" bestFit="1" customWidth="1"/>
    <col min="10" max="10" width="15.28515625" style="21" bestFit="1" customWidth="1"/>
    <col min="11" max="11" width="15.85546875" bestFit="1" customWidth="1"/>
    <col min="12" max="12" width="15.85546875" style="21" bestFit="1" customWidth="1"/>
    <col min="13" max="13" width="17" style="21" bestFit="1" customWidth="1"/>
    <col min="14" max="14" width="17" bestFit="1" customWidth="1"/>
    <col min="15" max="15" width="17" style="21" bestFit="1" customWidth="1"/>
    <col min="16" max="16" width="13.7109375" style="21" customWidth="1"/>
    <col min="17" max="17" width="15.5703125" style="34" bestFit="1" customWidth="1"/>
    <col min="18" max="18" width="12.28515625" style="21" bestFit="1" customWidth="1"/>
    <col min="19" max="19" width="13.140625" style="21" bestFit="1" customWidth="1"/>
    <col min="20" max="20" width="12.5703125" style="21" bestFit="1" customWidth="1"/>
    <col min="21" max="21" width="12.28515625" style="21" bestFit="1" customWidth="1"/>
    <col min="22" max="22" width="12" bestFit="1" customWidth="1"/>
    <col min="23" max="23" width="15" bestFit="1" customWidth="1"/>
    <col min="24" max="25" width="12.7109375" customWidth="1"/>
    <col min="26" max="26" width="18" style="21" bestFit="1" customWidth="1"/>
    <col min="27" max="27" width="12.7109375" style="21" customWidth="1"/>
    <col min="28" max="28" width="13.28515625" style="21" bestFit="1" customWidth="1"/>
    <col min="29" max="29" width="10.42578125" style="21" bestFit="1" customWidth="1"/>
  </cols>
  <sheetData>
    <row r="1" spans="1:28" x14ac:dyDescent="0.25">
      <c r="A1" s="1" t="s">
        <v>0</v>
      </c>
      <c r="B1" s="42">
        <v>45658</v>
      </c>
      <c r="C1" s="2"/>
      <c r="D1" s="3" t="s">
        <v>1</v>
      </c>
      <c r="E1" s="26"/>
      <c r="F1" s="5"/>
      <c r="G1" s="6"/>
      <c r="H1" s="2"/>
      <c r="I1" s="6"/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4"/>
      <c r="W1" s="2"/>
      <c r="X1" s="2"/>
      <c r="Y1" s="6"/>
      <c r="Z1" s="6"/>
      <c r="AA1" s="64"/>
      <c r="AB1" s="64"/>
    </row>
    <row r="2" spans="1:28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3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v>0.1666</v>
      </c>
      <c r="M2" s="66" t="s">
        <v>78</v>
      </c>
      <c r="N2" s="14" t="s">
        <v>15</v>
      </c>
      <c r="O2" s="15">
        <v>0.33339999999999997</v>
      </c>
      <c r="P2" s="66" t="s">
        <v>78</v>
      </c>
      <c r="Q2" s="44">
        <v>0.1666666</v>
      </c>
      <c r="R2" s="28" t="s">
        <v>29</v>
      </c>
      <c r="S2" s="19" t="s">
        <v>3</v>
      </c>
      <c r="T2" s="16">
        <f>O2</f>
        <v>0.33339999999999997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64"/>
    </row>
    <row r="3" spans="1:28" x14ac:dyDescent="0.25">
      <c r="A3" s="67">
        <v>45639</v>
      </c>
      <c r="B3" s="48">
        <v>1</v>
      </c>
      <c r="C3" s="68" t="s">
        <v>41</v>
      </c>
      <c r="D3" s="50" t="s">
        <v>31</v>
      </c>
      <c r="E3" s="50" t="s">
        <v>32</v>
      </c>
      <c r="F3" s="51" t="s">
        <v>34</v>
      </c>
      <c r="G3" s="52">
        <v>3500</v>
      </c>
      <c r="H3" s="48" t="s">
        <v>36</v>
      </c>
      <c r="I3" s="69">
        <v>2000</v>
      </c>
      <c r="J3" s="70" t="s">
        <v>45</v>
      </c>
      <c r="K3" s="71" t="s">
        <v>23</v>
      </c>
      <c r="L3" s="55">
        <f>I3/3/2</f>
        <v>333.33333333333331</v>
      </c>
      <c r="M3" s="43" t="s">
        <v>79</v>
      </c>
      <c r="N3" s="56" t="s">
        <v>27</v>
      </c>
      <c r="O3" s="57">
        <f>I3/3</f>
        <v>666.66666666666663</v>
      </c>
      <c r="P3" s="72">
        <v>1</v>
      </c>
      <c r="Q3" s="73">
        <f>L3</f>
        <v>333.33333333333331</v>
      </c>
      <c r="R3" s="59">
        <f>Q2/11</f>
        <v>1.5151509090909092E-2</v>
      </c>
      <c r="S3" s="52">
        <f>Q3/11</f>
        <v>30.303030303030301</v>
      </c>
      <c r="T3" s="60">
        <f>O3</f>
        <v>666.66666666666663</v>
      </c>
      <c r="U3" s="61">
        <f>L3+O3+Q3+T3</f>
        <v>2000</v>
      </c>
      <c r="V3" s="52">
        <f>I3-U3</f>
        <v>0</v>
      </c>
      <c r="W3" s="52">
        <f>G3-I3</f>
        <v>1500</v>
      </c>
      <c r="X3" s="48" t="s">
        <v>38</v>
      </c>
      <c r="Y3" s="62">
        <v>45627</v>
      </c>
      <c r="Z3" s="48"/>
      <c r="AA3" s="64"/>
      <c r="AB3" s="64"/>
    </row>
    <row r="4" spans="1:28" x14ac:dyDescent="0.25">
      <c r="A4" s="67">
        <v>45639</v>
      </c>
      <c r="B4" s="48">
        <v>2</v>
      </c>
      <c r="C4" s="68" t="str">
        <f>C51</f>
        <v>AGUARDANDO</v>
      </c>
      <c r="D4" s="50" t="s">
        <v>48</v>
      </c>
      <c r="E4" s="50" t="s">
        <v>43</v>
      </c>
      <c r="F4" s="51" t="s">
        <v>59</v>
      </c>
      <c r="G4" s="52">
        <v>150</v>
      </c>
      <c r="H4" s="48" t="s">
        <v>55</v>
      </c>
      <c r="I4" s="69">
        <v>150</v>
      </c>
      <c r="J4" s="70" t="s">
        <v>46</v>
      </c>
      <c r="K4" s="71" t="s">
        <v>23</v>
      </c>
      <c r="L4" s="55">
        <f>I4/3/2</f>
        <v>25</v>
      </c>
      <c r="M4" s="55" t="str">
        <f>M3</f>
        <v>GESTÃO</v>
      </c>
      <c r="N4" s="56" t="s">
        <v>27</v>
      </c>
      <c r="O4" s="57">
        <f>G4/3</f>
        <v>50</v>
      </c>
      <c r="P4" s="72">
        <v>1</v>
      </c>
      <c r="Q4" s="73">
        <f>L4</f>
        <v>25</v>
      </c>
      <c r="R4" s="59">
        <f>R3</f>
        <v>1.5151509090909092E-2</v>
      </c>
      <c r="S4" s="52">
        <f>Q4/11</f>
        <v>2.2727272727272729</v>
      </c>
      <c r="T4" s="60">
        <f>O4</f>
        <v>50</v>
      </c>
      <c r="U4" s="61">
        <f>L4+O4+Q4+T4</f>
        <v>150</v>
      </c>
      <c r="V4" s="52">
        <f>I4-U4</f>
        <v>0</v>
      </c>
      <c r="W4" s="52">
        <f>G4-I4</f>
        <v>0</v>
      </c>
      <c r="X4" s="48" t="str">
        <f>X51</f>
        <v>ÚNICA</v>
      </c>
      <c r="Y4" s="62">
        <v>45627</v>
      </c>
      <c r="Z4" s="48"/>
      <c r="AA4" s="64"/>
      <c r="AB4" s="64"/>
    </row>
    <row r="5" spans="1:28" x14ac:dyDescent="0.25">
      <c r="A5" s="67">
        <v>45641</v>
      </c>
      <c r="B5" s="48">
        <v>3</v>
      </c>
      <c r="C5" s="68" t="str">
        <f>C3</f>
        <v>RECEBIDO</v>
      </c>
      <c r="D5" s="50" t="s">
        <v>48</v>
      </c>
      <c r="E5" s="50" t="s">
        <v>43</v>
      </c>
      <c r="F5" s="51" t="s">
        <v>50</v>
      </c>
      <c r="G5" s="52">
        <v>2750</v>
      </c>
      <c r="H5" s="48" t="s">
        <v>51</v>
      </c>
      <c r="I5" s="69">
        <v>1500</v>
      </c>
      <c r="J5" s="70" t="s">
        <v>46</v>
      </c>
      <c r="K5" s="71" t="s">
        <v>23</v>
      </c>
      <c r="L5" s="55">
        <f>I5/3/2</f>
        <v>250</v>
      </c>
      <c r="M5" s="55" t="str">
        <f>M3</f>
        <v>GESTÃO</v>
      </c>
      <c r="N5" s="56" t="s">
        <v>27</v>
      </c>
      <c r="O5" s="57">
        <f>I5/3</f>
        <v>500</v>
      </c>
      <c r="P5" s="72">
        <v>1</v>
      </c>
      <c r="Q5" s="73">
        <f>L5</f>
        <v>250</v>
      </c>
      <c r="R5" s="59">
        <f>R3</f>
        <v>1.5151509090909092E-2</v>
      </c>
      <c r="S5" s="52">
        <f>Q5/11</f>
        <v>22.727272727272727</v>
      </c>
      <c r="T5" s="60">
        <f>O5</f>
        <v>500</v>
      </c>
      <c r="U5" s="61">
        <f>L5+O5+Q5+T5</f>
        <v>1500</v>
      </c>
      <c r="V5" s="52">
        <f>I5-U5</f>
        <v>0</v>
      </c>
      <c r="W5" s="52">
        <f>G5-I5</f>
        <v>1250</v>
      </c>
      <c r="X5" s="48" t="str">
        <f>X3</f>
        <v>ENTRADA</v>
      </c>
      <c r="Y5" s="62">
        <v>45627</v>
      </c>
      <c r="Z5" s="48"/>
      <c r="AA5" s="64"/>
      <c r="AB5" s="64"/>
    </row>
    <row r="6" spans="1:28" x14ac:dyDescent="0.25">
      <c r="A6" s="67">
        <v>45642</v>
      </c>
      <c r="B6" s="48">
        <v>4</v>
      </c>
      <c r="C6" s="68" t="str">
        <f>C3</f>
        <v>RECEBIDO</v>
      </c>
      <c r="D6" s="50" t="s">
        <v>42</v>
      </c>
      <c r="E6" s="50" t="s">
        <v>43</v>
      </c>
      <c r="F6" s="51" t="s">
        <v>49</v>
      </c>
      <c r="G6" s="52">
        <v>4000</v>
      </c>
      <c r="H6" s="48" t="s">
        <v>44</v>
      </c>
      <c r="I6" s="69">
        <v>500</v>
      </c>
      <c r="J6" s="70" t="s">
        <v>46</v>
      </c>
      <c r="K6" s="71" t="s">
        <v>23</v>
      </c>
      <c r="L6" s="55">
        <f>I6/3/2</f>
        <v>83.333333333333329</v>
      </c>
      <c r="M6" s="55" t="str">
        <f>M3</f>
        <v>GESTÃO</v>
      </c>
      <c r="N6" s="74" t="s">
        <v>21</v>
      </c>
      <c r="O6" s="75">
        <f>I6/3/2</f>
        <v>83.333333333333329</v>
      </c>
      <c r="P6" s="74">
        <v>3</v>
      </c>
      <c r="Q6" s="73">
        <f>L6</f>
        <v>83.333333333333329</v>
      </c>
      <c r="R6" s="59">
        <f>R3</f>
        <v>1.5151509090909092E-2</v>
      </c>
      <c r="S6" s="52">
        <f>Q6/11</f>
        <v>7.5757575757575752</v>
      </c>
      <c r="T6" s="60">
        <f>I6/3</f>
        <v>166.66666666666666</v>
      </c>
      <c r="U6" s="61">
        <v>500</v>
      </c>
      <c r="V6" s="52">
        <f>I6-U6</f>
        <v>0</v>
      </c>
      <c r="W6" s="52">
        <f>G6-I6</f>
        <v>3500</v>
      </c>
      <c r="X6" s="48" t="s">
        <v>47</v>
      </c>
      <c r="Y6" s="62">
        <v>45627</v>
      </c>
      <c r="Z6" s="48"/>
      <c r="AA6" s="64"/>
      <c r="AB6" s="64"/>
    </row>
    <row r="7" spans="1:28" x14ac:dyDescent="0.25">
      <c r="A7" s="50"/>
      <c r="B7" s="50"/>
      <c r="C7" s="50"/>
      <c r="D7" s="50"/>
      <c r="E7" s="50"/>
      <c r="F7" s="51"/>
      <c r="G7" s="63"/>
      <c r="H7" s="48"/>
      <c r="I7" s="52"/>
      <c r="J7" s="48"/>
      <c r="K7" s="50"/>
      <c r="L7" s="48"/>
      <c r="M7" s="48"/>
      <c r="N7" s="76" t="s">
        <v>24</v>
      </c>
      <c r="O7" s="77">
        <f>I6/3/2</f>
        <v>83.333333333333329</v>
      </c>
      <c r="P7" s="74">
        <v>3</v>
      </c>
      <c r="Q7" s="78"/>
      <c r="R7" s="59"/>
      <c r="S7" s="48"/>
      <c r="T7" s="48"/>
      <c r="U7" s="48"/>
      <c r="V7" s="50"/>
      <c r="W7" s="50"/>
      <c r="X7" s="50"/>
      <c r="Y7" s="50"/>
      <c r="Z7" s="48"/>
      <c r="AA7" s="64"/>
      <c r="AB7" s="64"/>
    </row>
    <row r="8" spans="1:28" x14ac:dyDescent="0.25">
      <c r="A8" s="67">
        <v>45646</v>
      </c>
      <c r="B8" s="48">
        <v>5</v>
      </c>
      <c r="C8" s="68" t="s">
        <v>41</v>
      </c>
      <c r="D8" s="50" t="s">
        <v>63</v>
      </c>
      <c r="E8" s="50" t="s">
        <v>61</v>
      </c>
      <c r="F8" s="51" t="s">
        <v>66</v>
      </c>
      <c r="G8" s="52">
        <v>878</v>
      </c>
      <c r="H8" s="48" t="s">
        <v>55</v>
      </c>
      <c r="I8" s="69">
        <v>878</v>
      </c>
      <c r="J8" s="70" t="str">
        <f>J6</f>
        <v>PIX JSPJ</v>
      </c>
      <c r="K8" s="74" t="s">
        <v>21</v>
      </c>
      <c r="L8" s="75">
        <f>I8/3/2</f>
        <v>146.33333333333334</v>
      </c>
      <c r="M8" s="74">
        <v>3</v>
      </c>
      <c r="N8" s="76" t="s">
        <v>24</v>
      </c>
      <c r="O8" s="77">
        <f>L8</f>
        <v>146.33333333333334</v>
      </c>
      <c r="P8" s="74">
        <v>3</v>
      </c>
      <c r="Q8" s="73">
        <f>L8</f>
        <v>146.33333333333334</v>
      </c>
      <c r="R8" s="59">
        <f>R3</f>
        <v>1.5151509090909092E-2</v>
      </c>
      <c r="S8" s="52">
        <f>Q8/11</f>
        <v>13.303030303030305</v>
      </c>
      <c r="T8" s="60">
        <f>I8/3</f>
        <v>292.66666666666669</v>
      </c>
      <c r="U8" s="61">
        <f>L8+O8+Q8+O9+T8</f>
        <v>878</v>
      </c>
      <c r="V8" s="52">
        <f>I8-U8</f>
        <v>0</v>
      </c>
      <c r="W8" s="52">
        <v>0</v>
      </c>
      <c r="X8" s="48" t="s">
        <v>67</v>
      </c>
      <c r="Y8" s="62">
        <v>45627</v>
      </c>
      <c r="Z8" s="48" t="s">
        <v>65</v>
      </c>
      <c r="AA8" s="64"/>
      <c r="AB8" s="64"/>
    </row>
    <row r="9" spans="1:28" x14ac:dyDescent="0.25">
      <c r="A9" s="50"/>
      <c r="B9" s="50"/>
      <c r="C9" s="50"/>
      <c r="D9" s="50"/>
      <c r="E9" s="50"/>
      <c r="F9" s="51"/>
      <c r="G9" s="63"/>
      <c r="H9" s="48"/>
      <c r="I9" s="52"/>
      <c r="J9" s="48"/>
      <c r="K9" s="50"/>
      <c r="L9" s="48"/>
      <c r="M9" s="48"/>
      <c r="N9" s="79" t="s">
        <v>37</v>
      </c>
      <c r="O9" s="80">
        <f>L8</f>
        <v>146.33333333333334</v>
      </c>
      <c r="P9" s="74">
        <v>3</v>
      </c>
      <c r="Q9" s="64"/>
      <c r="R9" s="59"/>
      <c r="S9" s="48"/>
      <c r="T9" s="48"/>
      <c r="U9" s="48"/>
      <c r="V9" s="50"/>
      <c r="W9" s="50"/>
      <c r="X9" s="50"/>
      <c r="Y9" s="50"/>
      <c r="Z9" s="48"/>
      <c r="AA9" s="64"/>
      <c r="AB9" s="64"/>
    </row>
    <row r="10" spans="1:28" x14ac:dyDescent="0.25">
      <c r="A10" s="67">
        <v>45673</v>
      </c>
      <c r="B10" s="48">
        <v>6</v>
      </c>
      <c r="C10" s="68" t="str">
        <f>C6</f>
        <v>RECEBIDO</v>
      </c>
      <c r="D10" s="50" t="s">
        <v>42</v>
      </c>
      <c r="E10" s="50" t="s">
        <v>43</v>
      </c>
      <c r="F10" s="51" t="s">
        <v>49</v>
      </c>
      <c r="G10" s="52">
        <v>4000</v>
      </c>
      <c r="H10" s="48" t="s">
        <v>44</v>
      </c>
      <c r="I10" s="69">
        <v>500</v>
      </c>
      <c r="J10" s="70" t="s">
        <v>46</v>
      </c>
      <c r="K10" s="71" t="s">
        <v>23</v>
      </c>
      <c r="L10" s="55">
        <f>I10/3/2</f>
        <v>83.333333333333329</v>
      </c>
      <c r="M10" s="55" t="str">
        <f>M3</f>
        <v>GESTÃO</v>
      </c>
      <c r="N10" s="74" t="s">
        <v>21</v>
      </c>
      <c r="O10" s="75">
        <f>I10/3/2</f>
        <v>83.333333333333329</v>
      </c>
      <c r="P10" s="74">
        <v>3</v>
      </c>
      <c r="Q10" s="73">
        <f>L10</f>
        <v>83.333333333333329</v>
      </c>
      <c r="R10" s="59">
        <f>R3</f>
        <v>1.5151509090909092E-2</v>
      </c>
      <c r="S10" s="52">
        <f>Q10/11</f>
        <v>7.5757575757575752</v>
      </c>
      <c r="T10" s="60">
        <f>I10/3</f>
        <v>166.66666666666666</v>
      </c>
      <c r="U10" s="61">
        <v>500</v>
      </c>
      <c r="V10" s="52">
        <f>I10-U10</f>
        <v>0</v>
      </c>
      <c r="W10" s="52">
        <f>I10*6</f>
        <v>3000</v>
      </c>
      <c r="X10" s="48" t="s">
        <v>71</v>
      </c>
      <c r="Y10" s="62">
        <v>45627</v>
      </c>
      <c r="Z10" s="48"/>
      <c r="AA10" s="64"/>
      <c r="AB10" s="64"/>
    </row>
    <row r="11" spans="1:28" x14ac:dyDescent="0.25">
      <c r="A11" s="50"/>
      <c r="B11" s="50"/>
      <c r="C11" s="50"/>
      <c r="D11" s="50"/>
      <c r="E11" s="50"/>
      <c r="F11" s="51"/>
      <c r="G11" s="63"/>
      <c r="H11" s="48"/>
      <c r="I11" s="52"/>
      <c r="J11" s="48"/>
      <c r="K11" s="50"/>
      <c r="L11" s="48"/>
      <c r="M11" s="48"/>
      <c r="N11" s="76" t="s">
        <v>24</v>
      </c>
      <c r="O11" s="77">
        <f>I10/3/2</f>
        <v>83.333333333333329</v>
      </c>
      <c r="P11" s="74">
        <v>3</v>
      </c>
      <c r="Q11" s="78"/>
      <c r="R11" s="59"/>
      <c r="S11" s="48"/>
      <c r="T11" s="48"/>
      <c r="U11" s="48"/>
      <c r="V11" s="50"/>
      <c r="W11" s="50"/>
      <c r="X11" s="50"/>
      <c r="Y11" s="50"/>
      <c r="Z11" s="48"/>
      <c r="AA11" s="64"/>
      <c r="AB11" s="64"/>
    </row>
    <row r="12" spans="1:28" x14ac:dyDescent="0.25">
      <c r="A12" s="67">
        <v>45674</v>
      </c>
      <c r="B12" s="48">
        <v>7</v>
      </c>
      <c r="C12" s="68" t="s">
        <v>41</v>
      </c>
      <c r="D12" s="50" t="s">
        <v>72</v>
      </c>
      <c r="E12" s="50" t="s">
        <v>73</v>
      </c>
      <c r="F12" s="51" t="s">
        <v>74</v>
      </c>
      <c r="G12" s="52">
        <v>700</v>
      </c>
      <c r="H12" s="48" t="s">
        <v>55</v>
      </c>
      <c r="I12" s="69">
        <v>700</v>
      </c>
      <c r="J12" s="70" t="s">
        <v>75</v>
      </c>
      <c r="K12" s="71" t="s">
        <v>23</v>
      </c>
      <c r="L12" s="55">
        <f>I12/3/2</f>
        <v>116.66666666666667</v>
      </c>
      <c r="M12" s="55" t="str">
        <f>M3</f>
        <v>GESTÃO</v>
      </c>
      <c r="N12" s="76" t="s">
        <v>24</v>
      </c>
      <c r="O12" s="77">
        <f>I12/3/2</f>
        <v>116.66666666666667</v>
      </c>
      <c r="P12" s="74">
        <v>3</v>
      </c>
      <c r="Q12" s="73">
        <f>I12/3/2</f>
        <v>116.66666666666667</v>
      </c>
      <c r="R12" s="59">
        <f>R3</f>
        <v>1.5151509090909092E-2</v>
      </c>
      <c r="S12" s="52">
        <f>Q12/11</f>
        <v>10.606060606060607</v>
      </c>
      <c r="T12" s="60">
        <f>I12/3</f>
        <v>233.33333333333334</v>
      </c>
      <c r="U12" s="61">
        <f>L12+O12+Q12+O13+T12</f>
        <v>700</v>
      </c>
      <c r="V12" s="52">
        <f>I12-U12</f>
        <v>0</v>
      </c>
      <c r="W12" s="52">
        <v>0</v>
      </c>
      <c r="X12" s="48" t="s">
        <v>67</v>
      </c>
      <c r="Y12" s="62">
        <v>45658</v>
      </c>
      <c r="Z12" s="48"/>
      <c r="AA12" s="64"/>
      <c r="AB12" s="64"/>
    </row>
    <row r="13" spans="1:28" x14ac:dyDescent="0.25">
      <c r="A13" s="50"/>
      <c r="B13" s="50"/>
      <c r="C13" s="50"/>
      <c r="D13" s="50"/>
      <c r="E13" s="50"/>
      <c r="F13" s="51"/>
      <c r="G13" s="63"/>
      <c r="H13" s="48"/>
      <c r="I13" s="52"/>
      <c r="J13" s="48"/>
      <c r="K13" s="50"/>
      <c r="L13" s="48"/>
      <c r="M13" s="48"/>
      <c r="N13" s="79" t="s">
        <v>37</v>
      </c>
      <c r="O13" s="80">
        <f>L12</f>
        <v>116.66666666666667</v>
      </c>
      <c r="P13" s="74">
        <v>3</v>
      </c>
      <c r="Q13" s="64"/>
      <c r="R13" s="59"/>
      <c r="S13" s="48"/>
      <c r="T13" s="48"/>
      <c r="U13" s="48"/>
      <c r="V13" s="50"/>
      <c r="W13" s="50"/>
      <c r="X13" s="50"/>
      <c r="Y13" s="50"/>
      <c r="Z13" s="48"/>
      <c r="AA13" s="64"/>
      <c r="AB13" s="64"/>
    </row>
    <row r="14" spans="1:28" x14ac:dyDescent="0.25">
      <c r="A14" s="67">
        <v>44216</v>
      </c>
      <c r="B14" s="48">
        <v>8</v>
      </c>
      <c r="C14" s="68" t="str">
        <f>C12</f>
        <v>RECEBIDO</v>
      </c>
      <c r="D14" s="50" t="s">
        <v>48</v>
      </c>
      <c r="E14" s="50" t="s">
        <v>43</v>
      </c>
      <c r="F14" s="51" t="s">
        <v>50</v>
      </c>
      <c r="G14" s="52">
        <v>2750</v>
      </c>
      <c r="H14" s="48" t="s">
        <v>51</v>
      </c>
      <c r="I14" s="69">
        <v>250</v>
      </c>
      <c r="J14" s="70" t="s">
        <v>46</v>
      </c>
      <c r="K14" s="71" t="s">
        <v>23</v>
      </c>
      <c r="L14" s="55">
        <f>I14/3/2</f>
        <v>41.666666666666664</v>
      </c>
      <c r="M14" s="55" t="str">
        <f>M12</f>
        <v>GESTÃO</v>
      </c>
      <c r="N14" s="56" t="s">
        <v>27</v>
      </c>
      <c r="O14" s="57">
        <f>I14/3</f>
        <v>83.333333333333329</v>
      </c>
      <c r="P14" s="72">
        <v>1</v>
      </c>
      <c r="Q14" s="73">
        <f>L14</f>
        <v>41.666666666666664</v>
      </c>
      <c r="R14" s="59">
        <f>R3</f>
        <v>1.5151509090909092E-2</v>
      </c>
      <c r="S14" s="52">
        <f>Q14/11</f>
        <v>3.7878787878787876</v>
      </c>
      <c r="T14" s="60">
        <f>O14</f>
        <v>83.333333333333329</v>
      </c>
      <c r="U14" s="61">
        <f>L14+O14+Q14+T14</f>
        <v>250</v>
      </c>
      <c r="V14" s="52">
        <f>I14-U14</f>
        <v>0</v>
      </c>
      <c r="W14" s="52">
        <f>G14-I14</f>
        <v>2500</v>
      </c>
      <c r="X14" s="48" t="str">
        <f>X12</f>
        <v>ÚNICA</v>
      </c>
      <c r="Y14" s="62">
        <v>45627</v>
      </c>
      <c r="Z14" s="48"/>
      <c r="AA14" s="64"/>
      <c r="AB14" s="64"/>
    </row>
    <row r="15" spans="1:28" x14ac:dyDescent="0.25">
      <c r="A15" s="67">
        <v>45678</v>
      </c>
      <c r="B15" s="48">
        <v>9</v>
      </c>
      <c r="C15" s="68" t="s">
        <v>41</v>
      </c>
      <c r="D15" s="46" t="s">
        <v>85</v>
      </c>
      <c r="E15" s="50" t="s">
        <v>73</v>
      </c>
      <c r="F15" s="51" t="s">
        <v>74</v>
      </c>
      <c r="G15" s="52">
        <v>750</v>
      </c>
      <c r="H15" s="48" t="s">
        <v>55</v>
      </c>
      <c r="I15" s="69">
        <v>750</v>
      </c>
      <c r="J15" s="70" t="s">
        <v>75</v>
      </c>
      <c r="K15" s="71" t="s">
        <v>23</v>
      </c>
      <c r="L15" s="55">
        <f>I15/3/2</f>
        <v>125</v>
      </c>
      <c r="M15" s="55" t="str">
        <f>M6</f>
        <v>GESTÃO</v>
      </c>
      <c r="N15" s="76" t="s">
        <v>24</v>
      </c>
      <c r="O15" s="77">
        <f>I15/3/2</f>
        <v>125</v>
      </c>
      <c r="P15" s="74">
        <v>3</v>
      </c>
      <c r="Q15" s="73">
        <f>I15/3/2</f>
        <v>125</v>
      </c>
      <c r="R15" s="59">
        <f>R3</f>
        <v>1.5151509090909092E-2</v>
      </c>
      <c r="S15" s="52">
        <f>Q15/11</f>
        <v>11.363636363636363</v>
      </c>
      <c r="T15" s="60">
        <f>I15/3</f>
        <v>250</v>
      </c>
      <c r="U15" s="61">
        <f>L15+O15+Q15+O16+T15</f>
        <v>750</v>
      </c>
      <c r="V15" s="52">
        <f>I15-U15</f>
        <v>0</v>
      </c>
      <c r="W15" s="52">
        <v>0</v>
      </c>
      <c r="X15" s="48" t="s">
        <v>67</v>
      </c>
      <c r="Y15" s="62">
        <v>45658</v>
      </c>
      <c r="Z15" s="48"/>
      <c r="AA15" s="64"/>
      <c r="AB15" s="64"/>
    </row>
    <row r="16" spans="1:28" x14ac:dyDescent="0.25">
      <c r="A16" s="50"/>
      <c r="B16" s="50"/>
      <c r="C16" s="50"/>
      <c r="D16" s="50"/>
      <c r="E16" s="50"/>
      <c r="F16" s="51"/>
      <c r="G16" s="63"/>
      <c r="H16" s="48"/>
      <c r="I16" s="52"/>
      <c r="J16" s="48"/>
      <c r="K16" s="50"/>
      <c r="L16" s="48"/>
      <c r="M16" s="48"/>
      <c r="N16" s="79" t="s">
        <v>37</v>
      </c>
      <c r="O16" s="80">
        <f>L15</f>
        <v>125</v>
      </c>
      <c r="P16" s="74">
        <v>3</v>
      </c>
      <c r="Q16" s="64"/>
      <c r="R16" s="59"/>
      <c r="S16" s="48"/>
      <c r="T16" s="48"/>
      <c r="U16" s="48"/>
      <c r="V16" s="50"/>
      <c r="W16" s="50"/>
      <c r="X16" s="50"/>
      <c r="Y16" s="50"/>
      <c r="Z16" s="48"/>
      <c r="AA16" s="64"/>
      <c r="AB16" s="64"/>
    </row>
    <row r="17" spans="1:28" x14ac:dyDescent="0.25">
      <c r="A17" s="67">
        <v>45679</v>
      </c>
      <c r="B17" s="48">
        <v>10</v>
      </c>
      <c r="C17" s="68" t="s">
        <v>41</v>
      </c>
      <c r="D17" s="46" t="s">
        <v>86</v>
      </c>
      <c r="E17" s="50" t="s">
        <v>73</v>
      </c>
      <c r="F17" s="51" t="s">
        <v>87</v>
      </c>
      <c r="G17" s="52">
        <v>750</v>
      </c>
      <c r="H17" s="48" t="s">
        <v>55</v>
      </c>
      <c r="I17" s="69">
        <v>750</v>
      </c>
      <c r="J17" s="70" t="s">
        <v>75</v>
      </c>
      <c r="K17" s="71" t="s">
        <v>23</v>
      </c>
      <c r="L17" s="55">
        <f>I17/3/2</f>
        <v>125</v>
      </c>
      <c r="M17" s="55" t="str">
        <f>M15</f>
        <v>GESTÃO</v>
      </c>
      <c r="N17" s="76" t="s">
        <v>24</v>
      </c>
      <c r="O17" s="77">
        <f>I17/3/2</f>
        <v>125</v>
      </c>
      <c r="P17" s="74">
        <v>3</v>
      </c>
      <c r="Q17" s="73">
        <f>I17/3/2</f>
        <v>125</v>
      </c>
      <c r="R17" s="59">
        <f>R3</f>
        <v>1.5151509090909092E-2</v>
      </c>
      <c r="S17" s="52">
        <f>Q17/11</f>
        <v>11.363636363636363</v>
      </c>
      <c r="T17" s="60">
        <f>I17/3</f>
        <v>250</v>
      </c>
      <c r="U17" s="61">
        <f>L17+O17+Q17+O18+T17</f>
        <v>750</v>
      </c>
      <c r="V17" s="52">
        <f>I17-U17</f>
        <v>0</v>
      </c>
      <c r="W17" s="52">
        <v>0</v>
      </c>
      <c r="X17" s="48" t="s">
        <v>67</v>
      </c>
      <c r="Y17" s="62">
        <v>45658</v>
      </c>
      <c r="Z17" s="48"/>
      <c r="AA17" s="64"/>
      <c r="AB17" s="64"/>
    </row>
    <row r="18" spans="1:28" x14ac:dyDescent="0.25">
      <c r="A18" s="50"/>
      <c r="B18" s="50"/>
      <c r="C18" s="50"/>
      <c r="D18" s="50"/>
      <c r="E18" s="50"/>
      <c r="F18" s="51"/>
      <c r="G18" s="63"/>
      <c r="H18" s="48"/>
      <c r="I18" s="52"/>
      <c r="J18" s="48"/>
      <c r="K18" s="50"/>
      <c r="L18" s="48"/>
      <c r="M18" s="48"/>
      <c r="N18" s="79" t="s">
        <v>37</v>
      </c>
      <c r="O18" s="80">
        <f>L17</f>
        <v>125</v>
      </c>
      <c r="P18" s="74">
        <v>3</v>
      </c>
      <c r="Q18" s="64"/>
      <c r="R18" s="59"/>
      <c r="S18" s="48"/>
      <c r="T18" s="48"/>
      <c r="U18" s="48"/>
      <c r="V18" s="50"/>
      <c r="W18" s="50"/>
      <c r="X18" s="50"/>
      <c r="Y18" s="50"/>
      <c r="Z18" s="48"/>
      <c r="AA18" s="64"/>
      <c r="AB18" s="64"/>
    </row>
    <row r="19" spans="1:28" x14ac:dyDescent="0.25">
      <c r="A19" s="67">
        <v>45680</v>
      </c>
      <c r="B19" s="48">
        <v>11</v>
      </c>
      <c r="C19" s="68" t="s">
        <v>41</v>
      </c>
      <c r="D19" s="50" t="s">
        <v>88</v>
      </c>
      <c r="E19" s="48" t="s">
        <v>43</v>
      </c>
      <c r="F19" s="51" t="s">
        <v>94</v>
      </c>
      <c r="G19" s="52">
        <f>(150 + 450)</f>
        <v>600</v>
      </c>
      <c r="H19" s="48" t="str">
        <f>H17</f>
        <v>PARCELA ÚNICA</v>
      </c>
      <c r="I19" s="69">
        <v>600</v>
      </c>
      <c r="J19" s="70" t="s">
        <v>46</v>
      </c>
      <c r="K19" s="74" t="s">
        <v>21</v>
      </c>
      <c r="L19" s="75">
        <f t="shared" ref="L19:L24" si="0">I19/3/2</f>
        <v>100</v>
      </c>
      <c r="M19" s="74">
        <v>3</v>
      </c>
      <c r="N19" s="74" t="s">
        <v>21</v>
      </c>
      <c r="O19" s="75">
        <f t="shared" ref="O19:O24" si="1">I19/3</f>
        <v>200</v>
      </c>
      <c r="P19" s="74">
        <v>3</v>
      </c>
      <c r="Q19" s="73">
        <f t="shared" ref="Q19:Q24" si="2">L19</f>
        <v>100</v>
      </c>
      <c r="R19" s="59">
        <f>R3</f>
        <v>1.5151509090909092E-2</v>
      </c>
      <c r="S19" s="52">
        <f t="shared" ref="S19:S24" si="3">Q19/11</f>
        <v>9.0909090909090917</v>
      </c>
      <c r="T19" s="60">
        <f>I19/3</f>
        <v>200</v>
      </c>
      <c r="U19" s="61">
        <f t="shared" ref="U19:U24" si="4">L19+O19+Q19+T19</f>
        <v>600</v>
      </c>
      <c r="V19" s="52">
        <f t="shared" ref="V19:V24" si="5">I19-U19</f>
        <v>0</v>
      </c>
      <c r="W19" s="52">
        <f>G19-I19</f>
        <v>0</v>
      </c>
      <c r="X19" s="48" t="str">
        <f>X17</f>
        <v>ÚNICA</v>
      </c>
      <c r="Y19" s="62">
        <f>Y17</f>
        <v>45658</v>
      </c>
      <c r="Z19" s="48" t="s">
        <v>92</v>
      </c>
      <c r="AA19" s="64"/>
      <c r="AB19" s="64"/>
    </row>
    <row r="20" spans="1:28" x14ac:dyDescent="0.25">
      <c r="A20" s="67">
        <v>45680</v>
      </c>
      <c r="B20" s="48">
        <v>12</v>
      </c>
      <c r="C20" s="68" t="s">
        <v>41</v>
      </c>
      <c r="D20" s="50" t="s">
        <v>105</v>
      </c>
      <c r="E20" s="48" t="s">
        <v>106</v>
      </c>
      <c r="F20" s="51" t="s">
        <v>107</v>
      </c>
      <c r="G20" s="52">
        <v>150</v>
      </c>
      <c r="H20" s="48" t="str">
        <f>H19</f>
        <v>PARCELA ÚNICA</v>
      </c>
      <c r="I20" s="69">
        <v>150</v>
      </c>
      <c r="J20" s="70" t="s">
        <v>46</v>
      </c>
      <c r="K20" s="74" t="s">
        <v>21</v>
      </c>
      <c r="L20" s="75">
        <f t="shared" si="0"/>
        <v>25</v>
      </c>
      <c r="M20" s="74">
        <v>3</v>
      </c>
      <c r="N20" s="74" t="s">
        <v>21</v>
      </c>
      <c r="O20" s="75">
        <f t="shared" si="1"/>
        <v>50</v>
      </c>
      <c r="P20" s="74">
        <v>3</v>
      </c>
      <c r="Q20" s="73">
        <f t="shared" si="2"/>
        <v>25</v>
      </c>
      <c r="R20" s="59">
        <f>R4</f>
        <v>1.5151509090909092E-2</v>
      </c>
      <c r="S20" s="52">
        <f t="shared" si="3"/>
        <v>2.2727272727272729</v>
      </c>
      <c r="T20" s="60">
        <f>I20/3</f>
        <v>50</v>
      </c>
      <c r="U20" s="61">
        <f t="shared" si="4"/>
        <v>150</v>
      </c>
      <c r="V20" s="52">
        <f t="shared" si="5"/>
        <v>0</v>
      </c>
      <c r="W20" s="52">
        <v>0</v>
      </c>
      <c r="X20" s="48" t="str">
        <f>X19</f>
        <v>ÚNICA</v>
      </c>
      <c r="Y20" s="62">
        <f>Y19</f>
        <v>45658</v>
      </c>
      <c r="Z20" s="48"/>
      <c r="AA20" s="64"/>
      <c r="AB20" s="64"/>
    </row>
    <row r="21" spans="1:28" x14ac:dyDescent="0.25">
      <c r="A21" s="67">
        <v>45681</v>
      </c>
      <c r="B21" s="48">
        <v>13</v>
      </c>
      <c r="C21" s="68" t="s">
        <v>41</v>
      </c>
      <c r="D21" s="50" t="s">
        <v>93</v>
      </c>
      <c r="E21" s="48" t="s">
        <v>103</v>
      </c>
      <c r="F21" s="51" t="s">
        <v>59</v>
      </c>
      <c r="G21" s="52">
        <v>300</v>
      </c>
      <c r="H21" s="48" t="str">
        <f>H20</f>
        <v>PARCELA ÚNICA</v>
      </c>
      <c r="I21" s="69">
        <v>300</v>
      </c>
      <c r="J21" s="70" t="s">
        <v>46</v>
      </c>
      <c r="K21" s="71" t="s">
        <v>23</v>
      </c>
      <c r="L21" s="55">
        <f t="shared" si="0"/>
        <v>50</v>
      </c>
      <c r="M21" s="43" t="s">
        <v>79</v>
      </c>
      <c r="N21" s="56" t="s">
        <v>27</v>
      </c>
      <c r="O21" s="57">
        <f t="shared" si="1"/>
        <v>100</v>
      </c>
      <c r="P21" s="72">
        <v>1</v>
      </c>
      <c r="Q21" s="73">
        <f t="shared" si="2"/>
        <v>50</v>
      </c>
      <c r="R21" s="59">
        <f>R5</f>
        <v>1.5151509090909092E-2</v>
      </c>
      <c r="S21" s="52">
        <f t="shared" si="3"/>
        <v>4.5454545454545459</v>
      </c>
      <c r="T21" s="60">
        <f>I21/3</f>
        <v>100</v>
      </c>
      <c r="U21" s="61">
        <f t="shared" si="4"/>
        <v>300</v>
      </c>
      <c r="V21" s="52">
        <f t="shared" si="5"/>
        <v>0</v>
      </c>
      <c r="W21" s="52">
        <v>0</v>
      </c>
      <c r="X21" s="48" t="str">
        <f>X20</f>
        <v>ÚNICA</v>
      </c>
      <c r="Y21" s="62">
        <f>Y19</f>
        <v>45658</v>
      </c>
      <c r="Z21" s="48"/>
      <c r="AA21" s="64"/>
      <c r="AB21" s="64"/>
    </row>
    <row r="22" spans="1:28" x14ac:dyDescent="0.25">
      <c r="A22" s="67">
        <v>45684</v>
      </c>
      <c r="B22" s="48">
        <v>14</v>
      </c>
      <c r="C22" s="68" t="s">
        <v>41</v>
      </c>
      <c r="D22" s="50" t="s">
        <v>95</v>
      </c>
      <c r="E22" s="48" t="s">
        <v>96</v>
      </c>
      <c r="F22" s="51" t="s">
        <v>97</v>
      </c>
      <c r="G22" s="52">
        <v>150</v>
      </c>
      <c r="H22" s="48" t="str">
        <f>H21</f>
        <v>PARCELA ÚNICA</v>
      </c>
      <c r="I22" s="69">
        <v>150</v>
      </c>
      <c r="J22" s="70" t="s">
        <v>46</v>
      </c>
      <c r="K22" s="71" t="s">
        <v>23</v>
      </c>
      <c r="L22" s="55">
        <f t="shared" si="0"/>
        <v>25</v>
      </c>
      <c r="M22" s="55" t="str">
        <f>M17</f>
        <v>GESTÃO</v>
      </c>
      <c r="N22" s="71" t="s">
        <v>23</v>
      </c>
      <c r="O22" s="55">
        <f t="shared" si="1"/>
        <v>50</v>
      </c>
      <c r="P22" s="55" t="str">
        <f>M17</f>
        <v>GESTÃO</v>
      </c>
      <c r="Q22" s="73">
        <f t="shared" si="2"/>
        <v>25</v>
      </c>
      <c r="R22" s="59">
        <f>R6</f>
        <v>1.5151509090909092E-2</v>
      </c>
      <c r="S22" s="52">
        <f t="shared" si="3"/>
        <v>2.2727272727272729</v>
      </c>
      <c r="T22" s="60">
        <f>I22/3</f>
        <v>50</v>
      </c>
      <c r="U22" s="61">
        <f t="shared" si="4"/>
        <v>150</v>
      </c>
      <c r="V22" s="52">
        <f t="shared" si="5"/>
        <v>0</v>
      </c>
      <c r="W22" s="52">
        <v>0</v>
      </c>
      <c r="X22" s="48" t="str">
        <f>X21</f>
        <v>ÚNICA</v>
      </c>
      <c r="Y22" s="62">
        <f>Y20</f>
        <v>45658</v>
      </c>
      <c r="Z22" s="48"/>
      <c r="AA22" s="64"/>
      <c r="AB22" s="64"/>
    </row>
    <row r="23" spans="1:28" x14ac:dyDescent="0.25">
      <c r="A23" s="67">
        <v>45684</v>
      </c>
      <c r="B23" s="48">
        <v>15</v>
      </c>
      <c r="C23" s="68" t="s">
        <v>41</v>
      </c>
      <c r="D23" s="50" t="s">
        <v>31</v>
      </c>
      <c r="E23" s="50" t="s">
        <v>32</v>
      </c>
      <c r="F23" s="51" t="s">
        <v>34</v>
      </c>
      <c r="G23" s="52">
        <v>3500</v>
      </c>
      <c r="H23" s="48" t="s">
        <v>36</v>
      </c>
      <c r="I23" s="69">
        <v>250</v>
      </c>
      <c r="J23" s="70" t="s">
        <v>101</v>
      </c>
      <c r="K23" s="71" t="s">
        <v>23</v>
      </c>
      <c r="L23" s="55">
        <f t="shared" si="0"/>
        <v>41.666666666666664</v>
      </c>
      <c r="M23" s="43" t="s">
        <v>79</v>
      </c>
      <c r="N23" s="56" t="s">
        <v>27</v>
      </c>
      <c r="O23" s="57">
        <f t="shared" si="1"/>
        <v>83.333333333333329</v>
      </c>
      <c r="P23" s="72">
        <v>1</v>
      </c>
      <c r="Q23" s="73">
        <f t="shared" si="2"/>
        <v>41.666666666666664</v>
      </c>
      <c r="R23" s="59">
        <f>R22</f>
        <v>1.5151509090909092E-2</v>
      </c>
      <c r="S23" s="52">
        <f t="shared" si="3"/>
        <v>3.7878787878787876</v>
      </c>
      <c r="T23" s="60">
        <f>O23</f>
        <v>83.333333333333329</v>
      </c>
      <c r="U23" s="61">
        <f t="shared" si="4"/>
        <v>250</v>
      </c>
      <c r="V23" s="52">
        <f t="shared" si="5"/>
        <v>0</v>
      </c>
      <c r="W23" s="52">
        <f>I23*5</f>
        <v>1250</v>
      </c>
      <c r="X23" s="48" t="s">
        <v>102</v>
      </c>
      <c r="Y23" s="62">
        <v>45627</v>
      </c>
      <c r="Z23" s="48"/>
      <c r="AA23" s="64"/>
      <c r="AB23" s="64"/>
    </row>
    <row r="24" spans="1:28" x14ac:dyDescent="0.25">
      <c r="A24" s="67">
        <v>45685</v>
      </c>
      <c r="B24" s="48">
        <v>16</v>
      </c>
      <c r="C24" s="68" t="s">
        <v>41</v>
      </c>
      <c r="D24" s="50" t="s">
        <v>104</v>
      </c>
      <c r="E24" s="48" t="s">
        <v>103</v>
      </c>
      <c r="F24" s="51" t="s">
        <v>59</v>
      </c>
      <c r="G24" s="52">
        <v>150</v>
      </c>
      <c r="H24" s="48" t="str">
        <f>H22</f>
        <v>PARCELA ÚNICA</v>
      </c>
      <c r="I24" s="69">
        <v>150</v>
      </c>
      <c r="J24" s="70" t="str">
        <f>J17</f>
        <v>CARTÃO DÉBITO</v>
      </c>
      <c r="K24" s="74" t="s">
        <v>21</v>
      </c>
      <c r="L24" s="75">
        <f t="shared" si="0"/>
        <v>25</v>
      </c>
      <c r="M24" s="74">
        <v>3</v>
      </c>
      <c r="N24" s="74" t="s">
        <v>21</v>
      </c>
      <c r="O24" s="75">
        <f t="shared" si="1"/>
        <v>50</v>
      </c>
      <c r="P24" s="74">
        <v>3</v>
      </c>
      <c r="Q24" s="73">
        <f t="shared" si="2"/>
        <v>25</v>
      </c>
      <c r="R24" s="59">
        <f>R8</f>
        <v>1.5151509090909092E-2</v>
      </c>
      <c r="S24" s="52">
        <f t="shared" si="3"/>
        <v>2.2727272727272729</v>
      </c>
      <c r="T24" s="60">
        <f>I24/3</f>
        <v>50</v>
      </c>
      <c r="U24" s="61">
        <f t="shared" si="4"/>
        <v>150</v>
      </c>
      <c r="V24" s="52">
        <f t="shared" si="5"/>
        <v>0</v>
      </c>
      <c r="W24" s="52">
        <v>0</v>
      </c>
      <c r="X24" s="48" t="str">
        <f>X22</f>
        <v>ÚNICA</v>
      </c>
      <c r="Y24" s="62">
        <f>Y23</f>
        <v>45627</v>
      </c>
      <c r="Z24" s="48"/>
      <c r="AA24" s="64"/>
      <c r="AB24" s="64"/>
    </row>
    <row r="25" spans="1:28" x14ac:dyDescent="0.25">
      <c r="A25" s="67">
        <v>45687</v>
      </c>
      <c r="B25" s="48">
        <v>17</v>
      </c>
      <c r="C25" s="68" t="s">
        <v>41</v>
      </c>
      <c r="D25" s="50" t="s">
        <v>110</v>
      </c>
      <c r="E25" s="48" t="s">
        <v>43</v>
      </c>
      <c r="F25" s="51" t="s">
        <v>59</v>
      </c>
      <c r="G25" s="52">
        <v>150</v>
      </c>
      <c r="H25" s="48" t="str">
        <f>H24</f>
        <v>PARCELA ÚNICA</v>
      </c>
      <c r="I25" s="69">
        <v>150</v>
      </c>
      <c r="J25" s="70" t="s">
        <v>46</v>
      </c>
      <c r="K25" s="71" t="s">
        <v>23</v>
      </c>
      <c r="L25" s="55">
        <f t="shared" ref="L25" si="6">I25/3/2</f>
        <v>25</v>
      </c>
      <c r="M25" s="43" t="s">
        <v>79</v>
      </c>
      <c r="N25" s="56" t="s">
        <v>27</v>
      </c>
      <c r="O25" s="57">
        <f t="shared" ref="O25" si="7">I25/3</f>
        <v>50</v>
      </c>
      <c r="P25" s="72">
        <v>1</v>
      </c>
      <c r="Q25" s="73">
        <f t="shared" ref="Q25" si="8">L25</f>
        <v>25</v>
      </c>
      <c r="R25" s="59">
        <f>R24</f>
        <v>1.5151509090909092E-2</v>
      </c>
      <c r="S25" s="52">
        <f t="shared" ref="S25" si="9">Q25/11</f>
        <v>2.2727272727272729</v>
      </c>
      <c r="T25" s="60">
        <f>I25/3</f>
        <v>50</v>
      </c>
      <c r="U25" s="61">
        <f t="shared" ref="U25" si="10">L25+O25+Q25+T25</f>
        <v>150</v>
      </c>
      <c r="V25" s="52">
        <f t="shared" ref="V25" si="11">I25-U25</f>
        <v>0</v>
      </c>
      <c r="W25" s="52">
        <v>0</v>
      </c>
      <c r="X25" s="48" t="str">
        <f>X24</f>
        <v>ÚNICA</v>
      </c>
      <c r="Y25" s="62">
        <f>Y23</f>
        <v>45627</v>
      </c>
      <c r="Z25" s="48"/>
      <c r="AA25" s="64"/>
      <c r="AB25" s="64"/>
    </row>
    <row r="26" spans="1:28" x14ac:dyDescent="0.25">
      <c r="A26" s="81"/>
      <c r="B26" s="81"/>
      <c r="C26" s="81"/>
      <c r="D26" s="81"/>
      <c r="E26" s="81"/>
      <c r="F26" s="161"/>
      <c r="G26" s="82"/>
      <c r="H26" s="83"/>
      <c r="I26" s="84"/>
      <c r="J26" s="83"/>
      <c r="K26" s="81"/>
      <c r="L26" s="83"/>
      <c r="M26" s="48"/>
      <c r="N26" s="85"/>
      <c r="O26" s="84"/>
      <c r="P26" s="48"/>
      <c r="Q26" s="86"/>
      <c r="R26" s="87"/>
      <c r="S26" s="88"/>
      <c r="T26" s="89"/>
      <c r="U26" s="89"/>
      <c r="V26" s="84"/>
      <c r="W26" s="84"/>
      <c r="X26" s="81"/>
      <c r="Y26" s="81"/>
      <c r="Z26" s="83"/>
      <c r="AA26" s="64"/>
      <c r="AB26" s="64"/>
    </row>
    <row r="27" spans="1:28" x14ac:dyDescent="0.25">
      <c r="A27" s="50"/>
      <c r="B27" s="50"/>
      <c r="C27" s="50"/>
      <c r="D27" s="50"/>
      <c r="E27" s="50"/>
      <c r="F27" s="51"/>
      <c r="G27" s="100"/>
      <c r="H27" s="48"/>
      <c r="I27" s="91">
        <f>SUM(I3:I25)</f>
        <v>9728</v>
      </c>
      <c r="J27" s="48"/>
      <c r="K27" s="50"/>
      <c r="L27" s="92">
        <f>SUM(L3:L25)</f>
        <v>1621.3333333333335</v>
      </c>
      <c r="M27" s="48"/>
      <c r="N27" s="93"/>
      <c r="O27" s="94">
        <f>SUM(O3:O25)</f>
        <v>3242.6666666666665</v>
      </c>
      <c r="P27" s="48"/>
      <c r="Q27" s="95">
        <f>SUM(Q3:Q25)</f>
        <v>1621.3333333333335</v>
      </c>
      <c r="R27" s="59"/>
      <c r="S27" s="7">
        <f>SUM(S3:S25)</f>
        <v>147.39393939393941</v>
      </c>
      <c r="T27" s="96">
        <f>SUM(T3:T25)</f>
        <v>3242.666666666667</v>
      </c>
      <c r="U27" s="97">
        <f>SUM(U3:U25)</f>
        <v>9728</v>
      </c>
      <c r="V27" s="52">
        <f>SUM(V3:V25)</f>
        <v>0</v>
      </c>
      <c r="W27" s="98">
        <f>SUM(W3:W25)</f>
        <v>13000</v>
      </c>
      <c r="X27" s="50"/>
      <c r="Y27" s="50"/>
      <c r="Z27" s="48"/>
      <c r="AA27" s="64"/>
      <c r="AB27" s="64"/>
    </row>
    <row r="28" spans="1:28" x14ac:dyDescent="0.25">
      <c r="A28" s="50"/>
      <c r="B28" s="50"/>
      <c r="C28" s="50"/>
      <c r="D28" s="50"/>
      <c r="E28" s="50"/>
      <c r="F28" s="51"/>
      <c r="G28" s="63"/>
      <c r="H28" s="48"/>
      <c r="I28" s="52"/>
      <c r="J28" s="48"/>
      <c r="K28" s="50"/>
      <c r="L28" s="99"/>
      <c r="M28" s="48"/>
      <c r="N28" s="93"/>
      <c r="O28" s="48"/>
      <c r="P28" s="48"/>
      <c r="Q28" s="78"/>
      <c r="R28" s="59"/>
      <c r="S28" s="52">
        <f>L27+O27+Q27</f>
        <v>6485.3333333333339</v>
      </c>
      <c r="T28" s="48"/>
      <c r="U28" s="52">
        <f>S28+T27</f>
        <v>9728</v>
      </c>
      <c r="V28" s="50"/>
      <c r="W28" s="52"/>
      <c r="X28" s="50"/>
      <c r="Y28" s="50"/>
      <c r="Z28" s="48"/>
      <c r="AA28" s="64"/>
      <c r="AB28" s="64"/>
    </row>
    <row r="29" spans="1:28" x14ac:dyDescent="0.25">
      <c r="A29" s="46"/>
      <c r="B29" s="46"/>
      <c r="C29" s="46"/>
      <c r="D29" s="46"/>
      <c r="E29" s="46"/>
      <c r="F29" s="162"/>
      <c r="G29" s="100"/>
      <c r="H29" s="64"/>
      <c r="I29" s="101"/>
      <c r="J29" s="64"/>
      <c r="K29" s="46"/>
      <c r="L29" s="64"/>
      <c r="M29" s="46"/>
      <c r="N29" s="46"/>
      <c r="O29" s="64"/>
      <c r="P29" s="64"/>
      <c r="Q29" s="102"/>
      <c r="R29" s="64"/>
      <c r="S29" s="64"/>
      <c r="T29" s="64"/>
      <c r="U29" s="64"/>
      <c r="V29" s="46"/>
      <c r="W29" s="101"/>
      <c r="X29" s="46"/>
      <c r="Y29" s="46"/>
      <c r="Z29" s="64"/>
      <c r="AA29" s="64"/>
      <c r="AB29" s="64"/>
    </row>
    <row r="30" spans="1:28" x14ac:dyDescent="0.25">
      <c r="A30" s="46"/>
      <c r="B30" s="46"/>
      <c r="C30" s="46"/>
      <c r="D30" s="46"/>
      <c r="E30" s="46"/>
      <c r="F30" s="162"/>
      <c r="G30" s="100"/>
      <c r="H30" s="64"/>
      <c r="I30" s="101"/>
      <c r="J30" s="64"/>
      <c r="K30" s="46"/>
      <c r="L30" s="64"/>
      <c r="M30" s="64"/>
      <c r="N30" s="46"/>
      <c r="O30" s="64"/>
      <c r="P30" s="64"/>
      <c r="Q30" s="102"/>
      <c r="R30" s="64"/>
      <c r="S30" s="64"/>
      <c r="T30" s="64"/>
      <c r="U30" s="64"/>
      <c r="V30" s="46"/>
      <c r="W30" s="46"/>
      <c r="X30" s="46"/>
      <c r="Y30" s="46"/>
      <c r="Z30" s="64"/>
      <c r="AA30" s="64"/>
      <c r="AB30" s="64"/>
    </row>
    <row r="31" spans="1:28" x14ac:dyDescent="0.25">
      <c r="A31" s="46"/>
      <c r="B31" s="46"/>
      <c r="C31" s="46"/>
      <c r="D31" s="46"/>
      <c r="E31" s="46"/>
      <c r="F31" s="162"/>
      <c r="G31" s="100"/>
      <c r="H31" s="64"/>
      <c r="I31" s="65" t="s">
        <v>20</v>
      </c>
      <c r="J31" s="30" t="s">
        <v>14</v>
      </c>
      <c r="K31" s="177" t="s">
        <v>78</v>
      </c>
      <c r="L31" s="31" t="s">
        <v>15</v>
      </c>
      <c r="M31" s="177" t="s">
        <v>78</v>
      </c>
      <c r="N31" s="7" t="s">
        <v>2</v>
      </c>
      <c r="O31" s="65" t="s">
        <v>20</v>
      </c>
      <c r="P31" s="90" t="s">
        <v>82</v>
      </c>
      <c r="Q31" s="177" t="s">
        <v>78</v>
      </c>
      <c r="R31" s="177" t="s">
        <v>81</v>
      </c>
      <c r="S31" s="178" t="s">
        <v>83</v>
      </c>
      <c r="T31" s="177" t="s">
        <v>84</v>
      </c>
      <c r="U31" s="179" t="s">
        <v>81</v>
      </c>
      <c r="V31" s="177" t="s">
        <v>111</v>
      </c>
      <c r="W31" s="46"/>
      <c r="X31" s="46"/>
      <c r="Y31" s="46"/>
      <c r="Z31" s="64"/>
      <c r="AA31" s="64"/>
      <c r="AB31" s="64"/>
    </row>
    <row r="32" spans="1:28" x14ac:dyDescent="0.25">
      <c r="A32" s="46"/>
      <c r="B32" s="46"/>
      <c r="C32" s="46"/>
      <c r="D32" s="46"/>
      <c r="E32" s="46"/>
      <c r="F32" s="162"/>
      <c r="G32" s="100"/>
      <c r="H32" s="64"/>
      <c r="I32" s="104" t="s">
        <v>26</v>
      </c>
      <c r="J32" s="105">
        <v>0</v>
      </c>
      <c r="K32" s="106">
        <v>1</v>
      </c>
      <c r="L32" s="107">
        <v>0</v>
      </c>
      <c r="M32" s="106">
        <v>1</v>
      </c>
      <c r="N32" s="58">
        <f>N42</f>
        <v>147.39393939393941</v>
      </c>
      <c r="O32" s="104" t="s">
        <v>26</v>
      </c>
      <c r="P32" s="108">
        <f t="shared" ref="P32:P40" si="12">J32+L32+N32</f>
        <v>147.39393939393941</v>
      </c>
      <c r="Q32" s="106">
        <v>1</v>
      </c>
      <c r="R32" s="48"/>
      <c r="S32" s="59"/>
      <c r="T32" s="48"/>
      <c r="U32" s="99"/>
      <c r="V32" s="50" t="s">
        <v>56</v>
      </c>
      <c r="W32" s="46"/>
      <c r="X32" s="46"/>
      <c r="Y32" s="46"/>
      <c r="Z32" s="64"/>
      <c r="AA32" s="64"/>
      <c r="AB32" s="64"/>
    </row>
    <row r="33" spans="1:28" x14ac:dyDescent="0.25">
      <c r="A33" s="46"/>
      <c r="B33" s="46"/>
      <c r="C33" s="46"/>
      <c r="D33" s="46"/>
      <c r="E33" s="46"/>
      <c r="F33" s="162"/>
      <c r="G33" s="100"/>
      <c r="H33" s="64"/>
      <c r="I33" s="109" t="s">
        <v>27</v>
      </c>
      <c r="J33" s="105">
        <v>0</v>
      </c>
      <c r="K33" s="106">
        <v>1</v>
      </c>
      <c r="L33" s="107">
        <f>O51+O3+O4+O5+O14+O21+O23+O25</f>
        <v>1533.333333333333</v>
      </c>
      <c r="M33" s="106">
        <v>1</v>
      </c>
      <c r="N33" s="58">
        <f>N42</f>
        <v>147.39393939393941</v>
      </c>
      <c r="O33" s="109" t="s">
        <v>27</v>
      </c>
      <c r="P33" s="110">
        <f>J33+L33+N33</f>
        <v>1680.7272727272725</v>
      </c>
      <c r="Q33" s="106">
        <v>1</v>
      </c>
      <c r="R33" s="48"/>
      <c r="S33" s="59"/>
      <c r="T33" s="48"/>
      <c r="U33" s="99"/>
      <c r="V33" s="172" t="s">
        <v>112</v>
      </c>
      <c r="W33" s="164"/>
      <c r="X33" s="100">
        <f>2000-P33</f>
        <v>319.27272727272748</v>
      </c>
      <c r="Y33" s="46"/>
      <c r="Z33" s="64"/>
      <c r="AA33" s="64"/>
      <c r="AB33" s="64"/>
    </row>
    <row r="34" spans="1:28" x14ac:dyDescent="0.25">
      <c r="A34" s="46"/>
      <c r="B34" s="46"/>
      <c r="C34" s="46"/>
      <c r="D34" s="46"/>
      <c r="E34" s="46"/>
      <c r="F34" s="162"/>
      <c r="G34" s="100"/>
      <c r="H34" s="64"/>
      <c r="I34" s="111" t="s">
        <v>30</v>
      </c>
      <c r="J34" s="105">
        <v>0</v>
      </c>
      <c r="K34" s="106">
        <v>1</v>
      </c>
      <c r="L34" s="107">
        <v>0</v>
      </c>
      <c r="M34" s="106">
        <v>1</v>
      </c>
      <c r="N34" s="58">
        <f>N42</f>
        <v>147.39393939393941</v>
      </c>
      <c r="O34" s="111" t="s">
        <v>30</v>
      </c>
      <c r="P34" s="112">
        <f t="shared" si="12"/>
        <v>147.39393939393941</v>
      </c>
      <c r="Q34" s="106">
        <v>1</v>
      </c>
      <c r="R34" s="113">
        <f>P32+P33+P34</f>
        <v>1975.5151515151515</v>
      </c>
      <c r="S34" s="114">
        <f>R34/R46</f>
        <v>0.20307515948963317</v>
      </c>
      <c r="T34" s="106">
        <v>3</v>
      </c>
      <c r="U34" s="166">
        <v>0</v>
      </c>
      <c r="V34" s="173" t="s">
        <v>113</v>
      </c>
      <c r="W34" s="46"/>
      <c r="X34" s="46"/>
      <c r="Y34" s="46"/>
      <c r="Z34" s="64"/>
      <c r="AA34" s="64"/>
      <c r="AB34" s="64"/>
    </row>
    <row r="35" spans="1:28" x14ac:dyDescent="0.25">
      <c r="A35" s="46"/>
      <c r="B35" s="46"/>
      <c r="C35" s="46"/>
      <c r="D35" s="46"/>
      <c r="E35" s="46"/>
      <c r="F35" s="162"/>
      <c r="G35" s="100"/>
      <c r="H35" s="64"/>
      <c r="I35" s="115" t="s">
        <v>25</v>
      </c>
      <c r="J35" s="105">
        <v>0</v>
      </c>
      <c r="K35" s="116">
        <v>2</v>
      </c>
      <c r="L35" s="107">
        <v>0</v>
      </c>
      <c r="M35" s="116">
        <v>2</v>
      </c>
      <c r="N35" s="58">
        <f>N42</f>
        <v>147.39393939393941</v>
      </c>
      <c r="O35" s="115" t="s">
        <v>25</v>
      </c>
      <c r="P35" s="117">
        <f t="shared" si="12"/>
        <v>147.39393939393941</v>
      </c>
      <c r="Q35" s="116">
        <v>2</v>
      </c>
      <c r="R35" s="48"/>
      <c r="S35" s="59"/>
      <c r="T35" s="48"/>
      <c r="U35" s="99"/>
      <c r="V35" s="174" t="s">
        <v>113</v>
      </c>
      <c r="W35" s="46"/>
      <c r="X35" s="46"/>
      <c r="Y35" s="46"/>
      <c r="Z35" s="64"/>
      <c r="AA35" s="64"/>
      <c r="AB35" s="64"/>
    </row>
    <row r="36" spans="1:28" x14ac:dyDescent="0.25">
      <c r="A36" s="46"/>
      <c r="B36" s="46"/>
      <c r="C36" s="46"/>
      <c r="D36" s="46"/>
      <c r="E36" s="46"/>
      <c r="F36" s="162"/>
      <c r="G36" s="100"/>
      <c r="H36" s="64"/>
      <c r="I36" s="118" t="s">
        <v>22</v>
      </c>
      <c r="J36" s="105">
        <v>0</v>
      </c>
      <c r="K36" s="116">
        <v>2</v>
      </c>
      <c r="L36" s="107">
        <v>0</v>
      </c>
      <c r="M36" s="116">
        <v>2</v>
      </c>
      <c r="N36" s="58">
        <f>N42</f>
        <v>147.39393939393941</v>
      </c>
      <c r="O36" s="119" t="s">
        <v>22</v>
      </c>
      <c r="P36" s="120">
        <f t="shared" si="12"/>
        <v>147.39393939393941</v>
      </c>
      <c r="Q36" s="116">
        <v>2</v>
      </c>
      <c r="R36" s="48"/>
      <c r="S36" s="59"/>
      <c r="T36" s="48"/>
      <c r="U36" s="99"/>
      <c r="V36" s="165" t="s">
        <v>113</v>
      </c>
      <c r="W36" s="46"/>
      <c r="X36" s="46"/>
      <c r="Y36" s="46"/>
      <c r="Z36" s="64"/>
      <c r="AA36" s="64"/>
      <c r="AB36" s="64"/>
    </row>
    <row r="37" spans="1:28" x14ac:dyDescent="0.25">
      <c r="A37" s="46"/>
      <c r="B37" s="46"/>
      <c r="C37" s="46"/>
      <c r="D37" s="46"/>
      <c r="E37" s="46"/>
      <c r="F37" s="162"/>
      <c r="G37" s="100"/>
      <c r="H37" s="64"/>
      <c r="I37" s="121" t="s">
        <v>28</v>
      </c>
      <c r="J37" s="105">
        <v>0</v>
      </c>
      <c r="K37" s="116">
        <v>2</v>
      </c>
      <c r="L37" s="107">
        <v>0</v>
      </c>
      <c r="M37" s="116">
        <v>2</v>
      </c>
      <c r="N37" s="58">
        <f>N42</f>
        <v>147.39393939393941</v>
      </c>
      <c r="O37" s="122" t="s">
        <v>28</v>
      </c>
      <c r="P37" s="123">
        <f t="shared" si="12"/>
        <v>147.39393939393941</v>
      </c>
      <c r="Q37" s="116">
        <v>2</v>
      </c>
      <c r="R37" s="124">
        <f>P35+P36+P37</f>
        <v>442.18181818181824</v>
      </c>
      <c r="S37" s="125">
        <f>R37/R46</f>
        <v>4.5454545454545463E-2</v>
      </c>
      <c r="T37" s="116">
        <v>3</v>
      </c>
      <c r="U37" s="167">
        <v>0</v>
      </c>
      <c r="V37" s="50" t="s">
        <v>56</v>
      </c>
      <c r="W37" s="46"/>
      <c r="X37" s="46"/>
      <c r="Y37" s="46"/>
      <c r="Z37" s="64"/>
      <c r="AA37" s="64"/>
      <c r="AB37" s="64"/>
    </row>
    <row r="38" spans="1:28" x14ac:dyDescent="0.25">
      <c r="A38" s="46"/>
      <c r="B38" s="46"/>
      <c r="C38" s="46"/>
      <c r="D38" s="46"/>
      <c r="E38" s="46"/>
      <c r="F38" s="162"/>
      <c r="G38" s="100"/>
      <c r="H38" s="64"/>
      <c r="I38" s="126" t="s">
        <v>21</v>
      </c>
      <c r="J38" s="105">
        <f>L8+L19+L20+L24</f>
        <v>296.33333333333337</v>
      </c>
      <c r="K38" s="74">
        <v>3</v>
      </c>
      <c r="L38" s="107">
        <f>O6+O10+O19+O20+O24</f>
        <v>466.66666666666663</v>
      </c>
      <c r="M38" s="74">
        <v>3</v>
      </c>
      <c r="N38" s="58">
        <f>N42</f>
        <v>147.39393939393941</v>
      </c>
      <c r="O38" s="126" t="s">
        <v>21</v>
      </c>
      <c r="P38" s="127">
        <f>J38+L38+N38</f>
        <v>910.39393939393938</v>
      </c>
      <c r="Q38" s="74">
        <v>3</v>
      </c>
      <c r="R38" s="48"/>
      <c r="S38" s="59"/>
      <c r="T38" s="48"/>
      <c r="U38" s="99"/>
      <c r="V38" s="75" t="s">
        <v>113</v>
      </c>
      <c r="W38" s="46"/>
      <c r="X38" s="46"/>
      <c r="Y38" s="46"/>
      <c r="Z38" s="64"/>
      <c r="AA38" s="64"/>
      <c r="AB38" s="64"/>
    </row>
    <row r="39" spans="1:28" x14ac:dyDescent="0.25">
      <c r="A39" s="46"/>
      <c r="B39" s="46"/>
      <c r="C39" s="46"/>
      <c r="D39" s="46"/>
      <c r="E39" s="46"/>
      <c r="F39" s="162"/>
      <c r="G39" s="100"/>
      <c r="H39" s="64"/>
      <c r="I39" s="128" t="s">
        <v>24</v>
      </c>
      <c r="J39" s="105">
        <v>0</v>
      </c>
      <c r="K39" s="74">
        <v>3</v>
      </c>
      <c r="L39" s="107">
        <f>O7+O8+O11+O12+O15+O17</f>
        <v>679.66666666666674</v>
      </c>
      <c r="M39" s="74">
        <v>3</v>
      </c>
      <c r="N39" s="58">
        <f>N42</f>
        <v>147.39393939393941</v>
      </c>
      <c r="O39" s="128" t="s">
        <v>24</v>
      </c>
      <c r="P39" s="129">
        <f t="shared" si="12"/>
        <v>827.06060606060612</v>
      </c>
      <c r="Q39" s="74">
        <v>3</v>
      </c>
      <c r="R39" s="48"/>
      <c r="S39" s="59"/>
      <c r="T39" s="48"/>
      <c r="U39" s="99"/>
      <c r="V39" s="77" t="s">
        <v>113</v>
      </c>
      <c r="W39" s="46"/>
      <c r="X39" s="46"/>
      <c r="Y39" s="46"/>
      <c r="Z39" s="64"/>
      <c r="AA39" s="64"/>
      <c r="AB39" s="64"/>
    </row>
    <row r="40" spans="1:28" x14ac:dyDescent="0.25">
      <c r="A40" s="46"/>
      <c r="B40" s="46"/>
      <c r="C40" s="46"/>
      <c r="D40" s="46"/>
      <c r="E40" s="46"/>
      <c r="F40" s="162"/>
      <c r="G40" s="100"/>
      <c r="H40" s="64"/>
      <c r="I40" s="130" t="s">
        <v>37</v>
      </c>
      <c r="J40" s="105">
        <v>0</v>
      </c>
      <c r="K40" s="74">
        <v>3</v>
      </c>
      <c r="L40" s="107">
        <f>O9+O13+O16+O18</f>
        <v>513</v>
      </c>
      <c r="M40" s="74">
        <v>3</v>
      </c>
      <c r="N40" s="58">
        <f>N42</f>
        <v>147.39393939393941</v>
      </c>
      <c r="O40" s="130" t="s">
        <v>37</v>
      </c>
      <c r="P40" s="131">
        <f t="shared" si="12"/>
        <v>660.39393939393938</v>
      </c>
      <c r="Q40" s="74">
        <v>3</v>
      </c>
      <c r="R40" s="75">
        <f>P38+P39+P40</f>
        <v>2397.848484848485</v>
      </c>
      <c r="S40" s="132">
        <f>R40/R46</f>
        <v>0.24648935905103669</v>
      </c>
      <c r="T40" s="74">
        <v>3</v>
      </c>
      <c r="U40" s="168">
        <v>4</v>
      </c>
      <c r="V40" s="50" t="s">
        <v>56</v>
      </c>
      <c r="W40" s="46"/>
      <c r="X40" s="46"/>
      <c r="Y40" s="46"/>
      <c r="Z40" s="64"/>
      <c r="AA40" s="64"/>
      <c r="AB40" s="64"/>
    </row>
    <row r="41" spans="1:28" x14ac:dyDescent="0.25">
      <c r="A41" s="46"/>
      <c r="B41" s="46"/>
      <c r="C41" s="46"/>
      <c r="D41" s="46"/>
      <c r="E41" s="46"/>
      <c r="F41" s="162"/>
      <c r="G41" s="100"/>
      <c r="H41" s="64"/>
      <c r="I41" s="85" t="s">
        <v>76</v>
      </c>
      <c r="J41" s="105">
        <f>SUM(J32:J40)</f>
        <v>296.33333333333337</v>
      </c>
      <c r="K41" s="48"/>
      <c r="L41" s="107">
        <f>SUM(L32:L40)</f>
        <v>3192.6666666666661</v>
      </c>
      <c r="M41" s="48"/>
      <c r="N41" s="58">
        <f>SUM(N32:N40)</f>
        <v>1326.5454545454547</v>
      </c>
      <c r="O41" s="133" t="s">
        <v>77</v>
      </c>
      <c r="P41" s="134">
        <f>SUM(P32:P40)</f>
        <v>4815.545454545455</v>
      </c>
      <c r="Q41" s="83" t="s">
        <v>80</v>
      </c>
      <c r="R41" s="84">
        <f>R34+R37+R40</f>
        <v>4815.545454545455</v>
      </c>
      <c r="S41" s="59"/>
      <c r="T41" s="48"/>
      <c r="U41" s="99"/>
      <c r="V41" s="50"/>
      <c r="W41" s="46"/>
      <c r="X41" s="46"/>
      <c r="Y41" s="46"/>
      <c r="Z41" s="64"/>
      <c r="AA41" s="64"/>
      <c r="AB41" s="64"/>
    </row>
    <row r="42" spans="1:28" x14ac:dyDescent="0.25">
      <c r="A42" s="46"/>
      <c r="B42" s="46"/>
      <c r="C42" s="46"/>
      <c r="D42" s="46"/>
      <c r="E42" s="46"/>
      <c r="F42" s="162"/>
      <c r="G42" s="100"/>
      <c r="H42" s="64"/>
      <c r="I42" s="54" t="s">
        <v>23</v>
      </c>
      <c r="J42" s="105">
        <f>L3+L4+L5+L6+L10+L12+L14+L15+L17+L21+L22+L23+L25</f>
        <v>1325</v>
      </c>
      <c r="K42" s="71" t="s">
        <v>79</v>
      </c>
      <c r="L42" s="107">
        <f>O22</f>
        <v>50</v>
      </c>
      <c r="M42" s="71" t="s">
        <v>79</v>
      </c>
      <c r="N42" s="58">
        <f>S27</f>
        <v>147.39393939393941</v>
      </c>
      <c r="O42" s="54" t="s">
        <v>23</v>
      </c>
      <c r="P42" s="135">
        <f>J42+L42+N42</f>
        <v>1522.3939393939395</v>
      </c>
      <c r="Q42" s="71" t="s">
        <v>79</v>
      </c>
      <c r="R42" s="55">
        <f>P42</f>
        <v>1522.3939393939395</v>
      </c>
      <c r="S42" s="136">
        <f>R42/R46</f>
        <v>0.15649608751993621</v>
      </c>
      <c r="T42" s="71">
        <v>3</v>
      </c>
      <c r="U42" s="169">
        <v>13</v>
      </c>
      <c r="V42" s="71" t="s">
        <v>113</v>
      </c>
      <c r="W42" s="46"/>
      <c r="X42" s="46"/>
      <c r="Y42" s="46"/>
      <c r="Z42" s="64"/>
      <c r="AA42" s="64"/>
      <c r="AB42" s="64"/>
    </row>
    <row r="43" spans="1:28" ht="15.75" thickBot="1" x14ac:dyDescent="0.3">
      <c r="A43" s="46"/>
      <c r="B43" s="46"/>
      <c r="C43" s="46"/>
      <c r="D43" s="46"/>
      <c r="E43" s="46"/>
      <c r="F43" s="162"/>
      <c r="G43" s="100"/>
      <c r="H43" s="64"/>
      <c r="I43" s="32" t="s">
        <v>4</v>
      </c>
      <c r="J43" s="98">
        <v>0</v>
      </c>
      <c r="K43" s="32" t="s">
        <v>4</v>
      </c>
      <c r="L43" s="107">
        <v>0</v>
      </c>
      <c r="M43" s="32" t="s">
        <v>4</v>
      </c>
      <c r="N43" s="58">
        <f>S27</f>
        <v>147.39393939393941</v>
      </c>
      <c r="O43" s="32" t="s">
        <v>4</v>
      </c>
      <c r="P43" s="96">
        <f>J43+L43+N43+T27</f>
        <v>3390.0606060606065</v>
      </c>
      <c r="Q43" s="32" t="s">
        <v>4</v>
      </c>
      <c r="R43" s="96">
        <f>P43</f>
        <v>3390.0606060606065</v>
      </c>
      <c r="S43" s="137">
        <f>R43/R46</f>
        <v>0.34848484848484851</v>
      </c>
      <c r="T43" s="48"/>
      <c r="U43" s="99"/>
      <c r="V43" s="60" t="s">
        <v>113</v>
      </c>
      <c r="W43" s="46"/>
      <c r="X43" s="46"/>
      <c r="Y43" s="46"/>
      <c r="Z43" s="64"/>
      <c r="AA43" s="64"/>
      <c r="AB43" s="64"/>
    </row>
    <row r="44" spans="1:28" ht="15.75" thickBot="1" x14ac:dyDescent="0.3">
      <c r="A44" s="46"/>
      <c r="B44" s="46"/>
      <c r="C44" s="46"/>
      <c r="D44" s="46"/>
      <c r="E44" s="46"/>
      <c r="F44" s="162"/>
      <c r="G44" s="100"/>
      <c r="H44" s="64"/>
      <c r="I44" s="146" t="s">
        <v>89</v>
      </c>
      <c r="J44" s="98">
        <v>0</v>
      </c>
      <c r="K44" s="148" t="s">
        <v>91</v>
      </c>
      <c r="L44" s="107">
        <v>0</v>
      </c>
      <c r="M44" s="148" t="s">
        <v>91</v>
      </c>
      <c r="N44" s="58">
        <v>0</v>
      </c>
      <c r="O44" s="146" t="s">
        <v>89</v>
      </c>
      <c r="P44" s="149">
        <f>J44+L44+N44</f>
        <v>0</v>
      </c>
      <c r="Q44" s="148" t="s">
        <v>91</v>
      </c>
      <c r="R44" s="151">
        <f>P44</f>
        <v>0</v>
      </c>
      <c r="S44" s="48"/>
      <c r="T44" s="48"/>
      <c r="U44" s="99"/>
      <c r="V44" s="175" t="s">
        <v>114</v>
      </c>
      <c r="W44" s="46"/>
      <c r="X44" s="46"/>
      <c r="Y44" s="46"/>
      <c r="Z44" s="64"/>
      <c r="AA44" s="64"/>
      <c r="AB44" s="64"/>
    </row>
    <row r="45" spans="1:28" ht="15.75" thickBot="1" x14ac:dyDescent="0.3">
      <c r="A45" s="46"/>
      <c r="B45" s="46"/>
      <c r="C45" s="46"/>
      <c r="D45" s="46"/>
      <c r="E45" s="46"/>
      <c r="F45" s="162"/>
      <c r="G45" s="100"/>
      <c r="H45" s="64"/>
      <c r="I45" s="147" t="s">
        <v>90</v>
      </c>
      <c r="J45" s="98">
        <v>0</v>
      </c>
      <c r="K45" s="148" t="s">
        <v>91</v>
      </c>
      <c r="L45" s="107">
        <v>0</v>
      </c>
      <c r="M45" s="148" t="s">
        <v>91</v>
      </c>
      <c r="N45" s="58">
        <v>0</v>
      </c>
      <c r="O45" s="147" t="s">
        <v>90</v>
      </c>
      <c r="P45" s="150">
        <f>J45+L45+N45</f>
        <v>0</v>
      </c>
      <c r="Q45" s="148" t="s">
        <v>91</v>
      </c>
      <c r="R45" s="151">
        <f>P45</f>
        <v>0</v>
      </c>
      <c r="S45" s="152">
        <f>R45/R46</f>
        <v>0</v>
      </c>
      <c r="T45" s="153">
        <v>3</v>
      </c>
      <c r="U45" s="170">
        <v>0</v>
      </c>
      <c r="V45" s="176" t="s">
        <v>114</v>
      </c>
      <c r="W45" s="46"/>
      <c r="X45" s="46"/>
      <c r="Y45" s="46"/>
      <c r="Z45" s="64"/>
      <c r="AA45" s="64"/>
      <c r="AB45" s="64"/>
    </row>
    <row r="46" spans="1:28" x14ac:dyDescent="0.25">
      <c r="A46" s="46"/>
      <c r="B46" s="46"/>
      <c r="C46" s="46"/>
      <c r="D46" s="46"/>
      <c r="E46" s="46"/>
      <c r="F46" s="162"/>
      <c r="G46" s="100"/>
      <c r="H46" s="64"/>
      <c r="I46" s="138" t="s">
        <v>40</v>
      </c>
      <c r="J46" s="105">
        <f>J41+J42+J43+J44+J45</f>
        <v>1621.3333333333335</v>
      </c>
      <c r="K46" s="50"/>
      <c r="L46" s="107">
        <f>L41+L42+L43+L44+L45</f>
        <v>3242.6666666666661</v>
      </c>
      <c r="M46" s="48"/>
      <c r="N46" s="58">
        <f>N41+N42+N43</f>
        <v>1621.3333333333337</v>
      </c>
      <c r="O46" s="138" t="s">
        <v>40</v>
      </c>
      <c r="P46" s="138">
        <f>P41+P42+P43+P44+P45</f>
        <v>9728</v>
      </c>
      <c r="Q46" s="138" t="s">
        <v>40</v>
      </c>
      <c r="R46" s="138">
        <f>R41+R42+R43+R44+R45</f>
        <v>9728</v>
      </c>
      <c r="S46" s="139">
        <f>S34+S37+S40+S42+S43+S45</f>
        <v>1</v>
      </c>
      <c r="T46" s="140">
        <f>SUM(T32:T45)</f>
        <v>15</v>
      </c>
      <c r="U46" s="171">
        <f>SUM(U32:U42)</f>
        <v>17</v>
      </c>
      <c r="V46" s="50"/>
      <c r="W46" s="46"/>
      <c r="X46" s="46"/>
      <c r="Y46" s="46"/>
      <c r="Z46" s="64"/>
      <c r="AA46" s="64"/>
      <c r="AB46" s="64"/>
    </row>
    <row r="47" spans="1:28" x14ac:dyDescent="0.25">
      <c r="A47" s="46"/>
      <c r="B47" s="46"/>
      <c r="C47" s="46"/>
      <c r="D47" s="46"/>
      <c r="E47" s="46"/>
      <c r="F47" s="162"/>
      <c r="G47" s="100"/>
      <c r="H47" s="64"/>
      <c r="I47" s="141" t="s">
        <v>16</v>
      </c>
      <c r="J47" s="105">
        <f>L27-J46</f>
        <v>0</v>
      </c>
      <c r="K47" s="50"/>
      <c r="L47" s="107">
        <f>O27-L46</f>
        <v>0</v>
      </c>
      <c r="M47" s="48"/>
      <c r="N47" s="58">
        <f>Q27-N46</f>
        <v>0</v>
      </c>
      <c r="O47" s="142" t="s">
        <v>16</v>
      </c>
      <c r="P47" s="143">
        <f>I27-P46</f>
        <v>0</v>
      </c>
      <c r="Q47" s="142" t="s">
        <v>16</v>
      </c>
      <c r="R47" s="143">
        <f>I27-R46</f>
        <v>0</v>
      </c>
      <c r="S47" s="143">
        <f>R47</f>
        <v>0</v>
      </c>
      <c r="T47" s="48"/>
      <c r="U47" s="99"/>
      <c r="V47" s="50"/>
      <c r="W47" s="46"/>
      <c r="X47" s="46"/>
      <c r="Y47" s="46"/>
      <c r="Z47" s="64"/>
      <c r="AA47" s="64"/>
      <c r="AB47" s="64"/>
    </row>
    <row r="48" spans="1:28" x14ac:dyDescent="0.25">
      <c r="A48" s="46"/>
      <c r="B48" s="46"/>
      <c r="C48" s="46"/>
      <c r="D48" s="46"/>
      <c r="E48" s="46"/>
      <c r="F48" s="162"/>
      <c r="G48" s="100"/>
      <c r="H48" s="64"/>
      <c r="I48" s="101"/>
      <c r="J48" s="64"/>
      <c r="K48" s="46"/>
      <c r="L48" s="64"/>
      <c r="M48" s="64"/>
      <c r="N48" s="46"/>
      <c r="O48" s="64"/>
      <c r="P48" s="64"/>
      <c r="Q48" s="102"/>
      <c r="R48" s="64"/>
      <c r="S48" s="64"/>
      <c r="T48" s="64"/>
      <c r="U48" s="64"/>
      <c r="V48" s="46"/>
      <c r="W48" s="46"/>
      <c r="X48" s="46"/>
      <c r="Y48" s="46"/>
      <c r="Z48" s="64"/>
      <c r="AA48" s="64"/>
      <c r="AB48" s="64"/>
    </row>
    <row r="49" spans="1:28" x14ac:dyDescent="0.25">
      <c r="A49" s="46"/>
      <c r="B49" s="46"/>
      <c r="C49" s="46"/>
      <c r="D49" s="144" t="s">
        <v>60</v>
      </c>
      <c r="E49" s="46"/>
      <c r="F49" s="162"/>
      <c r="G49" s="100"/>
      <c r="H49" s="64"/>
      <c r="I49" s="101"/>
      <c r="J49" s="64"/>
      <c r="K49" s="46"/>
      <c r="L49" s="64"/>
      <c r="M49" s="64"/>
      <c r="N49" s="46"/>
      <c r="O49" s="64"/>
      <c r="P49" s="64"/>
      <c r="Q49" s="102"/>
      <c r="R49" s="64"/>
      <c r="S49" s="64"/>
      <c r="T49" s="64"/>
      <c r="U49" s="64"/>
      <c r="V49" s="46"/>
      <c r="W49" s="46"/>
      <c r="X49" s="46"/>
      <c r="Y49" s="46"/>
      <c r="Z49" s="64"/>
      <c r="AA49" s="64"/>
      <c r="AB49" s="64"/>
    </row>
    <row r="50" spans="1:28" x14ac:dyDescent="0.25">
      <c r="A50" s="35" t="s">
        <v>62</v>
      </c>
      <c r="B50" s="36" t="s">
        <v>7</v>
      </c>
      <c r="C50" s="36" t="s">
        <v>8</v>
      </c>
      <c r="D50" s="37" t="s">
        <v>9</v>
      </c>
      <c r="E50" s="39" t="s">
        <v>33</v>
      </c>
      <c r="F50" s="38" t="s">
        <v>10</v>
      </c>
      <c r="G50" s="39" t="s">
        <v>11</v>
      </c>
      <c r="H50" s="39" t="s">
        <v>35</v>
      </c>
      <c r="I50" s="40" t="s">
        <v>12</v>
      </c>
      <c r="J50" s="39" t="s">
        <v>13</v>
      </c>
      <c r="K50" s="24" t="s">
        <v>14</v>
      </c>
      <c r="L50" s="25">
        <v>0.1666</v>
      </c>
      <c r="M50" s="25"/>
      <c r="N50" s="14" t="s">
        <v>15</v>
      </c>
      <c r="O50" s="15">
        <v>0.33339999999999997</v>
      </c>
      <c r="P50" s="33">
        <v>0.1666666</v>
      </c>
      <c r="Q50" s="28" t="s">
        <v>29</v>
      </c>
      <c r="R50" s="19" t="s">
        <v>3</v>
      </c>
      <c r="S50" s="19"/>
      <c r="T50" s="16">
        <f>O50</f>
        <v>0.33339999999999997</v>
      </c>
      <c r="U50" s="17">
        <v>1</v>
      </c>
      <c r="V50" s="18" t="s">
        <v>16</v>
      </c>
      <c r="W50" s="22" t="s">
        <v>17</v>
      </c>
      <c r="X50" s="23" t="s">
        <v>18</v>
      </c>
      <c r="Y50" s="23" t="s">
        <v>19</v>
      </c>
      <c r="Z50" s="23" t="s">
        <v>39</v>
      </c>
      <c r="AA50" s="64"/>
      <c r="AB50" s="64"/>
    </row>
    <row r="51" spans="1:28" x14ac:dyDescent="0.25">
      <c r="A51" s="47">
        <v>45622</v>
      </c>
      <c r="B51" s="48">
        <v>1</v>
      </c>
      <c r="C51" s="49" t="s">
        <v>56</v>
      </c>
      <c r="D51" s="50" t="s">
        <v>52</v>
      </c>
      <c r="E51" s="50" t="str">
        <f>E5</f>
        <v>CIVIL</v>
      </c>
      <c r="F51" s="51" t="s">
        <v>53</v>
      </c>
      <c r="G51" s="52" t="s">
        <v>54</v>
      </c>
      <c r="H51" s="48" t="s">
        <v>55</v>
      </c>
      <c r="I51" s="52">
        <v>0</v>
      </c>
      <c r="J51" s="53" t="s">
        <v>64</v>
      </c>
      <c r="K51" s="54" t="s">
        <v>23</v>
      </c>
      <c r="L51" s="55">
        <f>I51*L2</f>
        <v>0</v>
      </c>
      <c r="M51" s="55"/>
      <c r="N51" s="56" t="s">
        <v>27</v>
      </c>
      <c r="O51" s="57">
        <f>I51/3</f>
        <v>0</v>
      </c>
      <c r="P51" s="58">
        <f>L51</f>
        <v>0</v>
      </c>
      <c r="Q51" s="59">
        <f>Q2/10</f>
        <v>1.666666E-2</v>
      </c>
      <c r="R51" s="52">
        <f>I51*Q51</f>
        <v>0</v>
      </c>
      <c r="S51" s="52"/>
      <c r="T51" s="60">
        <f>O51</f>
        <v>0</v>
      </c>
      <c r="U51" s="61">
        <f>L51+O51+P51+T51</f>
        <v>0</v>
      </c>
      <c r="V51" s="52">
        <f>I51-U51</f>
        <v>0</v>
      </c>
      <c r="W51" s="52" t="s">
        <v>58</v>
      </c>
      <c r="X51" s="48" t="s">
        <v>67</v>
      </c>
      <c r="Y51" s="62">
        <v>45627</v>
      </c>
      <c r="Z51" s="48" t="s">
        <v>57</v>
      </c>
      <c r="AA51" s="64"/>
      <c r="AB51" s="64"/>
    </row>
    <row r="52" spans="1:28" x14ac:dyDescent="0.25">
      <c r="A52" s="47">
        <v>45639</v>
      </c>
      <c r="B52" s="48">
        <v>2</v>
      </c>
      <c r="C52" s="49" t="s">
        <v>56</v>
      </c>
      <c r="D52" s="50" t="s">
        <v>68</v>
      </c>
      <c r="E52" s="50" t="s">
        <v>43</v>
      </c>
      <c r="F52" s="51" t="s">
        <v>69</v>
      </c>
      <c r="G52" s="63" t="s">
        <v>54</v>
      </c>
      <c r="H52" s="48" t="s">
        <v>55</v>
      </c>
      <c r="I52" s="52">
        <v>0</v>
      </c>
      <c r="J52" s="53" t="s">
        <v>64</v>
      </c>
      <c r="K52" s="56" t="s">
        <v>27</v>
      </c>
      <c r="L52" s="57">
        <f>I52*L50</f>
        <v>0</v>
      </c>
      <c r="M52" s="57"/>
      <c r="N52" s="56" t="s">
        <v>27</v>
      </c>
      <c r="O52" s="57">
        <f>I52/3/2</f>
        <v>0</v>
      </c>
      <c r="P52" s="58">
        <f>I52*P50</f>
        <v>0</v>
      </c>
      <c r="Q52" s="59">
        <f>Q51</f>
        <v>1.666666E-2</v>
      </c>
      <c r="R52" s="52">
        <f>P52*Q52</f>
        <v>0</v>
      </c>
      <c r="S52" s="52"/>
      <c r="T52" s="60">
        <f>I52*T50</f>
        <v>0</v>
      </c>
      <c r="U52" s="61">
        <f>L52+O52+P52+T52</f>
        <v>0</v>
      </c>
      <c r="V52" s="52">
        <f>I52-U52</f>
        <v>0</v>
      </c>
      <c r="W52" s="48" t="s">
        <v>58</v>
      </c>
      <c r="X52" s="48" t="s">
        <v>67</v>
      </c>
      <c r="Y52" s="62">
        <v>45627</v>
      </c>
      <c r="Z52" s="48" t="s">
        <v>70</v>
      </c>
      <c r="AA52" s="64"/>
      <c r="AB52" s="64"/>
    </row>
    <row r="53" spans="1:28" x14ac:dyDescent="0.25">
      <c r="A53" s="46"/>
      <c r="B53" s="46"/>
      <c r="C53" s="46"/>
      <c r="D53" s="45"/>
      <c r="E53" s="46"/>
      <c r="F53" s="162"/>
      <c r="G53" s="100"/>
      <c r="H53" s="64"/>
      <c r="I53" s="101"/>
      <c r="J53" s="64"/>
      <c r="K53" s="46"/>
      <c r="L53" s="64"/>
      <c r="M53" s="64"/>
      <c r="N53" s="111" t="s">
        <v>30</v>
      </c>
      <c r="O53" s="145">
        <f>O52</f>
        <v>0</v>
      </c>
      <c r="P53" s="64"/>
      <c r="Q53" s="102"/>
      <c r="R53" s="64"/>
      <c r="S53" s="64"/>
      <c r="T53" s="64"/>
      <c r="U53" s="64"/>
      <c r="V53" s="46"/>
      <c r="W53" s="46"/>
      <c r="X53" s="46"/>
      <c r="Y53" s="46"/>
      <c r="Z53" s="64"/>
      <c r="AA53" s="64"/>
      <c r="AB53" s="64"/>
    </row>
    <row r="54" spans="1:28" x14ac:dyDescent="0.25">
      <c r="A54" s="47">
        <v>45685</v>
      </c>
      <c r="B54" s="48">
        <v>3</v>
      </c>
      <c r="C54" s="49" t="s">
        <v>56</v>
      </c>
      <c r="D54" s="50" t="s">
        <v>108</v>
      </c>
      <c r="E54" s="50" t="s">
        <v>43</v>
      </c>
      <c r="F54" s="51" t="s">
        <v>109</v>
      </c>
      <c r="G54" s="63" t="s">
        <v>54</v>
      </c>
      <c r="H54" s="48" t="s">
        <v>55</v>
      </c>
      <c r="I54" s="52">
        <v>0</v>
      </c>
      <c r="J54" s="53" t="s">
        <v>64</v>
      </c>
      <c r="K54" s="56" t="s">
        <v>27</v>
      </c>
      <c r="L54" s="57">
        <f>I54*L52</f>
        <v>0</v>
      </c>
      <c r="M54" s="57"/>
      <c r="N54" s="56" t="s">
        <v>27</v>
      </c>
      <c r="O54" s="57">
        <f>I54/3/2</f>
        <v>0</v>
      </c>
      <c r="P54" s="58">
        <f>I54*P52</f>
        <v>0</v>
      </c>
      <c r="Q54" s="59">
        <f>Q53</f>
        <v>0</v>
      </c>
      <c r="R54" s="52">
        <f>P54*Q54</f>
        <v>0</v>
      </c>
      <c r="S54" s="52"/>
      <c r="T54" s="60">
        <f>I54*T52</f>
        <v>0</v>
      </c>
      <c r="U54" s="61">
        <f>L54+O54+P54+T54</f>
        <v>0</v>
      </c>
      <c r="V54" s="52">
        <f>I54-U54</f>
        <v>0</v>
      </c>
      <c r="W54" s="48" t="s">
        <v>58</v>
      </c>
      <c r="X54" s="48" t="s">
        <v>67</v>
      </c>
      <c r="Y54" s="62">
        <v>45627</v>
      </c>
      <c r="Z54" s="48" t="s">
        <v>70</v>
      </c>
      <c r="AA54" s="64"/>
      <c r="AB54" s="64"/>
    </row>
    <row r="55" spans="1:28" x14ac:dyDescent="0.25">
      <c r="A55" s="46"/>
      <c r="B55" s="46"/>
      <c r="C55" s="46"/>
      <c r="D55" s="45"/>
      <c r="E55" s="46"/>
      <c r="F55" s="162"/>
      <c r="G55" s="100"/>
      <c r="H55" s="64"/>
      <c r="I55" s="101"/>
      <c r="J55" s="64"/>
      <c r="K55" s="46"/>
      <c r="L55" s="64"/>
      <c r="M55" s="64"/>
      <c r="N55" s="126" t="s">
        <v>21</v>
      </c>
      <c r="O55" s="75">
        <v>0</v>
      </c>
      <c r="P55" s="64"/>
      <c r="Q55" s="102"/>
      <c r="R55" s="64"/>
      <c r="S55" s="64"/>
      <c r="T55" s="64"/>
      <c r="U55" s="64"/>
      <c r="V55" s="46"/>
      <c r="W55" s="46"/>
      <c r="X55" s="46"/>
      <c r="Y55" s="46"/>
      <c r="Z55" s="64"/>
      <c r="AA55" s="64"/>
      <c r="AB55" s="64"/>
    </row>
    <row r="56" spans="1:28" x14ac:dyDescent="0.25">
      <c r="A56" s="46"/>
      <c r="B56" s="46"/>
      <c r="C56" s="46"/>
      <c r="D56" s="46"/>
      <c r="E56" s="46"/>
      <c r="F56" s="162"/>
      <c r="G56" s="100"/>
      <c r="H56" s="64"/>
      <c r="I56" s="101"/>
      <c r="J56" s="64"/>
      <c r="K56" s="46"/>
      <c r="L56" s="64"/>
      <c r="M56" s="64"/>
      <c r="N56" s="46"/>
      <c r="O56" s="64"/>
      <c r="P56" s="64"/>
      <c r="Q56" s="102"/>
      <c r="R56" s="64"/>
      <c r="S56" s="64"/>
      <c r="T56" s="64"/>
      <c r="U56" s="64"/>
      <c r="V56" s="46"/>
      <c r="W56" s="46"/>
      <c r="X56" s="46"/>
      <c r="Y56" s="46"/>
      <c r="Z56" s="64"/>
      <c r="AA56" s="64"/>
      <c r="AB56" s="64"/>
    </row>
    <row r="58" spans="1:28" x14ac:dyDescent="0.25">
      <c r="I58" s="154">
        <v>1000000</v>
      </c>
      <c r="J58" s="66" t="s">
        <v>98</v>
      </c>
      <c r="K58" s="103">
        <v>1</v>
      </c>
    </row>
    <row r="59" spans="1:28" x14ac:dyDescent="0.25">
      <c r="I59" s="155">
        <f>I58/12</f>
        <v>83333.333333333328</v>
      </c>
      <c r="J59" s="156" t="s">
        <v>99</v>
      </c>
      <c r="K59" s="157">
        <v>1</v>
      </c>
    </row>
    <row r="60" spans="1:28" x14ac:dyDescent="0.25">
      <c r="I60" s="158">
        <f>I27</f>
        <v>9728</v>
      </c>
      <c r="J60" s="158" t="s">
        <v>41</v>
      </c>
      <c r="K60" s="159">
        <f>I60/I59</f>
        <v>0.11673600000000001</v>
      </c>
    </row>
    <row r="61" spans="1:28" x14ac:dyDescent="0.25">
      <c r="I61" s="160">
        <f>I60-I59</f>
        <v>-73605.333333333328</v>
      </c>
      <c r="J61" s="53" t="s">
        <v>100</v>
      </c>
      <c r="K61" s="53" t="s">
        <v>56</v>
      </c>
    </row>
  </sheetData>
  <hyperlinks>
    <hyperlink ref="A1" r:id="rId1" xr:uid="{B8160C76-F687-499D-ACC4-4A9605B8505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CA82-2B9C-43B8-8C06-9B84AB555AD1}">
  <sheetPr>
    <tabColor rgb="FFFF66CC"/>
  </sheetPr>
  <dimension ref="A1:AC61"/>
  <sheetViews>
    <sheetView topLeftCell="E7" zoomScale="85" zoomScaleNormal="85" workbookViewId="0">
      <selection activeCell="G27" sqref="G27"/>
    </sheetView>
  </sheetViews>
  <sheetFormatPr defaultRowHeight="15" x14ac:dyDescent="0.25"/>
  <cols>
    <col min="1" max="1" width="14.5703125" bestFit="1" customWidth="1"/>
    <col min="2" max="2" width="9.140625" style="21"/>
    <col min="3" max="3" width="12" bestFit="1" customWidth="1"/>
    <col min="4" max="4" width="38.28515625" bestFit="1" customWidth="1"/>
    <col min="5" max="5" width="18.85546875" style="21" bestFit="1" customWidth="1"/>
    <col min="6" max="6" width="47.42578125" bestFit="1" customWidth="1"/>
    <col min="7" max="7" width="15.7109375" style="20" bestFit="1" customWidth="1"/>
    <col min="8" max="8" width="30" style="21" bestFit="1" customWidth="1"/>
    <col min="9" max="9" width="14.5703125" style="20" bestFit="1" customWidth="1"/>
    <col min="10" max="10" width="13.42578125" style="21" bestFit="1" customWidth="1"/>
    <col min="11" max="11" width="15.5703125" bestFit="1" customWidth="1"/>
    <col min="12" max="12" width="15.85546875" bestFit="1" customWidth="1"/>
    <col min="13" max="13" width="15.5703125" bestFit="1" customWidth="1"/>
    <col min="14" max="14" width="15.85546875" style="21" bestFit="1" customWidth="1"/>
    <col min="15" max="15" width="15.140625" bestFit="1" customWidth="1"/>
    <col min="16" max="16" width="10.28515625" bestFit="1" customWidth="1"/>
    <col min="17" max="17" width="15.5703125" bestFit="1" customWidth="1"/>
    <col min="18" max="18" width="11" bestFit="1" customWidth="1"/>
    <col min="19" max="19" width="27.140625" bestFit="1" customWidth="1"/>
    <col min="20" max="20" width="13.5703125" bestFit="1" customWidth="1"/>
    <col min="21" max="21" width="13.5703125" style="21" bestFit="1" customWidth="1"/>
    <col min="22" max="22" width="27.140625" style="21" bestFit="1" customWidth="1"/>
    <col min="23" max="23" width="15" style="20" bestFit="1" customWidth="1"/>
    <col min="24" max="24" width="27.140625" style="21" bestFit="1" customWidth="1"/>
    <col min="25" max="25" width="12.42578125" style="21" bestFit="1" customWidth="1"/>
    <col min="26" max="26" width="25.5703125" bestFit="1" customWidth="1"/>
  </cols>
  <sheetData>
    <row r="1" spans="1:29" x14ac:dyDescent="0.25">
      <c r="A1" s="1" t="s">
        <v>0</v>
      </c>
      <c r="B1" s="180">
        <v>45689</v>
      </c>
      <c r="C1" s="2"/>
      <c r="D1" s="3" t="s">
        <v>1</v>
      </c>
      <c r="E1" s="222"/>
      <c r="F1" s="5"/>
      <c r="G1" s="6"/>
      <c r="H1" s="2"/>
      <c r="I1" s="6"/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2"/>
      <c r="W1" s="6"/>
      <c r="X1" s="2"/>
      <c r="Y1" s="6"/>
      <c r="Z1" s="6"/>
      <c r="AA1" s="64"/>
      <c r="AB1" s="64"/>
      <c r="AC1" s="21"/>
    </row>
    <row r="2" spans="1:29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3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v>0.16666600000000001</v>
      </c>
      <c r="M2" s="66" t="s">
        <v>78</v>
      </c>
      <c r="N2" s="14" t="s">
        <v>15</v>
      </c>
      <c r="O2" s="15">
        <v>0.33333000000000002</v>
      </c>
      <c r="P2" s="66" t="s">
        <v>78</v>
      </c>
      <c r="Q2" s="33">
        <v>0.1666666</v>
      </c>
      <c r="R2" s="28" t="s">
        <v>29</v>
      </c>
      <c r="S2" s="19" t="s">
        <v>3</v>
      </c>
      <c r="T2" s="16">
        <v>0.33333299999999999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46"/>
    </row>
    <row r="3" spans="1:29" x14ac:dyDescent="0.25">
      <c r="A3" s="67">
        <v>45692</v>
      </c>
      <c r="B3" s="48">
        <v>1</v>
      </c>
      <c r="C3" s="68" t="s">
        <v>41</v>
      </c>
      <c r="D3" s="50" t="s">
        <v>128</v>
      </c>
      <c r="E3" s="48" t="s">
        <v>96</v>
      </c>
      <c r="F3" s="50" t="s">
        <v>129</v>
      </c>
      <c r="G3" s="52">
        <v>150</v>
      </c>
      <c r="H3" s="48" t="s">
        <v>55</v>
      </c>
      <c r="I3" s="69">
        <v>150</v>
      </c>
      <c r="J3" s="70" t="s">
        <v>130</v>
      </c>
      <c r="K3" s="223" t="s">
        <v>23</v>
      </c>
      <c r="L3" s="224">
        <f>I3/3/2</f>
        <v>25</v>
      </c>
      <c r="M3" s="225" t="s">
        <v>79</v>
      </c>
      <c r="N3" s="124" t="s">
        <v>25</v>
      </c>
      <c r="O3" s="124">
        <f>I3*O2</f>
        <v>49.999500000000005</v>
      </c>
      <c r="P3" s="116">
        <v>2</v>
      </c>
      <c r="Q3" s="52">
        <f>I3*Q2</f>
        <v>24.99999</v>
      </c>
      <c r="R3" s="59">
        <f>Q2/11</f>
        <v>1.5151509090909092E-2</v>
      </c>
      <c r="S3" s="52">
        <f>Q3/11</f>
        <v>2.2727263636363637</v>
      </c>
      <c r="T3" s="60">
        <f>O3</f>
        <v>49.999500000000005</v>
      </c>
      <c r="U3" s="226">
        <f>L3+O3+Q3+T3</f>
        <v>149.99899000000002</v>
      </c>
      <c r="V3" s="52">
        <f>I3-U3</f>
        <v>1.0099999999795273E-3</v>
      </c>
      <c r="W3" s="52">
        <v>0</v>
      </c>
      <c r="X3" s="48" t="s">
        <v>67</v>
      </c>
      <c r="Y3" s="48"/>
      <c r="Z3" s="50"/>
      <c r="AA3" s="46"/>
      <c r="AB3" s="46"/>
    </row>
    <row r="4" spans="1:29" x14ac:dyDescent="0.25">
      <c r="A4" s="67">
        <v>45694</v>
      </c>
      <c r="B4" s="48">
        <v>2</v>
      </c>
      <c r="C4" s="68" t="s">
        <v>41</v>
      </c>
      <c r="D4" s="50" t="s">
        <v>117</v>
      </c>
      <c r="E4" s="48" t="s">
        <v>118</v>
      </c>
      <c r="F4" s="201" t="s">
        <v>119</v>
      </c>
      <c r="G4" s="52">
        <v>4236</v>
      </c>
      <c r="H4" s="48" t="s">
        <v>126</v>
      </c>
      <c r="I4" s="69">
        <v>114</v>
      </c>
      <c r="J4" s="70" t="s">
        <v>120</v>
      </c>
      <c r="K4" s="74" t="s">
        <v>121</v>
      </c>
      <c r="L4" s="75">
        <f>I4*L2</f>
        <v>18.999924</v>
      </c>
      <c r="M4" s="74">
        <v>3</v>
      </c>
      <c r="N4" s="74" t="s">
        <v>121</v>
      </c>
      <c r="O4" s="75">
        <f>I4*O2</f>
        <v>37.99962</v>
      </c>
      <c r="P4" s="74">
        <v>3</v>
      </c>
      <c r="Q4" s="52">
        <f>I4*Q2</f>
        <v>18.9999924</v>
      </c>
      <c r="R4" s="59">
        <f>Q2/11</f>
        <v>1.5151509090909092E-2</v>
      </c>
      <c r="S4" s="52">
        <f>Q4/11</f>
        <v>1.7272720363636365</v>
      </c>
      <c r="T4" s="60">
        <f>I4*O2</f>
        <v>37.99962</v>
      </c>
      <c r="U4" s="226">
        <f>L4+O4+Q4+T4</f>
        <v>113.9991564</v>
      </c>
      <c r="V4" s="52">
        <f>I4-U4</f>
        <v>8.4359999999605861E-4</v>
      </c>
      <c r="W4" s="52">
        <f>G4-I4</f>
        <v>4122</v>
      </c>
      <c r="X4" s="48" t="s">
        <v>122</v>
      </c>
      <c r="Y4" s="62">
        <v>45658</v>
      </c>
      <c r="Z4" s="50"/>
      <c r="AA4" s="46"/>
      <c r="AB4" s="46"/>
    </row>
    <row r="5" spans="1:29" x14ac:dyDescent="0.25">
      <c r="A5" s="67">
        <v>45694</v>
      </c>
      <c r="B5" s="48">
        <v>3</v>
      </c>
      <c r="C5" s="68" t="s">
        <v>41</v>
      </c>
      <c r="D5" s="50" t="s">
        <v>123</v>
      </c>
      <c r="E5" s="48" t="s">
        <v>124</v>
      </c>
      <c r="F5" s="50" t="s">
        <v>125</v>
      </c>
      <c r="G5" s="52">
        <v>500</v>
      </c>
      <c r="H5" s="48" t="s">
        <v>55</v>
      </c>
      <c r="I5" s="69">
        <v>500</v>
      </c>
      <c r="J5" s="70" t="str">
        <f>J4</f>
        <v>PIX  PJ ITAÚ</v>
      </c>
      <c r="K5" s="75" t="str">
        <f>K4</f>
        <v>JÉTER</v>
      </c>
      <c r="L5" s="75">
        <f>I5*L2</f>
        <v>83.332999999999998</v>
      </c>
      <c r="M5" s="74">
        <f>M4</f>
        <v>3</v>
      </c>
      <c r="N5" s="74" t="str">
        <f>N4</f>
        <v>JÉTER</v>
      </c>
      <c r="O5" s="75">
        <f>I5*O2</f>
        <v>166.66500000000002</v>
      </c>
      <c r="P5" s="74">
        <f>P4</f>
        <v>3</v>
      </c>
      <c r="Q5" s="52">
        <f>I5*Q2</f>
        <v>83.333299999999994</v>
      </c>
      <c r="R5" s="203">
        <f>R4</f>
        <v>1.5151509090909092E-2</v>
      </c>
      <c r="S5" s="52">
        <f>Q5/11</f>
        <v>7.5757545454545445</v>
      </c>
      <c r="T5" s="204">
        <f>I5*O2</f>
        <v>166.66500000000002</v>
      </c>
      <c r="U5" s="226">
        <f>L5+O5+Q5+T5</f>
        <v>499.99630000000002</v>
      </c>
      <c r="V5" s="52">
        <f>I5-U5</f>
        <v>3.6999999999807187E-3</v>
      </c>
      <c r="W5" s="52">
        <v>0</v>
      </c>
      <c r="X5" s="48" t="s">
        <v>67</v>
      </c>
      <c r="Y5" s="62">
        <v>45689</v>
      </c>
      <c r="Z5" s="48" t="s">
        <v>127</v>
      </c>
      <c r="AA5" s="46"/>
      <c r="AB5" s="46"/>
    </row>
    <row r="6" spans="1:29" x14ac:dyDescent="0.25">
      <c r="A6" s="67">
        <v>45698</v>
      </c>
      <c r="B6" s="48">
        <v>4</v>
      </c>
      <c r="C6" s="68" t="s">
        <v>41</v>
      </c>
      <c r="D6" s="50" t="s">
        <v>131</v>
      </c>
      <c r="E6" s="48" t="s">
        <v>142</v>
      </c>
      <c r="F6" s="51" t="s">
        <v>132</v>
      </c>
      <c r="G6" s="52">
        <v>150</v>
      </c>
      <c r="H6" s="48" t="str">
        <f>H5</f>
        <v>PARCELA ÚNICA</v>
      </c>
      <c r="I6" s="69">
        <v>150</v>
      </c>
      <c r="J6" s="70" t="str">
        <f>J5</f>
        <v>PIX  PJ ITAÚ</v>
      </c>
      <c r="K6" s="209" t="s">
        <v>90</v>
      </c>
      <c r="L6" s="209">
        <f>I6*L2</f>
        <v>24.9999</v>
      </c>
      <c r="M6" s="227" t="s">
        <v>91</v>
      </c>
      <c r="N6" s="145" t="s">
        <v>30</v>
      </c>
      <c r="O6" s="145">
        <f t="shared" ref="O6" si="0">I6/3</f>
        <v>50</v>
      </c>
      <c r="P6" s="72">
        <v>1</v>
      </c>
      <c r="Q6" s="58">
        <f t="shared" ref="Q6" si="1">L6</f>
        <v>24.9999</v>
      </c>
      <c r="R6" s="59">
        <f>Q2/11</f>
        <v>1.5151509090909092E-2</v>
      </c>
      <c r="S6" s="52">
        <f t="shared" ref="S6:S7" si="2">Q6/11</f>
        <v>2.2727181818181816</v>
      </c>
      <c r="T6" s="60">
        <f>I6/3</f>
        <v>50</v>
      </c>
      <c r="U6" s="226">
        <f t="shared" ref="U6" si="3">L6+O6+Q6+T6</f>
        <v>149.99979999999999</v>
      </c>
      <c r="V6" s="52">
        <f t="shared" ref="V6:V7" si="4">I6-U6</f>
        <v>2.0000000000663931E-4</v>
      </c>
      <c r="W6" s="52">
        <v>0</v>
      </c>
      <c r="X6" s="48" t="str">
        <f>X5</f>
        <v>ÚNICA</v>
      </c>
      <c r="Y6" s="62">
        <f>Y5</f>
        <v>45689</v>
      </c>
      <c r="Z6" s="48"/>
      <c r="AA6" s="64"/>
      <c r="AB6" s="64"/>
      <c r="AC6" s="21"/>
    </row>
    <row r="7" spans="1:29" x14ac:dyDescent="0.25">
      <c r="A7" s="67">
        <v>45699</v>
      </c>
      <c r="B7" s="48">
        <v>5</v>
      </c>
      <c r="C7" s="68" t="s">
        <v>41</v>
      </c>
      <c r="D7" s="50" t="s">
        <v>133</v>
      </c>
      <c r="E7" s="48" t="s">
        <v>134</v>
      </c>
      <c r="F7" s="51" t="s">
        <v>135</v>
      </c>
      <c r="G7" s="52">
        <v>6000</v>
      </c>
      <c r="H7" s="48" t="s">
        <v>140</v>
      </c>
      <c r="I7" s="69">
        <v>500</v>
      </c>
      <c r="J7" s="70" t="str">
        <f>J5</f>
        <v>PIX  PJ ITAÚ</v>
      </c>
      <c r="K7" s="223" t="s">
        <v>23</v>
      </c>
      <c r="L7" s="224">
        <f>I7*L2</f>
        <v>83.332999999999998</v>
      </c>
      <c r="M7" s="225" t="s">
        <v>79</v>
      </c>
      <c r="N7" s="223" t="s">
        <v>23</v>
      </c>
      <c r="O7" s="224">
        <f>I7*O2/2</f>
        <v>83.33250000000001</v>
      </c>
      <c r="P7" s="225" t="s">
        <v>79</v>
      </c>
      <c r="Q7" s="58">
        <f>I7*Q2</f>
        <v>83.333299999999994</v>
      </c>
      <c r="R7" s="59">
        <f>Q2/11</f>
        <v>1.5151509090909092E-2</v>
      </c>
      <c r="S7" s="52">
        <f t="shared" si="2"/>
        <v>7.5757545454545445</v>
      </c>
      <c r="T7" s="60">
        <f>I7/3</f>
        <v>166.66666666666666</v>
      </c>
      <c r="U7" s="226">
        <f>L7+O8+Q7+O7+T7</f>
        <v>499.99796666666668</v>
      </c>
      <c r="V7" s="52">
        <f t="shared" si="4"/>
        <v>2.0333333333155679E-3</v>
      </c>
      <c r="W7" s="52">
        <f>I7*11</f>
        <v>5500</v>
      </c>
      <c r="X7" s="48" t="s">
        <v>136</v>
      </c>
      <c r="Y7" s="62">
        <f>Y5</f>
        <v>45689</v>
      </c>
      <c r="Z7" s="48"/>
      <c r="AA7" s="64"/>
      <c r="AB7" s="64"/>
      <c r="AC7" s="21"/>
    </row>
    <row r="8" spans="1:29" x14ac:dyDescent="0.25">
      <c r="A8" s="50"/>
      <c r="B8" s="48"/>
      <c r="C8" s="50"/>
      <c r="D8" s="50"/>
      <c r="E8" s="48"/>
      <c r="F8" s="50"/>
      <c r="G8" s="52"/>
      <c r="H8" s="48"/>
      <c r="I8" s="52"/>
      <c r="J8" s="48"/>
      <c r="K8" s="50"/>
      <c r="L8" s="50"/>
      <c r="M8" s="50"/>
      <c r="N8" s="113" t="s">
        <v>26</v>
      </c>
      <c r="O8" s="113">
        <f>O7</f>
        <v>83.33250000000001</v>
      </c>
      <c r="P8" s="74">
        <v>3</v>
      </c>
      <c r="Q8" s="50"/>
      <c r="R8" s="50"/>
      <c r="S8" s="50"/>
      <c r="T8" s="50"/>
      <c r="U8" s="48"/>
      <c r="V8" s="48"/>
      <c r="W8" s="52"/>
      <c r="X8" s="48"/>
      <c r="Y8" s="48"/>
      <c r="Z8" s="50"/>
      <c r="AA8" s="46"/>
      <c r="AB8" s="46"/>
    </row>
    <row r="9" spans="1:29" x14ac:dyDescent="0.25">
      <c r="A9" s="67">
        <v>45699</v>
      </c>
      <c r="B9" s="48">
        <v>6</v>
      </c>
      <c r="C9" s="68" t="s">
        <v>41</v>
      </c>
      <c r="D9" s="50" t="s">
        <v>137</v>
      </c>
      <c r="E9" s="48" t="str">
        <f>E19</f>
        <v>CIVIL</v>
      </c>
      <c r="F9" s="50" t="s">
        <v>138</v>
      </c>
      <c r="G9" s="52">
        <v>1000</v>
      </c>
      <c r="H9" s="48" t="s">
        <v>139</v>
      </c>
      <c r="I9" s="69">
        <v>100</v>
      </c>
      <c r="J9" s="70" t="str">
        <f>J7</f>
        <v>PIX  PJ ITAÚ</v>
      </c>
      <c r="K9" s="74" t="s">
        <v>121</v>
      </c>
      <c r="L9" s="75">
        <f>I9*L2</f>
        <v>16.666600000000003</v>
      </c>
      <c r="M9" s="74">
        <v>3</v>
      </c>
      <c r="N9" s="74" t="s">
        <v>121</v>
      </c>
      <c r="O9" s="75">
        <f>I9*O2</f>
        <v>33.332999999999998</v>
      </c>
      <c r="P9" s="74">
        <v>3</v>
      </c>
      <c r="Q9" s="58">
        <f>I9*Q2</f>
        <v>16.66666</v>
      </c>
      <c r="R9" s="59">
        <f>Q2/11</f>
        <v>1.5151509090909092E-2</v>
      </c>
      <c r="S9" s="52">
        <f t="shared" ref="S9" si="5">Q9/11</f>
        <v>1.5151509090909092</v>
      </c>
      <c r="T9" s="60">
        <f>I9/3</f>
        <v>33.333333333333336</v>
      </c>
      <c r="U9" s="226">
        <f>L9+O26+Q9+O9+T9</f>
        <v>99.999593333333337</v>
      </c>
      <c r="V9" s="52">
        <f t="shared" ref="V9" si="6">I9-U9</f>
        <v>4.0666666666311357E-4</v>
      </c>
      <c r="W9" s="52">
        <f>I9*9</f>
        <v>900</v>
      </c>
      <c r="X9" s="48" t="s">
        <v>141</v>
      </c>
      <c r="Y9" s="62">
        <f>Y7</f>
        <v>45689</v>
      </c>
      <c r="Z9" s="48"/>
      <c r="AA9" s="46"/>
      <c r="AB9" s="46"/>
    </row>
    <row r="10" spans="1:29" x14ac:dyDescent="0.25">
      <c r="A10" s="67">
        <v>45699</v>
      </c>
      <c r="B10" s="48">
        <v>7</v>
      </c>
      <c r="C10" s="68" t="s">
        <v>41</v>
      </c>
      <c r="D10" s="50" t="s">
        <v>143</v>
      </c>
      <c r="E10" s="48" t="str">
        <f>E13</f>
        <v>CIVIL</v>
      </c>
      <c r="F10" s="50" t="s">
        <v>144</v>
      </c>
      <c r="G10" s="245">
        <v>759</v>
      </c>
      <c r="H10" s="244" t="s">
        <v>178</v>
      </c>
      <c r="I10" s="69">
        <v>759</v>
      </c>
      <c r="J10" s="70" t="str">
        <f>J9</f>
        <v>PIX  PJ ITAÚ</v>
      </c>
      <c r="K10" s="223" t="s">
        <v>23</v>
      </c>
      <c r="L10" s="224">
        <f>I10*L2</f>
        <v>126.49949400000001</v>
      </c>
      <c r="M10" s="225" t="s">
        <v>79</v>
      </c>
      <c r="N10" s="234" t="s">
        <v>27</v>
      </c>
      <c r="O10" s="57">
        <f>I10*O2</f>
        <v>252.99747000000002</v>
      </c>
      <c r="P10" s="72">
        <v>1</v>
      </c>
      <c r="Q10" s="58">
        <f>I10*Q2</f>
        <v>126.49994940000001</v>
      </c>
      <c r="R10" s="59">
        <f>Q2/11</f>
        <v>1.5151509090909092E-2</v>
      </c>
      <c r="S10" s="52">
        <f t="shared" ref="S10:S11" si="7">Q10/11</f>
        <v>11.499995400000001</v>
      </c>
      <c r="T10" s="60">
        <f>I10/3</f>
        <v>253</v>
      </c>
      <c r="U10" s="226">
        <f>L10+O10+Q10+T10</f>
        <v>758.99691340000004</v>
      </c>
      <c r="V10" s="52">
        <f t="shared" ref="V10:V11" si="8">I10-U10</f>
        <v>3.0865999999605265E-3</v>
      </c>
      <c r="W10" s="52" t="s">
        <v>145</v>
      </c>
      <c r="X10" s="48" t="s">
        <v>145</v>
      </c>
      <c r="Y10" s="62">
        <f>Y8</f>
        <v>0</v>
      </c>
      <c r="Z10" s="48"/>
      <c r="AA10" s="46"/>
      <c r="AB10" s="46"/>
    </row>
    <row r="11" spans="1:29" x14ac:dyDescent="0.25">
      <c r="A11" s="67">
        <v>45700</v>
      </c>
      <c r="B11" s="48">
        <v>8</v>
      </c>
      <c r="C11" s="68" t="s">
        <v>41</v>
      </c>
      <c r="D11" s="50" t="s">
        <v>146</v>
      </c>
      <c r="E11" s="48" t="s">
        <v>142</v>
      </c>
      <c r="F11" s="51" t="s">
        <v>132</v>
      </c>
      <c r="G11" s="52">
        <v>150</v>
      </c>
      <c r="H11" s="48" t="s">
        <v>147</v>
      </c>
      <c r="I11" s="69">
        <v>150</v>
      </c>
      <c r="J11" s="70" t="str">
        <f>J10</f>
        <v>PIX  PJ ITAÚ</v>
      </c>
      <c r="K11" s="74" t="s">
        <v>121</v>
      </c>
      <c r="L11" s="75">
        <f>I11*L2</f>
        <v>24.9999</v>
      </c>
      <c r="M11" s="74">
        <v>3</v>
      </c>
      <c r="N11" s="145" t="s">
        <v>30</v>
      </c>
      <c r="O11" s="145">
        <f t="shared" ref="O11" si="9">I11/3</f>
        <v>50</v>
      </c>
      <c r="P11" s="72">
        <v>1</v>
      </c>
      <c r="Q11" s="58">
        <f t="shared" ref="Q11" si="10">L11</f>
        <v>24.9999</v>
      </c>
      <c r="R11" s="59">
        <f>Q2/11</f>
        <v>1.5151509090909092E-2</v>
      </c>
      <c r="S11" s="52">
        <f t="shared" si="7"/>
        <v>2.2727181818181816</v>
      </c>
      <c r="T11" s="60">
        <f>I11/3</f>
        <v>50</v>
      </c>
      <c r="U11" s="226">
        <f t="shared" ref="U11" si="11">L11+O11+Q11+T11</f>
        <v>149.99979999999999</v>
      </c>
      <c r="V11" s="52">
        <f t="shared" si="8"/>
        <v>2.0000000000663931E-4</v>
      </c>
      <c r="W11" s="52">
        <v>0</v>
      </c>
      <c r="X11" s="48" t="str">
        <f>X10</f>
        <v>?</v>
      </c>
      <c r="Y11" s="62">
        <f>Y10</f>
        <v>0</v>
      </c>
      <c r="Z11" s="48"/>
      <c r="AA11" s="64"/>
      <c r="AB11" s="64"/>
      <c r="AC11" s="21"/>
    </row>
    <row r="12" spans="1:29" x14ac:dyDescent="0.25">
      <c r="A12" s="67">
        <v>45700</v>
      </c>
      <c r="B12" s="48">
        <v>9</v>
      </c>
      <c r="C12" s="68" t="s">
        <v>41</v>
      </c>
      <c r="D12" s="50" t="s">
        <v>170</v>
      </c>
      <c r="E12" s="244" t="str">
        <f>E11</f>
        <v>TRABALHISTA</v>
      </c>
      <c r="F12" s="51" t="s">
        <v>132</v>
      </c>
      <c r="G12" s="52">
        <v>150</v>
      </c>
      <c r="H12" s="48" t="s">
        <v>147</v>
      </c>
      <c r="I12" s="69">
        <v>150</v>
      </c>
      <c r="J12" s="70" t="str">
        <f>J11</f>
        <v>PIX  PJ ITAÚ</v>
      </c>
      <c r="K12" s="223" t="s">
        <v>23</v>
      </c>
      <c r="L12" s="224">
        <f>I12*L2</f>
        <v>24.9999</v>
      </c>
      <c r="M12" s="225" t="s">
        <v>79</v>
      </c>
      <c r="N12" s="124" t="s">
        <v>25</v>
      </c>
      <c r="O12" s="124">
        <f>G12*O2</f>
        <v>49.999500000000005</v>
      </c>
      <c r="P12" s="116">
        <v>2</v>
      </c>
      <c r="Q12" s="58">
        <f>I12*Q2</f>
        <v>24.99999</v>
      </c>
      <c r="R12" s="59">
        <f>Q2/11</f>
        <v>1.5151509090909092E-2</v>
      </c>
      <c r="S12" s="52">
        <f t="shared" ref="S12" si="12">Q12/11</f>
        <v>2.2727263636363637</v>
      </c>
      <c r="T12" s="60">
        <f>I12/3</f>
        <v>50</v>
      </c>
      <c r="U12" s="226">
        <f t="shared" ref="U12" si="13">L12+O12+Q12+T12</f>
        <v>149.99939000000001</v>
      </c>
      <c r="V12" s="52">
        <f t="shared" ref="V12" si="14">I12-U12</f>
        <v>6.0999999999467036E-4</v>
      </c>
      <c r="W12" s="52">
        <v>0</v>
      </c>
      <c r="X12" s="48" t="str">
        <f>X11</f>
        <v>?</v>
      </c>
      <c r="Y12" s="62">
        <f>Y11</f>
        <v>0</v>
      </c>
      <c r="Z12" s="48"/>
      <c r="AA12" s="64"/>
      <c r="AB12" s="64"/>
      <c r="AC12" s="21"/>
    </row>
    <row r="13" spans="1:29" x14ac:dyDescent="0.25">
      <c r="A13" s="67">
        <v>45707</v>
      </c>
      <c r="B13" s="48">
        <v>10</v>
      </c>
      <c r="C13" s="68" t="s">
        <v>41</v>
      </c>
      <c r="D13" s="50" t="s">
        <v>42</v>
      </c>
      <c r="E13" s="48" t="s">
        <v>43</v>
      </c>
      <c r="F13" s="51" t="s">
        <v>49</v>
      </c>
      <c r="G13" s="52">
        <v>4000</v>
      </c>
      <c r="H13" s="48" t="s">
        <v>44</v>
      </c>
      <c r="I13" s="69">
        <v>500</v>
      </c>
      <c r="J13" s="70" t="str">
        <f>J12</f>
        <v>PIX  PJ ITAÚ</v>
      </c>
      <c r="K13" s="223" t="s">
        <v>23</v>
      </c>
      <c r="L13" s="224">
        <f>I13/3/2</f>
        <v>83.333333333333329</v>
      </c>
      <c r="M13" s="224" t="str">
        <f>M25</f>
        <v>GESTÃO</v>
      </c>
      <c r="N13" s="74" t="s">
        <v>21</v>
      </c>
      <c r="O13" s="75">
        <f>I13/3/2</f>
        <v>83.333333333333329</v>
      </c>
      <c r="P13" s="74">
        <v>3</v>
      </c>
      <c r="Q13" s="58">
        <f>L13</f>
        <v>83.333333333333329</v>
      </c>
      <c r="R13" s="59">
        <f>R25</f>
        <v>1.5151509090909092E-2</v>
      </c>
      <c r="S13" s="52">
        <f>Q13/11</f>
        <v>7.5757575757575752</v>
      </c>
      <c r="T13" s="60">
        <f>I13/3</f>
        <v>166.66666666666666</v>
      </c>
      <c r="U13" s="69">
        <v>500</v>
      </c>
      <c r="V13" s="52">
        <f>I13-U13</f>
        <v>0</v>
      </c>
      <c r="W13" s="52">
        <f>I13*5</f>
        <v>2500</v>
      </c>
      <c r="X13" s="48" t="s">
        <v>148</v>
      </c>
      <c r="Y13" s="62">
        <v>45627</v>
      </c>
      <c r="Z13" s="48"/>
      <c r="AA13" s="64"/>
      <c r="AB13" s="46"/>
    </row>
    <row r="14" spans="1:29" x14ac:dyDescent="0.25">
      <c r="A14" s="50"/>
      <c r="B14" s="48"/>
      <c r="C14" s="50"/>
      <c r="D14" s="50"/>
      <c r="E14" s="48"/>
      <c r="F14" s="51"/>
      <c r="G14" s="52"/>
      <c r="H14" s="48"/>
      <c r="I14" s="52"/>
      <c r="J14" s="48"/>
      <c r="K14" s="50"/>
      <c r="L14" s="48"/>
      <c r="M14" s="48"/>
      <c r="N14" s="76" t="s">
        <v>24</v>
      </c>
      <c r="O14" s="77">
        <f>I13/3/2</f>
        <v>83.333333333333329</v>
      </c>
      <c r="P14" s="74">
        <v>3</v>
      </c>
      <c r="Q14" s="48"/>
      <c r="R14" s="59"/>
      <c r="S14" s="48"/>
      <c r="T14" s="48"/>
      <c r="U14" s="48"/>
      <c r="V14" s="48"/>
      <c r="W14" s="52"/>
      <c r="X14" s="48"/>
      <c r="Y14" s="48"/>
      <c r="Z14" s="48"/>
      <c r="AA14" s="64"/>
      <c r="AB14" s="46"/>
    </row>
    <row r="15" spans="1:29" x14ac:dyDescent="0.25">
      <c r="A15" s="67">
        <v>45707</v>
      </c>
      <c r="B15" s="48">
        <v>11</v>
      </c>
      <c r="C15" s="68" t="s">
        <v>41</v>
      </c>
      <c r="D15" s="50" t="s">
        <v>149</v>
      </c>
      <c r="E15" s="48" t="s">
        <v>150</v>
      </c>
      <c r="F15" s="51" t="s">
        <v>151</v>
      </c>
      <c r="G15" s="52">
        <v>800</v>
      </c>
      <c r="H15" s="48" t="s">
        <v>55</v>
      </c>
      <c r="I15" s="69">
        <v>800</v>
      </c>
      <c r="J15" s="70" t="str">
        <f>J12</f>
        <v>PIX  PJ ITAÚ</v>
      </c>
      <c r="K15" s="74" t="s">
        <v>121</v>
      </c>
      <c r="L15" s="75">
        <f>I15*L2</f>
        <v>133.33280000000002</v>
      </c>
      <c r="M15" s="74">
        <v>3</v>
      </c>
      <c r="N15" s="74" t="s">
        <v>121</v>
      </c>
      <c r="O15" s="75">
        <f>I15*O2</f>
        <v>266.66399999999999</v>
      </c>
      <c r="P15" s="74">
        <v>3</v>
      </c>
      <c r="Q15" s="58">
        <f>L15</f>
        <v>133.33280000000002</v>
      </c>
      <c r="R15" s="59">
        <f>Q2/11</f>
        <v>1.5151509090909092E-2</v>
      </c>
      <c r="S15" s="52">
        <f>Q15/11</f>
        <v>12.121163636363638</v>
      </c>
      <c r="T15" s="60">
        <f>I15/3</f>
        <v>266.66666666666669</v>
      </c>
      <c r="U15" s="69">
        <f>L15+O15+Q15+T15</f>
        <v>799.99626666666677</v>
      </c>
      <c r="V15" s="52">
        <f>I15-U15</f>
        <v>3.7333333332298935E-3</v>
      </c>
      <c r="W15" s="52">
        <v>0</v>
      </c>
      <c r="X15" s="48" t="s">
        <v>67</v>
      </c>
      <c r="Y15" s="48" t="s">
        <v>152</v>
      </c>
      <c r="Z15" s="48"/>
      <c r="AA15" s="64"/>
      <c r="AB15" s="46"/>
    </row>
    <row r="16" spans="1:29" x14ac:dyDescent="0.25">
      <c r="A16" s="67">
        <v>45707</v>
      </c>
      <c r="B16" s="48">
        <v>12</v>
      </c>
      <c r="C16" s="68" t="s">
        <v>41</v>
      </c>
      <c r="D16" s="50" t="s">
        <v>169</v>
      </c>
      <c r="E16" s="48" t="s">
        <v>153</v>
      </c>
      <c r="F16" s="51" t="s">
        <v>154</v>
      </c>
      <c r="G16" s="52">
        <v>1500</v>
      </c>
      <c r="H16" s="48" t="s">
        <v>155</v>
      </c>
      <c r="I16" s="69">
        <v>250</v>
      </c>
      <c r="J16" s="70" t="str">
        <f>J15</f>
        <v>PIX  PJ ITAÚ</v>
      </c>
      <c r="K16" s="124" t="s">
        <v>25</v>
      </c>
      <c r="L16" s="124">
        <f>I16*L2/2</f>
        <v>20.83325</v>
      </c>
      <c r="M16" s="116">
        <v>2</v>
      </c>
      <c r="N16" s="124" t="s">
        <v>25</v>
      </c>
      <c r="O16" s="124">
        <f>I16*O2/2</f>
        <v>41.666250000000005</v>
      </c>
      <c r="P16" s="116">
        <v>2</v>
      </c>
      <c r="Q16" s="58">
        <f>I16*Q2</f>
        <v>41.666649999999997</v>
      </c>
      <c r="R16" s="59">
        <f>Q2/11</f>
        <v>1.5151509090909092E-2</v>
      </c>
      <c r="S16" s="52">
        <f>Q16/11</f>
        <v>3.7878772727272723</v>
      </c>
      <c r="T16" s="60">
        <f>I16/3</f>
        <v>83.333333333333329</v>
      </c>
      <c r="U16" s="69">
        <f>L16+L17+O16+O17+Q16+T16</f>
        <v>249.99898333333334</v>
      </c>
      <c r="V16" s="52">
        <f>I16-U16</f>
        <v>1.0166666666577839E-3</v>
      </c>
      <c r="W16" s="52">
        <f>I16*5</f>
        <v>1250</v>
      </c>
      <c r="X16" s="48" t="s">
        <v>156</v>
      </c>
      <c r="Y16" s="48" t="s">
        <v>157</v>
      </c>
      <c r="Z16" s="48"/>
      <c r="AA16" s="64"/>
      <c r="AB16" s="46"/>
    </row>
    <row r="17" spans="1:29" x14ac:dyDescent="0.25">
      <c r="A17" s="50"/>
      <c r="B17" s="48"/>
      <c r="C17" s="50"/>
      <c r="D17" s="50"/>
      <c r="E17" s="48"/>
      <c r="F17" s="50"/>
      <c r="G17" s="52"/>
      <c r="H17" s="48"/>
      <c r="I17" s="52"/>
      <c r="J17" s="48"/>
      <c r="K17" s="243" t="s">
        <v>22</v>
      </c>
      <c r="L17" s="243">
        <f>L16</f>
        <v>20.83325</v>
      </c>
      <c r="M17" s="50"/>
      <c r="N17" s="243" t="s">
        <v>22</v>
      </c>
      <c r="O17" s="243">
        <f>O16</f>
        <v>41.666250000000005</v>
      </c>
      <c r="P17" s="50"/>
      <c r="Q17" s="50"/>
      <c r="R17" s="50"/>
      <c r="S17" s="50"/>
      <c r="T17" s="50"/>
      <c r="U17" s="48"/>
      <c r="V17" s="48"/>
      <c r="W17" s="52"/>
      <c r="X17" s="48"/>
      <c r="Y17" s="48"/>
      <c r="Z17" s="50"/>
      <c r="AA17" s="46"/>
      <c r="AB17" s="46"/>
    </row>
    <row r="18" spans="1:29" x14ac:dyDescent="0.25">
      <c r="A18" s="67">
        <v>45708</v>
      </c>
      <c r="B18" s="48">
        <v>13</v>
      </c>
      <c r="C18" s="68" t="s">
        <v>41</v>
      </c>
      <c r="D18" s="50" t="s">
        <v>158</v>
      </c>
      <c r="E18" s="48" t="str">
        <f>E15</f>
        <v>EXTRAJUDICIAL</v>
      </c>
      <c r="F18" s="51" t="s">
        <v>159</v>
      </c>
      <c r="G18" s="52">
        <v>14400</v>
      </c>
      <c r="H18" s="48" t="s">
        <v>160</v>
      </c>
      <c r="I18" s="69">
        <v>1200</v>
      </c>
      <c r="J18" s="70" t="s">
        <v>101</v>
      </c>
      <c r="K18" s="223" t="s">
        <v>23</v>
      </c>
      <c r="L18" s="224">
        <f>I18*L2</f>
        <v>199.9992</v>
      </c>
      <c r="M18" s="225" t="s">
        <v>79</v>
      </c>
      <c r="N18" s="223" t="s">
        <v>23</v>
      </c>
      <c r="O18" s="224">
        <f>I18*O2</f>
        <v>399.99600000000004</v>
      </c>
      <c r="P18" s="225" t="s">
        <v>79</v>
      </c>
      <c r="Q18" s="58">
        <f>I18*Q2</f>
        <v>199.99992</v>
      </c>
      <c r="R18" s="59">
        <f>R16</f>
        <v>1.5151509090909092E-2</v>
      </c>
      <c r="S18" s="52">
        <f>Q18/11</f>
        <v>18.18181090909091</v>
      </c>
      <c r="T18" s="60">
        <f>I18*T2</f>
        <v>399.99959999999999</v>
      </c>
      <c r="U18" s="242">
        <v>1200</v>
      </c>
      <c r="V18" s="52">
        <f t="shared" ref="V18" si="15">I18-U18</f>
        <v>0</v>
      </c>
      <c r="W18" s="52">
        <f>I18*11</f>
        <v>13200</v>
      </c>
      <c r="X18" s="48" t="s">
        <v>136</v>
      </c>
      <c r="Y18" s="62" t="str">
        <f>Y16</f>
        <v xml:space="preserve"> AGUARDANDO</v>
      </c>
      <c r="Z18" s="48" t="s">
        <v>171</v>
      </c>
      <c r="AA18" s="46"/>
      <c r="AB18" s="46"/>
    </row>
    <row r="19" spans="1:29" x14ac:dyDescent="0.25">
      <c r="A19" s="67">
        <v>45708</v>
      </c>
      <c r="B19" s="48">
        <v>14</v>
      </c>
      <c r="C19" s="68" t="s">
        <v>41</v>
      </c>
      <c r="D19" s="50" t="s">
        <v>48</v>
      </c>
      <c r="E19" s="48" t="s">
        <v>43</v>
      </c>
      <c r="F19" s="51" t="s">
        <v>50</v>
      </c>
      <c r="G19" s="52">
        <v>2750</v>
      </c>
      <c r="H19" s="48" t="s">
        <v>51</v>
      </c>
      <c r="I19" s="69">
        <v>250</v>
      </c>
      <c r="J19" s="70" t="str">
        <f>J15</f>
        <v>PIX  PJ ITAÚ</v>
      </c>
      <c r="K19" s="223" t="s">
        <v>23</v>
      </c>
      <c r="L19" s="224">
        <f>I19/3/2</f>
        <v>41.666666666666664</v>
      </c>
      <c r="M19" s="224" t="str">
        <f>M25</f>
        <v>GESTÃO</v>
      </c>
      <c r="N19" s="56" t="s">
        <v>27</v>
      </c>
      <c r="O19" s="57">
        <f>I19/3</f>
        <v>83.333333333333329</v>
      </c>
      <c r="P19" s="72">
        <v>1</v>
      </c>
      <c r="Q19" s="58">
        <f>L19</f>
        <v>41.666666666666664</v>
      </c>
      <c r="R19" s="59">
        <f>R25</f>
        <v>1.5151509090909092E-2</v>
      </c>
      <c r="S19" s="52">
        <f>Q19/11</f>
        <v>3.7878787878787876</v>
      </c>
      <c r="T19" s="60">
        <f>O19</f>
        <v>83.333333333333329</v>
      </c>
      <c r="U19" s="226">
        <f>L19+O19+Q19+T19</f>
        <v>250</v>
      </c>
      <c r="V19" s="52">
        <f>I19-U19</f>
        <v>0</v>
      </c>
      <c r="W19" s="52">
        <f>I19*4</f>
        <v>1000</v>
      </c>
      <c r="X19" s="48" t="s">
        <v>161</v>
      </c>
      <c r="Y19" s="62">
        <v>45627</v>
      </c>
      <c r="Z19" s="48"/>
      <c r="AA19" s="64"/>
      <c r="AB19" s="46"/>
    </row>
    <row r="20" spans="1:29" x14ac:dyDescent="0.25">
      <c r="A20" s="67">
        <v>45709</v>
      </c>
      <c r="B20" s="48">
        <v>15</v>
      </c>
      <c r="C20" s="68" t="s">
        <v>41</v>
      </c>
      <c r="D20" s="50" t="s">
        <v>165</v>
      </c>
      <c r="E20" s="48" t="s">
        <v>142</v>
      </c>
      <c r="F20" s="51" t="s">
        <v>166</v>
      </c>
      <c r="G20" s="52">
        <v>6000</v>
      </c>
      <c r="H20" s="48" t="s">
        <v>54</v>
      </c>
      <c r="I20" s="69">
        <v>1000</v>
      </c>
      <c r="J20" s="70" t="s">
        <v>167</v>
      </c>
      <c r="K20" s="223" t="s">
        <v>23</v>
      </c>
      <c r="L20" s="224">
        <f>I20*L2</f>
        <v>166.666</v>
      </c>
      <c r="M20" s="225" t="s">
        <v>79</v>
      </c>
      <c r="N20" s="145" t="s">
        <v>30</v>
      </c>
      <c r="O20" s="145">
        <f t="shared" ref="O20" si="16">I20/3</f>
        <v>333.33333333333331</v>
      </c>
      <c r="P20" s="72">
        <v>1</v>
      </c>
      <c r="Q20" s="58">
        <f t="shared" ref="Q20" si="17">L20</f>
        <v>166.666</v>
      </c>
      <c r="R20" s="59">
        <f>R19</f>
        <v>1.5151509090909092E-2</v>
      </c>
      <c r="S20" s="52">
        <f>Q20/11</f>
        <v>15.151454545454545</v>
      </c>
      <c r="T20" s="60">
        <f>I20/3</f>
        <v>333.33333333333331</v>
      </c>
      <c r="U20" s="226">
        <f t="shared" ref="U20" si="18">L20+O20+Q20+T20</f>
        <v>999.99866666666662</v>
      </c>
      <c r="V20" s="52">
        <f t="shared" ref="V20" si="19">I20-U20</f>
        <v>1.3333333333775954E-3</v>
      </c>
      <c r="W20" s="52">
        <f>G20-I20</f>
        <v>5000</v>
      </c>
      <c r="X20" s="48" t="s">
        <v>122</v>
      </c>
      <c r="Y20" s="62">
        <v>45689</v>
      </c>
      <c r="Z20" s="48" t="s">
        <v>168</v>
      </c>
      <c r="AA20" s="64"/>
      <c r="AB20" s="64"/>
      <c r="AC20" s="21"/>
    </row>
    <row r="21" spans="1:29" x14ac:dyDescent="0.25">
      <c r="A21" s="67">
        <v>45712</v>
      </c>
      <c r="B21" s="48">
        <v>16</v>
      </c>
      <c r="C21" s="68" t="s">
        <v>41</v>
      </c>
      <c r="D21" s="50" t="s">
        <v>162</v>
      </c>
      <c r="E21" s="48" t="s">
        <v>73</v>
      </c>
      <c r="F21" s="51" t="s">
        <v>163</v>
      </c>
      <c r="G21" s="52">
        <v>750</v>
      </c>
      <c r="H21" s="48" t="s">
        <v>55</v>
      </c>
      <c r="I21" s="69">
        <v>750</v>
      </c>
      <c r="J21" s="70" t="str">
        <f>J19</f>
        <v>PIX  PJ ITAÚ</v>
      </c>
      <c r="K21" s="74" t="s">
        <v>121</v>
      </c>
      <c r="L21" s="75">
        <f>I21*L2</f>
        <v>124.99950000000001</v>
      </c>
      <c r="M21" s="74">
        <v>3</v>
      </c>
      <c r="N21" s="76" t="s">
        <v>24</v>
      </c>
      <c r="O21" s="77">
        <f>I21*O2</f>
        <v>249.9975</v>
      </c>
      <c r="P21" s="74">
        <v>3</v>
      </c>
      <c r="Q21" s="58">
        <f>I21/3/2</f>
        <v>125</v>
      </c>
      <c r="R21" s="59">
        <f>R6</f>
        <v>1.5151509090909092E-2</v>
      </c>
      <c r="S21" s="52">
        <f>Q21/11</f>
        <v>11.363636363636363</v>
      </c>
      <c r="T21" s="60">
        <f>I21/3</f>
        <v>250</v>
      </c>
      <c r="U21" s="226">
        <f>L21+O21+Q21+O26+T21</f>
        <v>749.99700000000007</v>
      </c>
      <c r="V21" s="52">
        <f>I21-U21</f>
        <v>2.9999999999290594E-3</v>
      </c>
      <c r="W21" s="52">
        <v>0</v>
      </c>
      <c r="X21" s="48" t="s">
        <v>67</v>
      </c>
      <c r="Y21" s="62">
        <v>45689</v>
      </c>
      <c r="Z21" s="48"/>
      <c r="AA21" s="64"/>
      <c r="AB21" s="64"/>
      <c r="AC21" s="21"/>
    </row>
    <row r="22" spans="1:29" x14ac:dyDescent="0.25">
      <c r="A22" s="67">
        <v>45712</v>
      </c>
      <c r="B22" s="48">
        <v>17</v>
      </c>
      <c r="C22" s="68" t="s">
        <v>41</v>
      </c>
      <c r="D22" s="246" t="s">
        <v>175</v>
      </c>
      <c r="E22" s="244" t="s">
        <v>96</v>
      </c>
      <c r="F22" s="51" t="s">
        <v>132</v>
      </c>
      <c r="G22" s="52">
        <v>150</v>
      </c>
      <c r="H22" s="48" t="str">
        <f>H23</f>
        <v>PARCELA ÚNICA</v>
      </c>
      <c r="I22" s="69">
        <v>200</v>
      </c>
      <c r="J22" s="70" t="s">
        <v>176</v>
      </c>
      <c r="K22" s="209" t="s">
        <v>90</v>
      </c>
      <c r="L22" s="209">
        <f>I22*L2</f>
        <v>33.333200000000005</v>
      </c>
      <c r="M22" s="227" t="s">
        <v>91</v>
      </c>
      <c r="N22" s="74" t="s">
        <v>121</v>
      </c>
      <c r="O22" s="75">
        <f>I22*O2</f>
        <v>66.665999999999997</v>
      </c>
      <c r="P22" s="74">
        <v>3</v>
      </c>
      <c r="Q22" s="58">
        <f>I22*Q2</f>
        <v>33.333320000000001</v>
      </c>
      <c r="R22" s="59">
        <f>R20</f>
        <v>1.5151509090909092E-2</v>
      </c>
      <c r="S22" s="52">
        <f t="shared" ref="S22" si="20">Q22/11</f>
        <v>3.0303018181818184</v>
      </c>
      <c r="T22" s="60">
        <f>I22/3</f>
        <v>66.666666666666671</v>
      </c>
      <c r="U22" s="226">
        <f t="shared" ref="U22" si="21">L22+O22+Q22+T22</f>
        <v>199.99918666666667</v>
      </c>
      <c r="V22" s="52">
        <f t="shared" ref="V22" si="22">I22-U22</f>
        <v>8.1333333332622715E-4</v>
      </c>
      <c r="W22" s="52">
        <v>0</v>
      </c>
      <c r="X22" s="48" t="str">
        <f>X20</f>
        <v>PARCELA 01</v>
      </c>
      <c r="Y22" s="62">
        <f>Y20</f>
        <v>45689</v>
      </c>
      <c r="Z22" s="48"/>
      <c r="AA22" s="64"/>
      <c r="AB22" s="64"/>
      <c r="AC22" s="21"/>
    </row>
    <row r="23" spans="1:29" x14ac:dyDescent="0.25">
      <c r="A23" s="67">
        <v>45712</v>
      </c>
      <c r="B23" s="48">
        <v>18</v>
      </c>
      <c r="C23" s="68" t="s">
        <v>41</v>
      </c>
      <c r="D23" s="246" t="s">
        <v>164</v>
      </c>
      <c r="E23" s="244" t="s">
        <v>172</v>
      </c>
      <c r="F23" s="51" t="s">
        <v>132</v>
      </c>
      <c r="G23" s="52">
        <v>150</v>
      </c>
      <c r="H23" s="48" t="str">
        <f>H15</f>
        <v>PARCELA ÚNICA</v>
      </c>
      <c r="I23" s="69">
        <v>150</v>
      </c>
      <c r="J23" s="70" t="str">
        <f>J21</f>
        <v>PIX  PJ ITAÚ</v>
      </c>
      <c r="K23" s="74" t="s">
        <v>121</v>
      </c>
      <c r="L23" s="75">
        <f>I23*L2</f>
        <v>24.9999</v>
      </c>
      <c r="M23" s="74">
        <v>3</v>
      </c>
      <c r="N23" s="74" t="s">
        <v>121</v>
      </c>
      <c r="O23" s="75">
        <f>I23*O2</f>
        <v>49.999500000000005</v>
      </c>
      <c r="P23" s="74">
        <v>3</v>
      </c>
      <c r="Q23" s="58">
        <f>I23*Q2</f>
        <v>24.99999</v>
      </c>
      <c r="R23" s="59">
        <f>R21</f>
        <v>1.5151509090909092E-2</v>
      </c>
      <c r="S23" s="52">
        <f t="shared" ref="S23" si="23">Q23/11</f>
        <v>2.2727263636363637</v>
      </c>
      <c r="T23" s="60">
        <f>I23/3</f>
        <v>50</v>
      </c>
      <c r="U23" s="226">
        <f t="shared" ref="U23" si="24">L23+O23+Q23+T23</f>
        <v>149.99939000000001</v>
      </c>
      <c r="V23" s="52">
        <f t="shared" ref="V23:V24" si="25">I23-U23</f>
        <v>6.0999999999467036E-4</v>
      </c>
      <c r="W23" s="52">
        <v>0</v>
      </c>
      <c r="X23" s="48" t="str">
        <f>X21</f>
        <v>ÚNICA</v>
      </c>
      <c r="Y23" s="62">
        <f>Y21</f>
        <v>45689</v>
      </c>
      <c r="Z23" s="48"/>
      <c r="AA23" s="64"/>
      <c r="AB23" s="64"/>
      <c r="AC23" s="21"/>
    </row>
    <row r="24" spans="1:29" x14ac:dyDescent="0.25">
      <c r="A24" s="67">
        <v>45715</v>
      </c>
      <c r="B24" s="48">
        <v>19</v>
      </c>
      <c r="C24" s="68" t="s">
        <v>41</v>
      </c>
      <c r="D24" s="50" t="s">
        <v>158</v>
      </c>
      <c r="E24" s="48" t="str">
        <f>E20</f>
        <v>TRABALHISTA</v>
      </c>
      <c r="F24" s="51" t="s">
        <v>159</v>
      </c>
      <c r="G24" s="52">
        <v>14400</v>
      </c>
      <c r="H24" s="48" t="s">
        <v>160</v>
      </c>
      <c r="I24" s="69">
        <v>1200</v>
      </c>
      <c r="J24" s="70" t="s">
        <v>101</v>
      </c>
      <c r="K24" s="223" t="s">
        <v>23</v>
      </c>
      <c r="L24" s="224">
        <f>L18</f>
        <v>199.9992</v>
      </c>
      <c r="M24" s="225" t="s">
        <v>79</v>
      </c>
      <c r="N24" s="223" t="s">
        <v>23</v>
      </c>
      <c r="O24" s="224">
        <f>O18</f>
        <v>399.99600000000004</v>
      </c>
      <c r="P24" s="225" t="s">
        <v>79</v>
      </c>
      <c r="Q24" s="58">
        <f>Q18</f>
        <v>199.99992</v>
      </c>
      <c r="R24" s="59">
        <f>R21</f>
        <v>1.5151509090909092E-2</v>
      </c>
      <c r="S24" s="52">
        <f>Q24/11</f>
        <v>18.18181090909091</v>
      </c>
      <c r="T24" s="60">
        <f>T18</f>
        <v>399.99959999999999</v>
      </c>
      <c r="U24" s="242">
        <v>1200</v>
      </c>
      <c r="V24" s="52">
        <f t="shared" si="25"/>
        <v>0</v>
      </c>
      <c r="W24" s="52">
        <f>I24*10</f>
        <v>12000</v>
      </c>
      <c r="X24" s="48" t="s">
        <v>173</v>
      </c>
      <c r="Y24" s="62">
        <f>Y21</f>
        <v>45689</v>
      </c>
      <c r="Z24" s="48" t="s">
        <v>174</v>
      </c>
      <c r="AA24" s="46"/>
      <c r="AB24" s="46"/>
    </row>
    <row r="25" spans="1:29" x14ac:dyDescent="0.25">
      <c r="A25" s="67">
        <v>45716</v>
      </c>
      <c r="B25" s="48">
        <v>20</v>
      </c>
      <c r="C25" s="68" t="s">
        <v>41</v>
      </c>
      <c r="D25" s="50" t="s">
        <v>31</v>
      </c>
      <c r="E25" s="48" t="s">
        <v>32</v>
      </c>
      <c r="F25" s="51" t="s">
        <v>34</v>
      </c>
      <c r="G25" s="52">
        <v>3500</v>
      </c>
      <c r="H25" s="48" t="s">
        <v>36</v>
      </c>
      <c r="I25" s="69">
        <v>250</v>
      </c>
      <c r="J25" s="70" t="str">
        <f>J24</f>
        <v>BOLETO PJ ITAÚ</v>
      </c>
      <c r="K25" s="223" t="s">
        <v>23</v>
      </c>
      <c r="L25" s="224">
        <f>I25/3/2</f>
        <v>41.666666666666664</v>
      </c>
      <c r="M25" s="225" t="s">
        <v>79</v>
      </c>
      <c r="N25" s="56" t="s">
        <v>27</v>
      </c>
      <c r="O25" s="57">
        <f>I25/3</f>
        <v>83.333333333333329</v>
      </c>
      <c r="P25" s="72">
        <v>1</v>
      </c>
      <c r="Q25" s="73">
        <f>L25</f>
        <v>41.666666666666664</v>
      </c>
      <c r="R25" s="59">
        <f>Q2/11</f>
        <v>1.5151509090909092E-2</v>
      </c>
      <c r="S25" s="52">
        <f>Q25/11</f>
        <v>3.7878787878787876</v>
      </c>
      <c r="T25" s="60">
        <f>O25</f>
        <v>83.333333333333329</v>
      </c>
      <c r="U25" s="226">
        <f>L25+O25+Q25+T25</f>
        <v>250</v>
      </c>
      <c r="V25" s="52">
        <f>I25-U25</f>
        <v>0</v>
      </c>
      <c r="W25" s="52">
        <f>I25*4</f>
        <v>1000</v>
      </c>
      <c r="X25" s="48" t="s">
        <v>177</v>
      </c>
      <c r="Y25" s="62">
        <v>45627</v>
      </c>
      <c r="Z25" s="48"/>
      <c r="AA25" s="64"/>
      <c r="AB25" s="46"/>
    </row>
    <row r="26" spans="1:29" x14ac:dyDescent="0.25">
      <c r="A26" s="202"/>
      <c r="B26" s="83"/>
      <c r="C26" s="81"/>
      <c r="D26" s="81"/>
      <c r="E26" s="83"/>
      <c r="F26" s="81"/>
      <c r="G26" s="84"/>
      <c r="H26" s="83"/>
      <c r="I26" s="84"/>
      <c r="J26" s="83"/>
      <c r="K26" s="84"/>
      <c r="L26" s="84"/>
      <c r="M26" s="83"/>
      <c r="N26" s="83"/>
      <c r="O26" s="84"/>
      <c r="P26" s="83"/>
      <c r="Q26" s="84"/>
      <c r="R26" s="205"/>
      <c r="S26" s="84"/>
      <c r="T26" s="206"/>
      <c r="U26" s="84"/>
      <c r="V26" s="84"/>
      <c r="W26" s="84"/>
      <c r="X26" s="83"/>
      <c r="Y26" s="207"/>
      <c r="Z26" s="81"/>
      <c r="AA26" s="46"/>
      <c r="AB26" s="46"/>
    </row>
    <row r="27" spans="1:29" x14ac:dyDescent="0.25">
      <c r="A27" s="46"/>
      <c r="B27" s="64"/>
      <c r="C27" s="46"/>
      <c r="D27" s="46"/>
      <c r="E27" s="64"/>
      <c r="F27" s="46"/>
      <c r="G27" s="101">
        <f>SUM(G3:G26)</f>
        <v>61495</v>
      </c>
      <c r="H27" s="64"/>
      <c r="I27" s="91">
        <f>SUM(I3:I26)</f>
        <v>9123</v>
      </c>
      <c r="J27" s="64"/>
      <c r="K27" s="46"/>
      <c r="L27" s="211">
        <f>SUM(L3:L26)</f>
        <v>1520.4946846666669</v>
      </c>
      <c r="M27" s="46"/>
      <c r="N27" s="64"/>
      <c r="O27" s="94">
        <f>SUM(O3:O26)</f>
        <v>3040.977256666667</v>
      </c>
      <c r="P27" s="46"/>
      <c r="Q27" s="7">
        <f>SUM(Q3:Q26)</f>
        <v>1520.4982484666668</v>
      </c>
      <c r="R27" s="46"/>
      <c r="S27" s="101">
        <f>SUM(S3:S26)</f>
        <v>138.22711349696968</v>
      </c>
      <c r="T27" s="212">
        <f>SUM(T3:T26)</f>
        <v>3040.9966533333331</v>
      </c>
      <c r="U27" s="228">
        <f>SUM(U3:U26)</f>
        <v>9122.9774031333327</v>
      </c>
      <c r="V27" s="101">
        <v>0</v>
      </c>
      <c r="W27" s="101">
        <f>SUM(W3:W26)</f>
        <v>46472</v>
      </c>
      <c r="X27" s="64"/>
      <c r="Y27" s="64"/>
      <c r="Z27" s="46"/>
      <c r="AA27" s="46"/>
      <c r="AB27" s="46"/>
    </row>
    <row r="28" spans="1:29" x14ac:dyDescent="0.25">
      <c r="A28" s="46"/>
      <c r="B28" s="64"/>
      <c r="C28" s="46"/>
      <c r="D28" s="46"/>
      <c r="E28" s="64"/>
      <c r="F28" s="46"/>
      <c r="G28" s="101"/>
      <c r="H28" s="64"/>
      <c r="I28" s="101"/>
      <c r="J28" s="64"/>
      <c r="K28" s="46"/>
      <c r="L28" s="46"/>
      <c r="M28" s="46"/>
      <c r="N28" s="64"/>
      <c r="O28" s="46"/>
      <c r="P28" s="46"/>
      <c r="Q28" s="46"/>
      <c r="R28" s="46"/>
      <c r="S28" s="100"/>
      <c r="T28" s="46"/>
      <c r="U28" s="229">
        <f>I27</f>
        <v>9123</v>
      </c>
      <c r="V28" s="64"/>
      <c r="W28" s="101"/>
      <c r="X28" s="64"/>
      <c r="Y28" s="64"/>
      <c r="Z28" s="46"/>
      <c r="AA28" s="46"/>
      <c r="AB28" s="46"/>
    </row>
    <row r="29" spans="1:29" x14ac:dyDescent="0.25">
      <c r="A29" s="46"/>
      <c r="B29" s="64"/>
      <c r="C29" s="46"/>
      <c r="D29" s="46"/>
      <c r="E29" s="64"/>
      <c r="F29" s="46"/>
      <c r="G29" s="101"/>
      <c r="H29" s="64"/>
      <c r="I29" s="101"/>
      <c r="J29" s="64"/>
      <c r="K29" s="46"/>
      <c r="L29" s="46"/>
      <c r="M29" s="46"/>
      <c r="N29" s="64"/>
      <c r="O29" s="46"/>
      <c r="P29" s="46"/>
      <c r="Q29" s="46"/>
      <c r="R29" s="46"/>
      <c r="S29" s="46"/>
      <c r="T29" s="46"/>
      <c r="U29" s="101"/>
      <c r="V29" s="64"/>
      <c r="W29" s="101"/>
      <c r="X29" s="64"/>
      <c r="Y29" s="64"/>
      <c r="Z29" s="46"/>
      <c r="AA29" s="46"/>
      <c r="AB29" s="46"/>
    </row>
    <row r="30" spans="1:29" x14ac:dyDescent="0.25">
      <c r="A30" s="46"/>
      <c r="B30" s="64"/>
      <c r="C30" s="46"/>
      <c r="D30" s="46"/>
      <c r="E30" s="64"/>
      <c r="F30" s="162"/>
      <c r="G30" s="101"/>
      <c r="H30" s="64"/>
      <c r="K30" s="197" t="s">
        <v>20</v>
      </c>
      <c r="L30" s="30" t="s">
        <v>14</v>
      </c>
      <c r="M30" s="177" t="s">
        <v>78</v>
      </c>
      <c r="N30" s="31" t="s">
        <v>15</v>
      </c>
      <c r="O30" s="177" t="s">
        <v>78</v>
      </c>
      <c r="P30" s="7" t="s">
        <v>2</v>
      </c>
      <c r="Q30" s="65" t="s">
        <v>20</v>
      </c>
      <c r="R30" s="90" t="s">
        <v>82</v>
      </c>
      <c r="S30" s="177" t="s">
        <v>111</v>
      </c>
      <c r="T30" s="101" t="s">
        <v>180</v>
      </c>
      <c r="U30" s="177" t="s">
        <v>78</v>
      </c>
      <c r="V30" s="177" t="s">
        <v>81</v>
      </c>
      <c r="W30" s="178" t="s">
        <v>83</v>
      </c>
      <c r="X30" s="177" t="s">
        <v>84</v>
      </c>
      <c r="Y30" s="179" t="s">
        <v>81</v>
      </c>
      <c r="AB30" s="64"/>
    </row>
    <row r="31" spans="1:29" x14ac:dyDescent="0.25">
      <c r="A31" s="46"/>
      <c r="B31" s="64"/>
      <c r="C31" s="46"/>
      <c r="D31" s="46"/>
      <c r="E31" s="64"/>
      <c r="F31" s="162"/>
      <c r="G31" s="101"/>
      <c r="H31" s="64"/>
      <c r="K31" s="235" t="s">
        <v>26</v>
      </c>
      <c r="L31" s="105">
        <v>0</v>
      </c>
      <c r="M31" s="106">
        <v>1</v>
      </c>
      <c r="N31" s="107">
        <f>O8</f>
        <v>83.33250000000001</v>
      </c>
      <c r="O31" s="106">
        <v>1</v>
      </c>
      <c r="P31" s="58">
        <f>S27</f>
        <v>138.22711349696968</v>
      </c>
      <c r="Q31" s="104" t="s">
        <v>26</v>
      </c>
      <c r="R31" s="108">
        <f t="shared" ref="R31:R39" si="26">L31+N31+P31</f>
        <v>221.55961349696969</v>
      </c>
      <c r="S31" s="241" t="s">
        <v>179</v>
      </c>
      <c r="T31" s="101"/>
      <c r="U31" s="106">
        <v>1</v>
      </c>
      <c r="V31" s="48"/>
      <c r="W31" s="59"/>
      <c r="X31" s="48"/>
      <c r="Y31" s="99"/>
      <c r="AB31" s="64"/>
    </row>
    <row r="32" spans="1:29" x14ac:dyDescent="0.25">
      <c r="A32" s="46"/>
      <c r="B32" s="64"/>
      <c r="C32" s="46"/>
      <c r="D32" s="46"/>
      <c r="E32" s="64"/>
      <c r="F32" s="162"/>
      <c r="G32" s="101"/>
      <c r="H32" s="64"/>
      <c r="K32" s="236" t="s">
        <v>27</v>
      </c>
      <c r="L32" s="105">
        <v>0</v>
      </c>
      <c r="M32" s="106">
        <v>1</v>
      </c>
      <c r="N32" s="107">
        <f>O10+O19+O25</f>
        <v>419.66413666666665</v>
      </c>
      <c r="O32" s="106">
        <v>1</v>
      </c>
      <c r="P32" s="58">
        <f>P31</f>
        <v>138.22711349696968</v>
      </c>
      <c r="Q32" s="109" t="s">
        <v>27</v>
      </c>
      <c r="R32" s="110">
        <f t="shared" si="26"/>
        <v>557.8912501636363</v>
      </c>
      <c r="S32" s="57" t="s">
        <v>179</v>
      </c>
      <c r="T32" s="57" t="s">
        <v>181</v>
      </c>
      <c r="U32" s="106">
        <v>1</v>
      </c>
      <c r="V32" s="48"/>
      <c r="W32" s="59"/>
      <c r="X32" s="48"/>
      <c r="Y32" s="99"/>
      <c r="AB32" s="57" t="e">
        <f>T32-2000</f>
        <v>#VALUE!</v>
      </c>
    </row>
    <row r="33" spans="1:28" x14ac:dyDescent="0.25">
      <c r="A33" s="46"/>
      <c r="B33" s="64"/>
      <c r="C33" s="46"/>
      <c r="D33" s="46"/>
      <c r="E33" s="64"/>
      <c r="F33" s="162"/>
      <c r="G33" s="101"/>
      <c r="H33" s="64"/>
      <c r="K33" s="112" t="s">
        <v>30</v>
      </c>
      <c r="L33" s="105">
        <v>0</v>
      </c>
      <c r="M33" s="106">
        <v>1</v>
      </c>
      <c r="N33" s="107">
        <f>O6+O11+O20</f>
        <v>433.33333333333331</v>
      </c>
      <c r="O33" s="106">
        <v>1</v>
      </c>
      <c r="P33" s="58">
        <f>P31</f>
        <v>138.22711349696968</v>
      </c>
      <c r="Q33" s="111" t="s">
        <v>30</v>
      </c>
      <c r="R33" s="112">
        <f t="shared" si="26"/>
        <v>571.56044683030302</v>
      </c>
      <c r="S33" s="240" t="s">
        <v>179</v>
      </c>
      <c r="T33" s="101"/>
      <c r="U33" s="106">
        <v>1</v>
      </c>
      <c r="V33" s="113">
        <f>R31+R32+R33</f>
        <v>1351.0113104909092</v>
      </c>
      <c r="W33" s="114">
        <f>V33/V45</f>
        <v>0.14808854302166991</v>
      </c>
      <c r="X33" s="106">
        <v>3</v>
      </c>
      <c r="Y33" s="166">
        <v>0</v>
      </c>
      <c r="AB33" s="64"/>
    </row>
    <row r="34" spans="1:28" x14ac:dyDescent="0.25">
      <c r="A34" s="46"/>
      <c r="B34" s="64"/>
      <c r="C34" s="46"/>
      <c r="D34" s="46"/>
      <c r="E34" s="64"/>
      <c r="F34" s="162"/>
      <c r="G34" s="101"/>
      <c r="H34" s="64"/>
      <c r="K34" s="117" t="s">
        <v>25</v>
      </c>
      <c r="L34" s="105">
        <f>L16</f>
        <v>20.83325</v>
      </c>
      <c r="M34" s="116">
        <v>2</v>
      </c>
      <c r="N34" s="107">
        <f>O3+O12+O16</f>
        <v>141.66525000000001</v>
      </c>
      <c r="O34" s="116">
        <v>2</v>
      </c>
      <c r="P34" s="58">
        <f>P31</f>
        <v>138.22711349696968</v>
      </c>
      <c r="Q34" s="115" t="s">
        <v>25</v>
      </c>
      <c r="R34" s="117">
        <f t="shared" si="26"/>
        <v>300.72561349696969</v>
      </c>
      <c r="S34" s="116" t="s">
        <v>179</v>
      </c>
      <c r="T34" s="101"/>
      <c r="U34" s="116">
        <v>2</v>
      </c>
      <c r="V34" s="48"/>
      <c r="W34" s="59"/>
      <c r="X34" s="48"/>
      <c r="Y34" s="99"/>
      <c r="AB34" s="64"/>
    </row>
    <row r="35" spans="1:28" x14ac:dyDescent="0.25">
      <c r="A35" s="46"/>
      <c r="B35" s="64"/>
      <c r="C35" s="46"/>
      <c r="D35" s="46"/>
      <c r="E35" s="64"/>
      <c r="F35" s="162"/>
      <c r="G35" s="101"/>
      <c r="H35" s="64"/>
      <c r="K35" s="198" t="s">
        <v>22</v>
      </c>
      <c r="L35" s="105">
        <f>L17</f>
        <v>20.83325</v>
      </c>
      <c r="M35" s="116">
        <v>2</v>
      </c>
      <c r="N35" s="107">
        <f>O17</f>
        <v>41.666250000000005</v>
      </c>
      <c r="O35" s="116">
        <v>2</v>
      </c>
      <c r="P35" s="58">
        <f>P31</f>
        <v>138.22711349696968</v>
      </c>
      <c r="Q35" s="119" t="s">
        <v>22</v>
      </c>
      <c r="R35" s="120">
        <f t="shared" si="26"/>
        <v>200.72661349696969</v>
      </c>
      <c r="S35" s="165" t="s">
        <v>179</v>
      </c>
      <c r="T35" s="101"/>
      <c r="U35" s="116">
        <v>2</v>
      </c>
      <c r="V35" s="48"/>
      <c r="W35" s="59"/>
      <c r="X35" s="48"/>
      <c r="Y35" s="99"/>
      <c r="AB35" s="64"/>
    </row>
    <row r="36" spans="1:28" x14ac:dyDescent="0.25">
      <c r="A36" s="46"/>
      <c r="B36" s="64"/>
      <c r="C36" s="46"/>
      <c r="D36" s="46"/>
      <c r="E36" s="64"/>
      <c r="F36" s="162"/>
      <c r="G36" s="101"/>
      <c r="H36" s="64"/>
      <c r="K36" s="199" t="s">
        <v>28</v>
      </c>
      <c r="L36" s="105">
        <v>0</v>
      </c>
      <c r="M36" s="116">
        <v>2</v>
      </c>
      <c r="N36" s="107">
        <v>0</v>
      </c>
      <c r="O36" s="116">
        <v>2</v>
      </c>
      <c r="P36" s="58">
        <f>P31</f>
        <v>138.22711349696968</v>
      </c>
      <c r="Q36" s="122" t="s">
        <v>28</v>
      </c>
      <c r="R36" s="123">
        <f t="shared" si="26"/>
        <v>138.22711349696968</v>
      </c>
      <c r="S36" s="48" t="s">
        <v>179</v>
      </c>
      <c r="T36" s="101"/>
      <c r="U36" s="116">
        <v>2</v>
      </c>
      <c r="V36" s="124">
        <f>R34+R35+R36</f>
        <v>639.679340490909</v>
      </c>
      <c r="W36" s="125">
        <f>V36/V45</f>
        <v>7.0117237952612113E-2</v>
      </c>
      <c r="X36" s="116">
        <v>3</v>
      </c>
      <c r="Y36" s="167">
        <v>1</v>
      </c>
      <c r="AB36" s="64"/>
    </row>
    <row r="37" spans="1:28" x14ac:dyDescent="0.25">
      <c r="A37" s="46"/>
      <c r="B37" s="64"/>
      <c r="C37" s="46"/>
      <c r="D37" s="46"/>
      <c r="E37" s="64"/>
      <c r="F37" s="162"/>
      <c r="G37" s="101"/>
      <c r="H37" s="64"/>
      <c r="K37" s="127" t="s">
        <v>21</v>
      </c>
      <c r="L37" s="105">
        <f>L4+L5+L9+L15+L21+L23</f>
        <v>402.33172400000007</v>
      </c>
      <c r="M37" s="74">
        <v>3</v>
      </c>
      <c r="N37" s="107">
        <f>O4+O5+O9+O13+O15+O22+O23</f>
        <v>704.66045333333329</v>
      </c>
      <c r="O37" s="74">
        <v>3</v>
      </c>
      <c r="P37" s="58">
        <f>P31</f>
        <v>138.22711349696968</v>
      </c>
      <c r="Q37" s="126" t="s">
        <v>21</v>
      </c>
      <c r="R37" s="127">
        <f t="shared" si="26"/>
        <v>1245.219290830303</v>
      </c>
      <c r="S37" s="75" t="s">
        <v>179</v>
      </c>
      <c r="T37" s="101"/>
      <c r="U37" s="74">
        <v>3</v>
      </c>
      <c r="V37" s="48"/>
      <c r="W37" s="59"/>
      <c r="X37" s="48"/>
      <c r="Y37" s="99"/>
      <c r="AB37" s="64"/>
    </row>
    <row r="38" spans="1:28" x14ac:dyDescent="0.25">
      <c r="A38" s="46"/>
      <c r="B38" s="64"/>
      <c r="C38" s="46"/>
      <c r="D38" s="46"/>
      <c r="E38" s="64"/>
      <c r="F38" s="162"/>
      <c r="G38" s="101"/>
      <c r="H38" s="64"/>
      <c r="K38" s="129" t="s">
        <v>24</v>
      </c>
      <c r="L38" s="105">
        <v>0</v>
      </c>
      <c r="M38" s="74">
        <v>3</v>
      </c>
      <c r="N38" s="107">
        <f>O14+O21</f>
        <v>333.33083333333332</v>
      </c>
      <c r="O38" s="74">
        <v>3</v>
      </c>
      <c r="P38" s="58">
        <f>P31</f>
        <v>138.22711349696968</v>
      </c>
      <c r="Q38" s="128" t="s">
        <v>24</v>
      </c>
      <c r="R38" s="129">
        <f>L38+N38+P38</f>
        <v>471.55794683030297</v>
      </c>
      <c r="S38" s="77" t="s">
        <v>179</v>
      </c>
      <c r="T38" s="101"/>
      <c r="U38" s="74">
        <v>3</v>
      </c>
      <c r="V38" s="48"/>
      <c r="W38" s="59"/>
      <c r="X38" s="48"/>
      <c r="Y38" s="99"/>
      <c r="AB38" s="64"/>
    </row>
    <row r="39" spans="1:28" x14ac:dyDescent="0.25">
      <c r="A39" s="46"/>
      <c r="B39" s="64"/>
      <c r="C39" s="46"/>
      <c r="D39" s="46"/>
      <c r="E39" s="64"/>
      <c r="F39" s="162"/>
      <c r="G39" s="101"/>
      <c r="H39" s="64"/>
      <c r="K39" s="131" t="s">
        <v>37</v>
      </c>
      <c r="L39" s="105">
        <v>0</v>
      </c>
      <c r="M39" s="74">
        <v>3</v>
      </c>
      <c r="N39" s="107">
        <v>0</v>
      </c>
      <c r="O39" s="74">
        <v>3</v>
      </c>
      <c r="P39" s="58">
        <f>P31</f>
        <v>138.22711349696968</v>
      </c>
      <c r="Q39" s="130" t="s">
        <v>37</v>
      </c>
      <c r="R39" s="131">
        <f t="shared" si="26"/>
        <v>138.22711349696968</v>
      </c>
      <c r="S39" s="48" t="s">
        <v>179</v>
      </c>
      <c r="T39" s="101"/>
      <c r="U39" s="74">
        <v>3</v>
      </c>
      <c r="V39" s="75">
        <f>R37+R38+R39</f>
        <v>1855.0043511575755</v>
      </c>
      <c r="W39" s="132">
        <f>V39/V45</f>
        <v>0.20333278450641951</v>
      </c>
      <c r="X39" s="74">
        <v>3</v>
      </c>
      <c r="Y39" s="168">
        <v>7</v>
      </c>
      <c r="AB39" s="64"/>
    </row>
    <row r="40" spans="1:28" x14ac:dyDescent="0.25">
      <c r="A40" s="46"/>
      <c r="B40" s="64"/>
      <c r="C40" s="46"/>
      <c r="D40" s="46"/>
      <c r="E40" s="64"/>
      <c r="F40" s="162"/>
      <c r="G40" s="101"/>
      <c r="H40" s="64"/>
      <c r="K40" s="88" t="s">
        <v>76</v>
      </c>
      <c r="L40" s="105">
        <f>SUM(L31:L39)</f>
        <v>443.99822400000005</v>
      </c>
      <c r="M40" s="48"/>
      <c r="N40" s="107">
        <f>SUM(N31:N39)</f>
        <v>2157.6527566666668</v>
      </c>
      <c r="O40" s="48"/>
      <c r="P40" s="58">
        <f>SUM(P31:P39)</f>
        <v>1244.0440214727271</v>
      </c>
      <c r="Q40" s="133" t="s">
        <v>77</v>
      </c>
      <c r="R40" s="134">
        <f>SUM(R31:R39)</f>
        <v>3845.6950021393941</v>
      </c>
      <c r="S40" s="48"/>
      <c r="T40" s="101"/>
      <c r="U40" s="83" t="s">
        <v>80</v>
      </c>
      <c r="V40" s="84">
        <f>V33+V36+V39</f>
        <v>3845.6950021393936</v>
      </c>
      <c r="W40" s="59"/>
      <c r="X40" s="48"/>
      <c r="Y40" s="99">
        <v>7</v>
      </c>
      <c r="AB40" s="64"/>
    </row>
    <row r="41" spans="1:28" x14ac:dyDescent="0.25">
      <c r="A41" s="46"/>
      <c r="B41" s="64"/>
      <c r="C41" s="46"/>
      <c r="D41" s="46"/>
      <c r="E41" s="64"/>
      <c r="F41" s="162"/>
      <c r="G41" s="101"/>
      <c r="H41" s="64"/>
      <c r="K41" s="231" t="s">
        <v>23</v>
      </c>
      <c r="L41" s="105">
        <f>L3+L7+L10+L11+L12+L13+L18+L19+L20+L24+L25</f>
        <v>1018.1633606666666</v>
      </c>
      <c r="M41" s="223" t="s">
        <v>79</v>
      </c>
      <c r="N41" s="107">
        <f>O7+O18+O24</f>
        <v>883.32450000000017</v>
      </c>
      <c r="O41" s="223" t="s">
        <v>79</v>
      </c>
      <c r="P41" s="58">
        <f>P31</f>
        <v>138.22711349696968</v>
      </c>
      <c r="Q41" s="232" t="s">
        <v>23</v>
      </c>
      <c r="R41" s="231">
        <f>L41+N41+P41</f>
        <v>2039.7149741636363</v>
      </c>
      <c r="S41" s="71" t="s">
        <v>56</v>
      </c>
      <c r="T41" s="101">
        <f>R40+R41</f>
        <v>5885.4099763030299</v>
      </c>
      <c r="U41" s="223" t="s">
        <v>79</v>
      </c>
      <c r="V41" s="224">
        <f>R41</f>
        <v>2039.7149741636363</v>
      </c>
      <c r="W41" s="233">
        <f>V41/V45</f>
        <v>0.22357948920029302</v>
      </c>
      <c r="X41" s="71">
        <v>3</v>
      </c>
      <c r="Y41" s="169">
        <v>10</v>
      </c>
      <c r="AB41" s="64"/>
    </row>
    <row r="42" spans="1:28" ht="15.75" thickBot="1" x14ac:dyDescent="0.3">
      <c r="A42" s="46"/>
      <c r="B42" s="64"/>
      <c r="C42" s="46"/>
      <c r="D42" s="46"/>
      <c r="E42" s="64"/>
      <c r="F42" s="162"/>
      <c r="G42" s="101"/>
      <c r="H42" s="64"/>
      <c r="K42" s="32" t="s">
        <v>4</v>
      </c>
      <c r="L42" s="98">
        <v>0</v>
      </c>
      <c r="M42" s="32" t="s">
        <v>4</v>
      </c>
      <c r="N42" s="107">
        <v>0</v>
      </c>
      <c r="O42" s="32" t="s">
        <v>4</v>
      </c>
      <c r="P42" s="58">
        <f>P31</f>
        <v>138.22711349696968</v>
      </c>
      <c r="Q42" s="32" t="s">
        <v>4</v>
      </c>
      <c r="R42" s="96">
        <f>T27+P42+0.03</f>
        <v>3179.253766830303</v>
      </c>
      <c r="S42" s="60" t="s">
        <v>56</v>
      </c>
      <c r="T42" s="101"/>
      <c r="U42" s="32" t="s">
        <v>4</v>
      </c>
      <c r="V42" s="96">
        <f>R42</f>
        <v>3179.253766830303</v>
      </c>
      <c r="W42" s="137">
        <f>V42/V45</f>
        <v>0.34848787317330415</v>
      </c>
      <c r="X42" s="48"/>
      <c r="Y42" s="99"/>
      <c r="AB42" s="64"/>
    </row>
    <row r="43" spans="1:28" ht="15.75" thickBot="1" x14ac:dyDescent="0.3">
      <c r="A43" s="46"/>
      <c r="B43" s="64"/>
      <c r="C43" s="46"/>
      <c r="D43" s="46"/>
      <c r="E43" s="64"/>
      <c r="F43" s="162"/>
      <c r="G43" s="101"/>
      <c r="H43" s="64"/>
      <c r="K43" s="214" t="s">
        <v>89</v>
      </c>
      <c r="L43" s="98">
        <v>0</v>
      </c>
      <c r="M43" s="210" t="s">
        <v>91</v>
      </c>
      <c r="N43" s="107">
        <v>0</v>
      </c>
      <c r="O43" s="210" t="s">
        <v>91</v>
      </c>
      <c r="P43" s="58">
        <v>0</v>
      </c>
      <c r="Q43" s="215" t="s">
        <v>89</v>
      </c>
      <c r="R43" s="214">
        <f>L43+N43+P43</f>
        <v>0</v>
      </c>
      <c r="S43" s="208" t="s">
        <v>114</v>
      </c>
      <c r="T43" s="101"/>
      <c r="U43" s="210" t="s">
        <v>91</v>
      </c>
      <c r="V43" s="216">
        <f>R43</f>
        <v>0</v>
      </c>
      <c r="W43" s="48"/>
      <c r="X43" s="48"/>
      <c r="Y43" s="99"/>
      <c r="AB43" s="64"/>
    </row>
    <row r="44" spans="1:28" ht="15.75" thickBot="1" x14ac:dyDescent="0.3">
      <c r="A44" s="46"/>
      <c r="B44" s="64"/>
      <c r="C44" s="46"/>
      <c r="D44" s="46"/>
      <c r="E44" s="64"/>
      <c r="F44" s="162"/>
      <c r="G44" s="101"/>
      <c r="H44" s="64"/>
      <c r="K44" s="217" t="s">
        <v>90</v>
      </c>
      <c r="L44" s="98">
        <f>L6+L22</f>
        <v>58.333100000000002</v>
      </c>
      <c r="M44" s="210" t="s">
        <v>91</v>
      </c>
      <c r="N44" s="107">
        <v>0</v>
      </c>
      <c r="O44" s="210" t="s">
        <v>91</v>
      </c>
      <c r="P44" s="58">
        <v>0</v>
      </c>
      <c r="Q44" s="218" t="s">
        <v>90</v>
      </c>
      <c r="R44" s="217">
        <f>L44+N44+P44</f>
        <v>58.333100000000002</v>
      </c>
      <c r="S44" s="209" t="s">
        <v>179</v>
      </c>
      <c r="T44" s="101"/>
      <c r="U44" s="210" t="s">
        <v>91</v>
      </c>
      <c r="V44" s="216">
        <f>R44</f>
        <v>58.333100000000002</v>
      </c>
      <c r="W44" s="219">
        <f>V44/V45</f>
        <v>6.3940721457013293E-3</v>
      </c>
      <c r="X44" s="220">
        <v>3</v>
      </c>
      <c r="Y44" s="221">
        <v>2</v>
      </c>
      <c r="AB44" s="64"/>
    </row>
    <row r="45" spans="1:28" x14ac:dyDescent="0.25">
      <c r="A45" s="46"/>
      <c r="B45" s="64"/>
      <c r="C45" s="46"/>
      <c r="D45" s="46"/>
      <c r="E45" s="64"/>
      <c r="F45" s="162"/>
      <c r="G45" s="101"/>
      <c r="H45" s="64"/>
      <c r="K45" s="138" t="s">
        <v>40</v>
      </c>
      <c r="L45" s="105">
        <f>L40+L41+L42+L43+L44</f>
        <v>1520.4946846666667</v>
      </c>
      <c r="M45" s="50"/>
      <c r="N45" s="107">
        <f>N40+N41+N42+N43+N44</f>
        <v>3040.977256666667</v>
      </c>
      <c r="O45" s="48"/>
      <c r="P45" s="58">
        <f>P40+P41+P42</f>
        <v>1520.4982484666664</v>
      </c>
      <c r="Q45" s="138" t="s">
        <v>40</v>
      </c>
      <c r="R45" s="138">
        <f>R40+R41+R42+R43+R44</f>
        <v>9122.9968431333327</v>
      </c>
      <c r="S45" s="48"/>
      <c r="T45" s="101"/>
      <c r="U45" s="138" t="s">
        <v>40</v>
      </c>
      <c r="V45" s="138">
        <f>V40+V41+V42+V43+V44</f>
        <v>9122.9968431333327</v>
      </c>
      <c r="W45" s="139">
        <f>W33+W36+W39+W41+W42+W44</f>
        <v>0.99999999999999989</v>
      </c>
      <c r="X45" s="140">
        <f>SUM(X31:X44)</f>
        <v>15</v>
      </c>
      <c r="Y45" s="171">
        <f>SUM(Y31:Y44)</f>
        <v>27</v>
      </c>
      <c r="AB45" s="64"/>
    </row>
    <row r="46" spans="1:28" x14ac:dyDescent="0.25">
      <c r="A46" s="46"/>
      <c r="B46" s="64"/>
      <c r="C46" s="46"/>
      <c r="D46" s="46"/>
      <c r="E46" s="64"/>
      <c r="F46" s="162"/>
      <c r="G46" s="101"/>
      <c r="H46" s="64"/>
      <c r="K46" s="200" t="s">
        <v>16</v>
      </c>
      <c r="L46" s="105">
        <f>L27</f>
        <v>1520.4946846666669</v>
      </c>
      <c r="M46" s="50"/>
      <c r="N46" s="107">
        <f>O27</f>
        <v>3040.977256666667</v>
      </c>
      <c r="O46" s="48"/>
      <c r="P46" s="58">
        <f>Q27</f>
        <v>1520.4982484666668</v>
      </c>
      <c r="Q46" s="142" t="s">
        <v>16</v>
      </c>
      <c r="R46" s="143">
        <f>I27</f>
        <v>9123</v>
      </c>
      <c r="S46" s="48"/>
      <c r="T46" s="101"/>
      <c r="U46" s="142" t="s">
        <v>16</v>
      </c>
      <c r="V46" s="143">
        <f>I27</f>
        <v>9123</v>
      </c>
      <c r="W46" s="143">
        <f>V46</f>
        <v>9123</v>
      </c>
      <c r="X46" s="48"/>
      <c r="Y46" s="99"/>
      <c r="AB46" s="64"/>
    </row>
    <row r="47" spans="1:28" x14ac:dyDescent="0.25">
      <c r="A47" s="46"/>
      <c r="B47" s="64"/>
      <c r="C47" s="46"/>
      <c r="D47" s="46"/>
      <c r="E47" s="64"/>
      <c r="F47" s="162"/>
      <c r="G47" s="101"/>
      <c r="H47" s="64"/>
      <c r="K47" s="101"/>
      <c r="L47" s="238">
        <f>L45-L46</f>
        <v>0</v>
      </c>
      <c r="M47" s="50"/>
      <c r="N47" s="238">
        <f>N45-N46</f>
        <v>0</v>
      </c>
      <c r="O47" s="48"/>
      <c r="P47" s="238">
        <f>P45-P46</f>
        <v>0</v>
      </c>
      <c r="Q47" s="48"/>
      <c r="R47" s="238">
        <f>R45-R46</f>
        <v>-3.1568666672683321E-3</v>
      </c>
      <c r="S47" s="48"/>
      <c r="T47" s="101"/>
      <c r="U47" s="239"/>
      <c r="V47" s="238">
        <f>V45-V46</f>
        <v>-3.1568666672683321E-3</v>
      </c>
      <c r="W47" s="48"/>
      <c r="X47" s="48"/>
      <c r="Y47" s="48"/>
      <c r="AB47" s="64"/>
    </row>
    <row r="48" spans="1:28" x14ac:dyDescent="0.25">
      <c r="A48" s="46"/>
      <c r="B48" s="64"/>
      <c r="E48" s="64"/>
      <c r="F48" s="162"/>
      <c r="G48" s="101"/>
      <c r="H48" s="64"/>
      <c r="I48" s="101"/>
      <c r="J48" s="64"/>
      <c r="K48" s="46"/>
      <c r="L48" s="64"/>
      <c r="M48" s="64"/>
      <c r="N48" s="64"/>
      <c r="O48" s="64"/>
      <c r="P48" s="64"/>
      <c r="Q48" s="237"/>
      <c r="R48" s="64"/>
      <c r="S48" s="64"/>
      <c r="T48" s="64"/>
      <c r="U48" s="64"/>
      <c r="V48" s="64"/>
      <c r="W48" s="101"/>
      <c r="X48" s="64"/>
      <c r="Y48" s="64"/>
      <c r="Z48" s="64"/>
      <c r="AA48" s="64"/>
      <c r="AB48" s="46"/>
    </row>
    <row r="49" spans="1:28" x14ac:dyDescent="0.25">
      <c r="A49" s="46"/>
      <c r="B49" s="64"/>
      <c r="C49" s="46"/>
      <c r="D49" s="213" t="s">
        <v>115</v>
      </c>
      <c r="E49" s="64"/>
      <c r="F49" s="46"/>
      <c r="G49" s="101"/>
      <c r="H49" s="64"/>
      <c r="I49" s="101"/>
      <c r="J49" s="64"/>
      <c r="K49" s="46"/>
      <c r="L49" s="46"/>
      <c r="M49" s="46"/>
      <c r="N49" s="64"/>
      <c r="O49" s="46"/>
      <c r="P49" s="46"/>
      <c r="Q49" s="46"/>
      <c r="R49" s="46"/>
      <c r="S49" s="46"/>
      <c r="T49" s="46"/>
      <c r="U49" s="64"/>
      <c r="V49" s="64"/>
      <c r="W49" s="101"/>
      <c r="X49" s="64"/>
      <c r="Y49" s="64"/>
      <c r="Z49" s="46"/>
      <c r="AA49" s="46"/>
      <c r="AB49" s="46"/>
    </row>
    <row r="50" spans="1:28" x14ac:dyDescent="0.25">
      <c r="A50" s="186" t="s">
        <v>6</v>
      </c>
      <c r="B50" s="187" t="s">
        <v>7</v>
      </c>
      <c r="C50" s="187" t="s">
        <v>8</v>
      </c>
      <c r="D50" s="188" t="s">
        <v>9</v>
      </c>
      <c r="E50" s="189" t="s">
        <v>33</v>
      </c>
      <c r="F50" s="190" t="s">
        <v>10</v>
      </c>
      <c r="G50" s="185" t="s">
        <v>11</v>
      </c>
      <c r="H50" s="185" t="s">
        <v>35</v>
      </c>
      <c r="I50" s="191" t="s">
        <v>116</v>
      </c>
      <c r="J50" s="185" t="s">
        <v>13</v>
      </c>
      <c r="K50" s="181" t="s">
        <v>14</v>
      </c>
      <c r="L50" s="182">
        <v>0.1666</v>
      </c>
      <c r="M50" s="192" t="s">
        <v>78</v>
      </c>
      <c r="N50" s="193" t="s">
        <v>15</v>
      </c>
      <c r="O50" s="182">
        <v>0.33339999999999997</v>
      </c>
      <c r="P50" s="192" t="s">
        <v>78</v>
      </c>
      <c r="Q50" s="194">
        <v>0.1666666</v>
      </c>
      <c r="R50" s="183" t="s">
        <v>29</v>
      </c>
      <c r="S50" s="184" t="s">
        <v>3</v>
      </c>
      <c r="T50" s="195">
        <f>O50</f>
        <v>0.33339999999999997</v>
      </c>
      <c r="U50" s="183">
        <v>1</v>
      </c>
      <c r="V50" s="196" t="s">
        <v>16</v>
      </c>
      <c r="W50" s="185" t="s">
        <v>17</v>
      </c>
      <c r="X50" s="185" t="s">
        <v>18</v>
      </c>
      <c r="Y50" s="185" t="s">
        <v>19</v>
      </c>
      <c r="Z50" s="185" t="s">
        <v>39</v>
      </c>
      <c r="AA50" s="64"/>
      <c r="AB50" s="46"/>
    </row>
    <row r="51" spans="1:28" x14ac:dyDescent="0.25">
      <c r="A51" s="46"/>
      <c r="B51" s="64"/>
      <c r="C51" s="46"/>
      <c r="D51" s="46"/>
      <c r="E51" s="64"/>
      <c r="F51" s="162"/>
      <c r="G51" s="101"/>
      <c r="H51" s="64"/>
      <c r="I51" s="101"/>
      <c r="J51" s="64"/>
      <c r="K51" s="46"/>
      <c r="L51" s="64"/>
      <c r="M51" s="64"/>
      <c r="N51" s="64"/>
      <c r="O51" s="64"/>
      <c r="P51" s="64"/>
      <c r="Q51" s="64"/>
      <c r="R51" s="230"/>
      <c r="S51" s="101"/>
      <c r="T51" s="64"/>
      <c r="U51" s="101"/>
      <c r="V51" s="64"/>
      <c r="W51" s="101"/>
      <c r="X51" s="64"/>
      <c r="Y51" s="64"/>
      <c r="Z51" s="64"/>
      <c r="AA51" s="64"/>
      <c r="AB51" s="46"/>
    </row>
    <row r="52" spans="1:28" x14ac:dyDescent="0.25">
      <c r="A52" s="46"/>
      <c r="B52" s="64"/>
      <c r="C52" s="46"/>
      <c r="D52" s="46"/>
      <c r="E52" s="64"/>
      <c r="F52" s="162"/>
      <c r="G52" s="101"/>
      <c r="H52" s="64"/>
      <c r="I52" s="101"/>
      <c r="J52" s="64"/>
      <c r="K52" s="46"/>
      <c r="L52" s="64"/>
      <c r="M52" s="64"/>
      <c r="N52" s="64"/>
      <c r="O52" s="64"/>
      <c r="P52" s="64"/>
      <c r="Q52" s="64"/>
      <c r="R52" s="230"/>
      <c r="S52" s="101"/>
      <c r="T52" s="64"/>
      <c r="U52" s="101"/>
      <c r="V52" s="64"/>
      <c r="W52" s="101"/>
      <c r="X52" s="64"/>
      <c r="Y52" s="64"/>
      <c r="Z52" s="64"/>
      <c r="AA52" s="64"/>
      <c r="AB52" s="46"/>
    </row>
    <row r="53" spans="1:28" x14ac:dyDescent="0.25">
      <c r="A53" s="46"/>
      <c r="B53" s="64"/>
      <c r="C53" s="46"/>
      <c r="D53" s="46"/>
      <c r="E53" s="64"/>
      <c r="F53" s="162"/>
      <c r="G53" s="101"/>
      <c r="H53" s="64"/>
      <c r="I53" s="101"/>
      <c r="J53" s="64"/>
      <c r="K53" s="46"/>
      <c r="L53" s="64"/>
      <c r="M53" s="64"/>
      <c r="N53" s="64"/>
      <c r="O53" s="64"/>
      <c r="P53" s="64"/>
      <c r="Q53" s="64"/>
      <c r="R53" s="230"/>
      <c r="S53" s="101"/>
      <c r="T53" s="64"/>
      <c r="U53" s="101"/>
      <c r="V53" s="64"/>
      <c r="W53" s="101"/>
      <c r="X53" s="64"/>
      <c r="Y53" s="64"/>
      <c r="Z53" s="64"/>
      <c r="AA53" s="64"/>
      <c r="AB53" s="46"/>
    </row>
    <row r="54" spans="1:28" x14ac:dyDescent="0.25">
      <c r="A54" s="46"/>
      <c r="B54" s="64"/>
      <c r="C54" s="46"/>
      <c r="D54" s="144" t="s">
        <v>60</v>
      </c>
      <c r="F54" s="162"/>
      <c r="G54" s="101"/>
      <c r="H54" s="64"/>
      <c r="I54" s="101"/>
      <c r="J54" s="64"/>
      <c r="K54" s="46"/>
      <c r="L54" s="64"/>
      <c r="M54" s="64"/>
      <c r="N54" s="64"/>
      <c r="O54" s="64"/>
      <c r="P54" s="64"/>
      <c r="Q54" s="237"/>
      <c r="R54" s="64"/>
      <c r="S54" s="64"/>
      <c r="T54" s="64"/>
      <c r="U54" s="64"/>
      <c r="V54" s="64"/>
      <c r="W54" s="101"/>
      <c r="X54" s="64"/>
      <c r="Y54" s="64"/>
      <c r="Z54" s="64"/>
      <c r="AA54" s="64"/>
      <c r="AB54" s="46"/>
    </row>
    <row r="55" spans="1:28" x14ac:dyDescent="0.25">
      <c r="A55" s="35" t="s">
        <v>62</v>
      </c>
      <c r="B55" s="36" t="s">
        <v>7</v>
      </c>
      <c r="C55" s="36" t="s">
        <v>8</v>
      </c>
      <c r="D55" s="37" t="s">
        <v>9</v>
      </c>
      <c r="E55" s="39" t="s">
        <v>33</v>
      </c>
      <c r="F55" s="38" t="s">
        <v>10</v>
      </c>
      <c r="G55" s="39" t="s">
        <v>11</v>
      </c>
      <c r="H55" s="39" t="s">
        <v>35</v>
      </c>
      <c r="I55" s="40" t="s">
        <v>12</v>
      </c>
      <c r="J55" s="39" t="s">
        <v>13</v>
      </c>
      <c r="K55" s="24" t="s">
        <v>14</v>
      </c>
      <c r="L55" s="25">
        <v>0.1666</v>
      </c>
      <c r="M55" s="25"/>
      <c r="N55" s="14" t="s">
        <v>15</v>
      </c>
      <c r="O55" s="15">
        <v>0.33339999999999997</v>
      </c>
      <c r="P55" s="33">
        <v>0.1666666</v>
      </c>
      <c r="Q55" s="28" t="s">
        <v>29</v>
      </c>
      <c r="R55" s="19" t="s">
        <v>3</v>
      </c>
      <c r="S55" s="19"/>
      <c r="T55" s="16">
        <f>O55</f>
        <v>0.33339999999999997</v>
      </c>
      <c r="U55" s="17">
        <v>1</v>
      </c>
      <c r="V55" s="18" t="s">
        <v>16</v>
      </c>
      <c r="W55" s="22" t="s">
        <v>17</v>
      </c>
      <c r="X55" s="23" t="s">
        <v>18</v>
      </c>
      <c r="Y55" s="23" t="s">
        <v>19</v>
      </c>
      <c r="Z55" s="23" t="s">
        <v>39</v>
      </c>
      <c r="AA55" s="64"/>
      <c r="AB55" s="46"/>
    </row>
    <row r="56" spans="1:28" x14ac:dyDescent="0.25">
      <c r="A56" s="47">
        <v>45622</v>
      </c>
      <c r="B56" s="48">
        <v>1</v>
      </c>
      <c r="C56" s="49" t="s">
        <v>56</v>
      </c>
      <c r="D56" s="50" t="s">
        <v>52</v>
      </c>
      <c r="E56" s="48" t="str">
        <f>E19</f>
        <v>CIVIL</v>
      </c>
      <c r="F56" s="51" t="s">
        <v>53</v>
      </c>
      <c r="G56" s="52" t="s">
        <v>54</v>
      </c>
      <c r="H56" s="48" t="s">
        <v>55</v>
      </c>
      <c r="I56" s="52">
        <v>0</v>
      </c>
      <c r="J56" s="53" t="s">
        <v>64</v>
      </c>
      <c r="K56" s="54" t="s">
        <v>23</v>
      </c>
      <c r="L56" s="55">
        <f>I56*L2</f>
        <v>0</v>
      </c>
      <c r="M56" s="55"/>
      <c r="N56" s="56" t="s">
        <v>27</v>
      </c>
      <c r="O56" s="57">
        <f>I56/3</f>
        <v>0</v>
      </c>
      <c r="P56" s="58">
        <f>L56</f>
        <v>0</v>
      </c>
      <c r="Q56" s="59">
        <f>Q2/10</f>
        <v>1.666666E-2</v>
      </c>
      <c r="R56" s="52">
        <f>I56*Q56</f>
        <v>0</v>
      </c>
      <c r="S56" s="52"/>
      <c r="T56" s="60">
        <f>O56</f>
        <v>0</v>
      </c>
      <c r="U56" s="61">
        <f>L56+O56+P56+T56</f>
        <v>0</v>
      </c>
      <c r="V56" s="52">
        <f>I56-U56</f>
        <v>0</v>
      </c>
      <c r="W56" s="52" t="s">
        <v>58</v>
      </c>
      <c r="X56" s="48" t="s">
        <v>67</v>
      </c>
      <c r="Y56" s="62">
        <v>45627</v>
      </c>
      <c r="Z56" s="48" t="s">
        <v>57</v>
      </c>
      <c r="AA56" s="64"/>
      <c r="AB56" s="46"/>
    </row>
    <row r="57" spans="1:28" x14ac:dyDescent="0.25">
      <c r="A57" s="47">
        <v>45639</v>
      </c>
      <c r="B57" s="48">
        <v>2</v>
      </c>
      <c r="C57" s="49" t="s">
        <v>56</v>
      </c>
      <c r="D57" s="50" t="s">
        <v>68</v>
      </c>
      <c r="E57" s="48" t="s">
        <v>43</v>
      </c>
      <c r="F57" s="51" t="s">
        <v>69</v>
      </c>
      <c r="G57" s="52" t="s">
        <v>54</v>
      </c>
      <c r="H57" s="48" t="s">
        <v>55</v>
      </c>
      <c r="I57" s="52">
        <v>0</v>
      </c>
      <c r="J57" s="53" t="s">
        <v>64</v>
      </c>
      <c r="K57" s="56" t="s">
        <v>27</v>
      </c>
      <c r="L57" s="57">
        <f>I57*L55</f>
        <v>0</v>
      </c>
      <c r="M57" s="57"/>
      <c r="N57" s="56" t="s">
        <v>27</v>
      </c>
      <c r="O57" s="57">
        <f>I57/3/2</f>
        <v>0</v>
      </c>
      <c r="P57" s="58">
        <f>I57*P55</f>
        <v>0</v>
      </c>
      <c r="Q57" s="59">
        <f>Q56</f>
        <v>1.666666E-2</v>
      </c>
      <c r="R57" s="52">
        <f>P57*Q57</f>
        <v>0</v>
      </c>
      <c r="S57" s="52"/>
      <c r="T57" s="60">
        <f>I57*T55</f>
        <v>0</v>
      </c>
      <c r="U57" s="61">
        <f>L57+O57+P57+T57</f>
        <v>0</v>
      </c>
      <c r="V57" s="52">
        <f>I57-U57</f>
        <v>0</v>
      </c>
      <c r="W57" s="52" t="s">
        <v>58</v>
      </c>
      <c r="X57" s="48" t="s">
        <v>67</v>
      </c>
      <c r="Y57" s="62">
        <v>45627</v>
      </c>
      <c r="Z57" s="48" t="s">
        <v>70</v>
      </c>
      <c r="AA57" s="64"/>
      <c r="AB57" s="46"/>
    </row>
    <row r="58" spans="1:28" x14ac:dyDescent="0.25">
      <c r="A58" s="46"/>
      <c r="B58" s="64"/>
      <c r="C58" s="46"/>
      <c r="D58" s="45"/>
      <c r="E58" s="64"/>
      <c r="F58" s="162"/>
      <c r="G58" s="101"/>
      <c r="H58" s="64"/>
      <c r="I58" s="101"/>
      <c r="J58" s="64"/>
      <c r="K58" s="46"/>
      <c r="L58" s="64"/>
      <c r="M58" s="64"/>
      <c r="N58" s="111" t="s">
        <v>30</v>
      </c>
      <c r="O58" s="145">
        <f>O57</f>
        <v>0</v>
      </c>
      <c r="P58" s="64"/>
      <c r="Q58" s="102"/>
      <c r="R58" s="64"/>
      <c r="S58" s="64"/>
      <c r="T58" s="64"/>
      <c r="U58" s="64"/>
      <c r="V58" s="64"/>
      <c r="W58" s="101"/>
      <c r="X58" s="64"/>
      <c r="Y58" s="64"/>
      <c r="Z58" s="64"/>
      <c r="AA58" s="64"/>
      <c r="AB58" s="46"/>
    </row>
    <row r="59" spans="1:28" x14ac:dyDescent="0.25">
      <c r="A59" s="47">
        <v>45685</v>
      </c>
      <c r="B59" s="48">
        <v>3</v>
      </c>
      <c r="C59" s="49" t="s">
        <v>56</v>
      </c>
      <c r="D59" s="50" t="s">
        <v>108</v>
      </c>
      <c r="E59" s="48" t="s">
        <v>43</v>
      </c>
      <c r="F59" s="51" t="s">
        <v>109</v>
      </c>
      <c r="G59" s="52" t="s">
        <v>54</v>
      </c>
      <c r="H59" s="48" t="s">
        <v>55</v>
      </c>
      <c r="I59" s="52">
        <v>0</v>
      </c>
      <c r="J59" s="53" t="s">
        <v>64</v>
      </c>
      <c r="K59" s="56" t="s">
        <v>27</v>
      </c>
      <c r="L59" s="57">
        <f>I59*L57</f>
        <v>0</v>
      </c>
      <c r="M59" s="57"/>
      <c r="N59" s="56" t="s">
        <v>27</v>
      </c>
      <c r="O59" s="57">
        <f>I59/3/2</f>
        <v>0</v>
      </c>
      <c r="P59" s="58">
        <f>I59*P57</f>
        <v>0</v>
      </c>
      <c r="Q59" s="59">
        <f>Q58</f>
        <v>0</v>
      </c>
      <c r="R59" s="52">
        <f>P59*Q59</f>
        <v>0</v>
      </c>
      <c r="S59" s="52"/>
      <c r="T59" s="60">
        <f>I59*T57</f>
        <v>0</v>
      </c>
      <c r="U59" s="61">
        <f>L59+O59+P59+T59</f>
        <v>0</v>
      </c>
      <c r="V59" s="52">
        <f>I59-U59</f>
        <v>0</v>
      </c>
      <c r="W59" s="52" t="s">
        <v>58</v>
      </c>
      <c r="X59" s="48" t="s">
        <v>67</v>
      </c>
      <c r="Y59" s="62">
        <v>45627</v>
      </c>
      <c r="Z59" s="48" t="s">
        <v>70</v>
      </c>
      <c r="AA59" s="64"/>
      <c r="AB59" s="46"/>
    </row>
    <row r="60" spans="1:28" x14ac:dyDescent="0.25">
      <c r="A60" s="46"/>
      <c r="B60" s="64"/>
      <c r="C60" s="46"/>
      <c r="D60" s="45"/>
      <c r="E60" s="64"/>
      <c r="F60" s="162"/>
      <c r="G60" s="101"/>
      <c r="H60" s="64"/>
      <c r="I60" s="101"/>
      <c r="J60" s="64"/>
      <c r="K60" s="46"/>
      <c r="L60" s="64"/>
      <c r="M60" s="64"/>
      <c r="N60" s="126" t="s">
        <v>21</v>
      </c>
      <c r="O60" s="75">
        <v>0</v>
      </c>
      <c r="P60" s="64"/>
      <c r="Q60" s="102"/>
      <c r="R60" s="64"/>
      <c r="S60" s="64"/>
      <c r="T60" s="64"/>
      <c r="U60" s="64"/>
      <c r="V60" s="64"/>
      <c r="W60" s="101"/>
      <c r="X60" s="64"/>
      <c r="Y60" s="64"/>
      <c r="Z60" s="64"/>
      <c r="AA60" s="64"/>
      <c r="AB60" s="46"/>
    </row>
    <row r="61" spans="1:28" x14ac:dyDescent="0.25">
      <c r="A61" s="46"/>
      <c r="B61" s="64"/>
      <c r="C61" s="46"/>
      <c r="D61" s="46"/>
      <c r="E61" s="64"/>
      <c r="F61" s="162"/>
      <c r="G61" s="101"/>
      <c r="H61" s="64"/>
      <c r="I61" s="101"/>
      <c r="J61" s="64"/>
      <c r="K61" s="46"/>
      <c r="L61" s="64"/>
      <c r="M61" s="64"/>
      <c r="N61" s="64"/>
      <c r="O61" s="64"/>
      <c r="P61" s="64"/>
      <c r="Q61" s="102"/>
      <c r="R61" s="64"/>
      <c r="S61" s="64"/>
      <c r="T61" s="64"/>
      <c r="U61" s="64"/>
      <c r="V61" s="64"/>
      <c r="W61" s="101"/>
      <c r="X61" s="64"/>
      <c r="Y61" s="64"/>
      <c r="Z61" s="64"/>
      <c r="AA61" s="64"/>
    </row>
  </sheetData>
  <hyperlinks>
    <hyperlink ref="A1" r:id="rId1" xr:uid="{86B98D97-10DA-419E-8AB7-BB97D8FA081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E3B2-118B-4EB2-B1AB-D2E458BD3F07}">
  <sheetPr>
    <tabColor rgb="FFC00000"/>
  </sheetPr>
  <dimension ref="A1:AD76"/>
  <sheetViews>
    <sheetView tabSelected="1" topLeftCell="A46" zoomScale="85" zoomScaleNormal="85" workbookViewId="0">
      <selection activeCell="A58" sqref="A58:XFD59"/>
    </sheetView>
  </sheetViews>
  <sheetFormatPr defaultRowHeight="15" x14ac:dyDescent="0.25"/>
  <cols>
    <col min="1" max="1" width="14.5703125" bestFit="1" customWidth="1"/>
    <col min="2" max="2" width="9.140625" style="21"/>
    <col min="3" max="3" width="12" style="21" bestFit="1" customWidth="1"/>
    <col min="4" max="4" width="38.28515625" bestFit="1" customWidth="1"/>
    <col min="5" max="5" width="18.85546875" style="21" bestFit="1" customWidth="1"/>
    <col min="6" max="6" width="47.42578125" style="21" bestFit="1" customWidth="1"/>
    <col min="7" max="7" width="18.28515625" style="20" bestFit="1" customWidth="1"/>
    <col min="8" max="8" width="30" style="21" bestFit="1" customWidth="1"/>
    <col min="9" max="9" width="15.7109375" style="20" customWidth="1"/>
    <col min="10" max="10" width="15.7109375" style="21" customWidth="1"/>
    <col min="11" max="13" width="15.7109375" customWidth="1"/>
    <col min="14" max="15" width="15.7109375" style="21" customWidth="1"/>
    <col min="16" max="19" width="15.7109375" customWidth="1"/>
    <col min="20" max="22" width="15.7109375" style="21" customWidth="1"/>
    <col min="23" max="23" width="18.28515625" style="20" bestFit="1" customWidth="1"/>
    <col min="24" max="24" width="20.140625" style="21" bestFit="1" customWidth="1"/>
    <col min="25" max="25" width="15.7109375" style="21" customWidth="1"/>
    <col min="26" max="26" width="24.7109375" bestFit="1" customWidth="1"/>
  </cols>
  <sheetData>
    <row r="1" spans="1:30" x14ac:dyDescent="0.25">
      <c r="A1" s="1" t="s">
        <v>0</v>
      </c>
      <c r="B1" s="247" t="s">
        <v>182</v>
      </c>
      <c r="C1" s="2"/>
      <c r="D1" s="3" t="s">
        <v>1</v>
      </c>
      <c r="E1" s="222"/>
      <c r="F1" s="2"/>
      <c r="G1" s="6"/>
      <c r="H1" s="2"/>
      <c r="I1" s="253">
        <v>1</v>
      </c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2"/>
      <c r="W1" s="6"/>
      <c r="X1" s="2"/>
      <c r="Y1" s="6"/>
      <c r="Z1" s="6"/>
      <c r="AA1" s="64"/>
      <c r="AB1" s="64"/>
      <c r="AC1" s="21"/>
    </row>
    <row r="2" spans="1:30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1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f>I1/3/2</f>
        <v>0.16666666666666666</v>
      </c>
      <c r="M2" s="66" t="s">
        <v>78</v>
      </c>
      <c r="N2" s="14" t="s">
        <v>15</v>
      </c>
      <c r="O2" s="15">
        <f>I1/3</f>
        <v>0.33333333333333331</v>
      </c>
      <c r="P2" s="66" t="s">
        <v>78</v>
      </c>
      <c r="Q2" s="33">
        <f>I1/3/2</f>
        <v>0.16666666666666666</v>
      </c>
      <c r="R2" s="28" t="s">
        <v>29</v>
      </c>
      <c r="S2" s="19" t="s">
        <v>3</v>
      </c>
      <c r="T2" s="16">
        <f>I1/3</f>
        <v>0.33333333333333331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46"/>
    </row>
    <row r="3" spans="1:30" ht="15.75" thickBot="1" x14ac:dyDescent="0.3">
      <c r="A3" s="67">
        <v>45721</v>
      </c>
      <c r="B3" s="48">
        <v>1</v>
      </c>
      <c r="C3" s="70" t="s">
        <v>41</v>
      </c>
      <c r="D3" s="50" t="s">
        <v>189</v>
      </c>
      <c r="E3" s="262" t="s">
        <v>150</v>
      </c>
      <c r="F3" s="48" t="s">
        <v>190</v>
      </c>
      <c r="G3" s="52">
        <v>3000</v>
      </c>
      <c r="H3" s="48" t="s">
        <v>55</v>
      </c>
      <c r="I3" s="69">
        <v>3000</v>
      </c>
      <c r="J3" s="70" t="str">
        <f>J4</f>
        <v>PIX  PJ ITAÚ</v>
      </c>
      <c r="K3" s="74" t="s">
        <v>121</v>
      </c>
      <c r="L3" s="75">
        <f>I3*L2</f>
        <v>500</v>
      </c>
      <c r="M3" s="74">
        <v>3</v>
      </c>
      <c r="N3" s="74" t="s">
        <v>121</v>
      </c>
      <c r="O3" s="75">
        <f>I3/3</f>
        <v>1000</v>
      </c>
      <c r="P3" s="74">
        <v>3</v>
      </c>
      <c r="Q3" s="58">
        <f>L3</f>
        <v>500</v>
      </c>
      <c r="R3" s="59">
        <f>Q2/11</f>
        <v>1.515151515151515E-2</v>
      </c>
      <c r="S3" s="52">
        <f t="shared" ref="S3:S11" si="0">Q3/11</f>
        <v>45.454545454545453</v>
      </c>
      <c r="T3" s="60">
        <f>I3/3</f>
        <v>1000</v>
      </c>
      <c r="U3" s="69">
        <f t="shared" ref="U3:U8" si="1">L3+O3+Q3+T3</f>
        <v>3000</v>
      </c>
      <c r="V3" s="52">
        <f t="shared" ref="V3:V11" si="2">I3-U3</f>
        <v>0</v>
      </c>
      <c r="W3" s="52">
        <v>0</v>
      </c>
      <c r="X3" s="48" t="str">
        <f>X4</f>
        <v>PARCELA ÚNICA</v>
      </c>
      <c r="Y3" s="62">
        <f>Y7</f>
        <v>45717</v>
      </c>
      <c r="Z3" s="48" t="s">
        <v>191</v>
      </c>
      <c r="AA3" s="64"/>
      <c r="AB3" s="46"/>
      <c r="AC3" s="46"/>
      <c r="AD3" s="46"/>
    </row>
    <row r="4" spans="1:30" ht="15.75" thickBot="1" x14ac:dyDescent="0.3">
      <c r="A4" s="67">
        <v>45721</v>
      </c>
      <c r="B4" s="48">
        <v>2</v>
      </c>
      <c r="C4" s="70" t="s">
        <v>41</v>
      </c>
      <c r="D4" s="50" t="s">
        <v>187</v>
      </c>
      <c r="E4" s="250" t="s">
        <v>153</v>
      </c>
      <c r="F4" s="48" t="s">
        <v>154</v>
      </c>
      <c r="G4" s="52">
        <v>250</v>
      </c>
      <c r="H4" s="48" t="str">
        <f>H7</f>
        <v>PARCELA ÚNICA</v>
      </c>
      <c r="I4" s="69">
        <v>250</v>
      </c>
      <c r="J4" s="70" t="str">
        <f>J5</f>
        <v>PIX  PJ ITAÚ</v>
      </c>
      <c r="K4" s="261" t="s">
        <v>90</v>
      </c>
      <c r="L4" s="261">
        <f>I4*L2</f>
        <v>41.666666666666664</v>
      </c>
      <c r="M4" s="210" t="s">
        <v>91</v>
      </c>
      <c r="N4" s="74" t="s">
        <v>121</v>
      </c>
      <c r="O4" s="75">
        <f>I4*O2</f>
        <v>83.333333333333329</v>
      </c>
      <c r="P4" s="74">
        <v>3</v>
      </c>
      <c r="Q4" s="58">
        <f>I4*Q2</f>
        <v>41.666666666666664</v>
      </c>
      <c r="R4" s="59">
        <f>Q2/11</f>
        <v>1.515151515151515E-2</v>
      </c>
      <c r="S4" s="52">
        <f t="shared" si="0"/>
        <v>3.7878787878787876</v>
      </c>
      <c r="T4" s="60">
        <f>I4/3</f>
        <v>83.333333333333329</v>
      </c>
      <c r="U4" s="69">
        <f t="shared" si="1"/>
        <v>250</v>
      </c>
      <c r="V4" s="52">
        <f t="shared" si="2"/>
        <v>0</v>
      </c>
      <c r="W4" s="52">
        <v>0</v>
      </c>
      <c r="X4" s="48" t="str">
        <f>X7</f>
        <v>PARCELA ÚNICA</v>
      </c>
      <c r="Y4" s="62">
        <f>Y7</f>
        <v>45717</v>
      </c>
      <c r="Z4" s="48"/>
      <c r="AA4" s="64"/>
      <c r="AB4" s="46"/>
      <c r="AC4" s="46"/>
      <c r="AD4" s="46"/>
    </row>
    <row r="5" spans="1:30" x14ac:dyDescent="0.25">
      <c r="A5" s="67">
        <v>45723</v>
      </c>
      <c r="B5" s="48">
        <v>3</v>
      </c>
      <c r="C5" s="70" t="s">
        <v>41</v>
      </c>
      <c r="D5" s="50" t="s">
        <v>183</v>
      </c>
      <c r="E5" s="248" t="s">
        <v>118</v>
      </c>
      <c r="F5" s="64" t="s">
        <v>184</v>
      </c>
      <c r="G5" s="52">
        <v>1144.1400000000001</v>
      </c>
      <c r="H5" s="48" t="s">
        <v>126</v>
      </c>
      <c r="I5" s="69">
        <v>1144.1400000000001</v>
      </c>
      <c r="J5" s="70" t="s">
        <v>120</v>
      </c>
      <c r="K5" s="76" t="s">
        <v>24</v>
      </c>
      <c r="L5" s="77">
        <f>I5*L2</f>
        <v>190.69</v>
      </c>
      <c r="M5" s="74">
        <v>3</v>
      </c>
      <c r="N5" s="74" t="s">
        <v>121</v>
      </c>
      <c r="O5" s="75">
        <f>I5*O2</f>
        <v>381.38</v>
      </c>
      <c r="P5" s="74">
        <v>3</v>
      </c>
      <c r="Q5" s="58">
        <f>I5*Q2</f>
        <v>190.69</v>
      </c>
      <c r="R5" s="59">
        <f>Q2/11</f>
        <v>1.515151515151515E-2</v>
      </c>
      <c r="S5" s="52">
        <f t="shared" si="0"/>
        <v>17.335454545454546</v>
      </c>
      <c r="T5" s="60">
        <f>I5/3</f>
        <v>381.38000000000005</v>
      </c>
      <c r="U5" s="226">
        <f t="shared" si="1"/>
        <v>1144.1400000000001</v>
      </c>
      <c r="V5" s="52">
        <f t="shared" si="2"/>
        <v>0</v>
      </c>
      <c r="W5" s="52">
        <f>G5-I5</f>
        <v>0</v>
      </c>
      <c r="X5" s="48" t="s">
        <v>122</v>
      </c>
      <c r="Y5" s="62">
        <v>45658</v>
      </c>
      <c r="Z5" s="50"/>
      <c r="AA5" s="46"/>
      <c r="AB5" s="46"/>
      <c r="AC5" s="46"/>
      <c r="AD5" s="46"/>
    </row>
    <row r="6" spans="1:30" x14ac:dyDescent="0.25">
      <c r="A6" s="67">
        <v>45723</v>
      </c>
      <c r="B6" s="48">
        <v>4</v>
      </c>
      <c r="C6" s="70" t="s">
        <v>41</v>
      </c>
      <c r="D6" s="50" t="s">
        <v>188</v>
      </c>
      <c r="E6" s="251" t="s">
        <v>43</v>
      </c>
      <c r="F6" s="48" t="s">
        <v>132</v>
      </c>
      <c r="G6" s="52">
        <v>150</v>
      </c>
      <c r="H6" s="48" t="s">
        <v>55</v>
      </c>
      <c r="I6" s="69">
        <v>150</v>
      </c>
      <c r="J6" s="70" t="s">
        <v>130</v>
      </c>
      <c r="K6" s="223" t="s">
        <v>23</v>
      </c>
      <c r="L6" s="224">
        <f>I6/3/2</f>
        <v>25</v>
      </c>
      <c r="M6" s="225" t="s">
        <v>79</v>
      </c>
      <c r="N6" s="252" t="s">
        <v>28</v>
      </c>
      <c r="O6" s="252">
        <f>I6*O2</f>
        <v>50</v>
      </c>
      <c r="P6" s="116">
        <v>2</v>
      </c>
      <c r="Q6" s="58">
        <f>I6*Q2</f>
        <v>25</v>
      </c>
      <c r="R6" s="59">
        <f>R4</f>
        <v>1.515151515151515E-2</v>
      </c>
      <c r="S6" s="52">
        <f t="shared" si="0"/>
        <v>2.2727272727272729</v>
      </c>
      <c r="T6" s="60">
        <f>O6</f>
        <v>50</v>
      </c>
      <c r="U6" s="226">
        <f t="shared" si="1"/>
        <v>150</v>
      </c>
      <c r="V6" s="52">
        <f t="shared" si="2"/>
        <v>0</v>
      </c>
      <c r="W6" s="52">
        <v>0</v>
      </c>
      <c r="X6" s="48" t="str">
        <f>X7</f>
        <v>PARCELA ÚNICA</v>
      </c>
      <c r="Y6" s="62">
        <f>Y7</f>
        <v>45717</v>
      </c>
      <c r="Z6" s="50"/>
      <c r="AA6" s="46"/>
      <c r="AB6" s="46"/>
      <c r="AC6" s="46"/>
      <c r="AD6" s="46"/>
    </row>
    <row r="7" spans="1:30" x14ac:dyDescent="0.25">
      <c r="A7" s="67">
        <v>45724</v>
      </c>
      <c r="B7" s="48">
        <v>5</v>
      </c>
      <c r="C7" s="70" t="s">
        <v>41</v>
      </c>
      <c r="D7" s="46" t="s">
        <v>185</v>
      </c>
      <c r="E7" s="249" t="s">
        <v>172</v>
      </c>
      <c r="F7" s="48" t="s">
        <v>186</v>
      </c>
      <c r="G7" s="52">
        <v>1000</v>
      </c>
      <c r="H7" s="48" t="s">
        <v>55</v>
      </c>
      <c r="I7" s="69">
        <v>1000</v>
      </c>
      <c r="J7" s="70" t="str">
        <f>J5</f>
        <v>PIX  PJ ITAÚ</v>
      </c>
      <c r="K7" s="74" t="s">
        <v>121</v>
      </c>
      <c r="L7" s="75">
        <f>I7*L2</f>
        <v>166.66666666666666</v>
      </c>
      <c r="M7" s="74">
        <v>3</v>
      </c>
      <c r="N7" s="74" t="s">
        <v>121</v>
      </c>
      <c r="O7" s="75">
        <f>I7*O2</f>
        <v>333.33333333333331</v>
      </c>
      <c r="P7" s="74">
        <v>3</v>
      </c>
      <c r="Q7" s="58">
        <f>I7*Q2</f>
        <v>166.66666666666666</v>
      </c>
      <c r="R7" s="59">
        <f>R5</f>
        <v>1.515151515151515E-2</v>
      </c>
      <c r="S7" s="52">
        <f t="shared" si="0"/>
        <v>15.15151515151515</v>
      </c>
      <c r="T7" s="60">
        <f>I7/3</f>
        <v>333.33333333333331</v>
      </c>
      <c r="U7" s="226">
        <f t="shared" si="1"/>
        <v>1000</v>
      </c>
      <c r="V7" s="52">
        <f t="shared" si="2"/>
        <v>0</v>
      </c>
      <c r="W7" s="52">
        <v>0</v>
      </c>
      <c r="X7" s="48" t="str">
        <f>H7</f>
        <v>PARCELA ÚNICA</v>
      </c>
      <c r="Y7" s="62">
        <v>45717</v>
      </c>
      <c r="Z7" s="48"/>
      <c r="AA7" s="64"/>
      <c r="AB7" s="64"/>
      <c r="AC7" s="64"/>
      <c r="AD7" s="46"/>
    </row>
    <row r="8" spans="1:30" x14ac:dyDescent="0.25">
      <c r="A8" s="67">
        <v>45726</v>
      </c>
      <c r="B8" s="48">
        <v>6</v>
      </c>
      <c r="C8" s="70" t="s">
        <v>41</v>
      </c>
      <c r="D8" s="46" t="s">
        <v>197</v>
      </c>
      <c r="E8" s="251" t="s">
        <v>43</v>
      </c>
      <c r="F8" s="48" t="s">
        <v>198</v>
      </c>
      <c r="G8" s="245">
        <v>2400</v>
      </c>
      <c r="H8" s="244" t="s">
        <v>199</v>
      </c>
      <c r="I8" s="69">
        <v>300</v>
      </c>
      <c r="J8" s="70" t="str">
        <f>J6</f>
        <v>PIX  PJ BB</v>
      </c>
      <c r="K8" s="74" t="s">
        <v>121</v>
      </c>
      <c r="L8" s="75">
        <f>I8*L2</f>
        <v>50</v>
      </c>
      <c r="M8" s="74">
        <v>3</v>
      </c>
      <c r="N8" s="74" t="s">
        <v>121</v>
      </c>
      <c r="O8" s="75">
        <f>I8*O2</f>
        <v>100</v>
      </c>
      <c r="P8" s="74">
        <v>3</v>
      </c>
      <c r="Q8" s="58">
        <f>I8*Q2</f>
        <v>50</v>
      </c>
      <c r="R8" s="59">
        <f>R6</f>
        <v>1.515151515151515E-2</v>
      </c>
      <c r="S8" s="52">
        <f t="shared" si="0"/>
        <v>4.5454545454545459</v>
      </c>
      <c r="T8" s="60">
        <f>I8/3</f>
        <v>100</v>
      </c>
      <c r="U8" s="226">
        <f t="shared" si="1"/>
        <v>300</v>
      </c>
      <c r="V8" s="52">
        <f t="shared" si="2"/>
        <v>0</v>
      </c>
      <c r="W8" s="52">
        <f>I8*7</f>
        <v>2100</v>
      </c>
      <c r="X8" s="48" t="s">
        <v>200</v>
      </c>
      <c r="Y8" s="62">
        <v>45717</v>
      </c>
      <c r="Z8" s="48"/>
      <c r="AA8" s="46"/>
      <c r="AB8" s="46"/>
      <c r="AC8" s="46"/>
      <c r="AD8" s="46"/>
    </row>
    <row r="9" spans="1:30" x14ac:dyDescent="0.25">
      <c r="A9" s="67">
        <v>45726</v>
      </c>
      <c r="B9" s="48">
        <v>7</v>
      </c>
      <c r="C9" s="70" t="s">
        <v>41</v>
      </c>
      <c r="D9" s="50" t="s">
        <v>137</v>
      </c>
      <c r="E9" s="251" t="s">
        <v>43</v>
      </c>
      <c r="F9" s="48" t="s">
        <v>138</v>
      </c>
      <c r="G9" s="52">
        <v>1000</v>
      </c>
      <c r="H9" s="48" t="s">
        <v>139</v>
      </c>
      <c r="I9" s="69">
        <v>100</v>
      </c>
      <c r="J9" s="70" t="s">
        <v>120</v>
      </c>
      <c r="K9" s="74" t="s">
        <v>121</v>
      </c>
      <c r="L9" s="75">
        <f>I9*L2</f>
        <v>16.666666666666664</v>
      </c>
      <c r="M9" s="74">
        <v>3</v>
      </c>
      <c r="N9" s="74" t="s">
        <v>121</v>
      </c>
      <c r="O9" s="75">
        <f>I9*O2</f>
        <v>33.333333333333329</v>
      </c>
      <c r="P9" s="74">
        <v>3</v>
      </c>
      <c r="Q9" s="58">
        <f>I9*Q2</f>
        <v>16.666666666666664</v>
      </c>
      <c r="R9" s="59">
        <f>Q2/11</f>
        <v>1.515151515151515E-2</v>
      </c>
      <c r="S9" s="52">
        <f t="shared" si="0"/>
        <v>1.5151515151515149</v>
      </c>
      <c r="T9" s="60">
        <f>I9/3</f>
        <v>33.333333333333336</v>
      </c>
      <c r="U9" s="226">
        <f>L9+O62+Q9+O9+T9</f>
        <v>100</v>
      </c>
      <c r="V9" s="52">
        <f t="shared" si="2"/>
        <v>0</v>
      </c>
      <c r="W9" s="52">
        <f>I9*8</f>
        <v>800</v>
      </c>
      <c r="X9" s="48" t="s">
        <v>202</v>
      </c>
      <c r="Y9" s="62">
        <f>Y11</f>
        <v>45658</v>
      </c>
      <c r="Z9" s="48"/>
      <c r="AA9" s="46"/>
      <c r="AB9" s="46"/>
      <c r="AC9" s="46"/>
      <c r="AD9" s="46"/>
    </row>
    <row r="10" spans="1:30" x14ac:dyDescent="0.25">
      <c r="A10" s="67">
        <v>45726</v>
      </c>
      <c r="B10" s="48">
        <v>8</v>
      </c>
      <c r="C10" s="70" t="s">
        <v>41</v>
      </c>
      <c r="D10" s="50" t="s">
        <v>216</v>
      </c>
      <c r="E10" s="251" t="s">
        <v>43</v>
      </c>
      <c r="F10" s="48" t="s">
        <v>217</v>
      </c>
      <c r="G10" s="52">
        <v>150</v>
      </c>
      <c r="H10" s="48" t="s">
        <v>55</v>
      </c>
      <c r="I10" s="69">
        <v>150</v>
      </c>
      <c r="J10" s="70" t="s">
        <v>130</v>
      </c>
      <c r="K10" s="74" t="s">
        <v>121</v>
      </c>
      <c r="L10" s="75">
        <f>I10*L2</f>
        <v>25</v>
      </c>
      <c r="M10" s="74">
        <v>3</v>
      </c>
      <c r="N10" s="74" t="s">
        <v>121</v>
      </c>
      <c r="O10" s="75">
        <f>I10*O2</f>
        <v>50</v>
      </c>
      <c r="P10" s="74">
        <v>3</v>
      </c>
      <c r="Q10" s="58">
        <f>I10*Q2</f>
        <v>25</v>
      </c>
      <c r="R10" s="59">
        <f>R3</f>
        <v>1.515151515151515E-2</v>
      </c>
      <c r="S10" s="52">
        <f t="shared" si="0"/>
        <v>2.2727272727272729</v>
      </c>
      <c r="T10" s="60">
        <f>I10/3</f>
        <v>50</v>
      </c>
      <c r="U10" s="226">
        <f>L10+O10+Q10+T10</f>
        <v>150</v>
      </c>
      <c r="V10" s="52">
        <f t="shared" si="2"/>
        <v>0</v>
      </c>
      <c r="W10" s="52">
        <f>W7</f>
        <v>0</v>
      </c>
      <c r="X10" s="48" t="str">
        <f>X7</f>
        <v>PARCELA ÚNICA</v>
      </c>
      <c r="Y10" s="62">
        <f>Y13</f>
        <v>45717</v>
      </c>
      <c r="Z10" s="48"/>
      <c r="AA10" s="46"/>
      <c r="AB10" s="46"/>
      <c r="AC10" s="46"/>
      <c r="AD10" s="46"/>
    </row>
    <row r="11" spans="1:30" x14ac:dyDescent="0.25">
      <c r="A11" s="67">
        <v>45727</v>
      </c>
      <c r="B11" s="48">
        <v>9</v>
      </c>
      <c r="C11" s="70" t="s">
        <v>41</v>
      </c>
      <c r="D11" s="50" t="s">
        <v>133</v>
      </c>
      <c r="E11" s="263" t="s">
        <v>134</v>
      </c>
      <c r="F11" s="48" t="s">
        <v>135</v>
      </c>
      <c r="G11" s="52">
        <v>6000</v>
      </c>
      <c r="H11" s="48" t="s">
        <v>140</v>
      </c>
      <c r="I11" s="69">
        <v>500</v>
      </c>
      <c r="J11" s="70" t="s">
        <v>120</v>
      </c>
      <c r="K11" s="223" t="s">
        <v>23</v>
      </c>
      <c r="L11" s="224">
        <f>I11*L2</f>
        <v>83.333333333333329</v>
      </c>
      <c r="M11" s="225" t="s">
        <v>79</v>
      </c>
      <c r="N11" s="223" t="s">
        <v>23</v>
      </c>
      <c r="O11" s="224">
        <f>I11*O2/2</f>
        <v>83.333333333333329</v>
      </c>
      <c r="P11" s="225" t="s">
        <v>79</v>
      </c>
      <c r="Q11" s="58">
        <f>I11*Q2</f>
        <v>83.333333333333329</v>
      </c>
      <c r="R11" s="59">
        <f>Q2/11</f>
        <v>1.515151515151515E-2</v>
      </c>
      <c r="S11" s="52">
        <f t="shared" si="0"/>
        <v>7.5757575757575752</v>
      </c>
      <c r="T11" s="60">
        <f>I11/3</f>
        <v>166.66666666666666</v>
      </c>
      <c r="U11" s="226">
        <f>L11+O12+Q11+O11+T11</f>
        <v>500</v>
      </c>
      <c r="V11" s="52">
        <f t="shared" si="2"/>
        <v>0</v>
      </c>
      <c r="W11" s="52">
        <f>I11*10</f>
        <v>5000</v>
      </c>
      <c r="X11" s="48" t="s">
        <v>201</v>
      </c>
      <c r="Y11" s="62">
        <f>Y14</f>
        <v>45658</v>
      </c>
      <c r="Z11" s="48"/>
      <c r="AA11" s="64"/>
      <c r="AB11" s="64"/>
      <c r="AC11" s="64"/>
      <c r="AD11" s="46"/>
    </row>
    <row r="12" spans="1:30" x14ac:dyDescent="0.25">
      <c r="A12" s="50"/>
      <c r="B12" s="48"/>
      <c r="C12" s="48"/>
      <c r="D12" s="50"/>
      <c r="E12" s="48"/>
      <c r="F12" s="48"/>
      <c r="G12" s="52"/>
      <c r="H12" s="48"/>
      <c r="I12" s="52"/>
      <c r="J12" s="48"/>
      <c r="K12" s="50"/>
      <c r="L12" s="50"/>
      <c r="M12" s="50"/>
      <c r="N12" s="113" t="s">
        <v>26</v>
      </c>
      <c r="O12" s="113">
        <f>O11</f>
        <v>83.333333333333329</v>
      </c>
      <c r="P12" s="264"/>
      <c r="Q12" s="50"/>
      <c r="R12" s="50"/>
      <c r="S12" s="50"/>
      <c r="T12" s="48"/>
      <c r="U12" s="48"/>
      <c r="V12" s="48"/>
      <c r="W12" s="52"/>
      <c r="X12" s="48"/>
      <c r="Y12" s="48"/>
      <c r="Z12" s="50"/>
      <c r="AA12" s="46"/>
      <c r="AB12" s="46"/>
      <c r="AC12" s="46"/>
      <c r="AD12" s="46"/>
    </row>
    <row r="13" spans="1:30" x14ac:dyDescent="0.25">
      <c r="A13" s="67">
        <v>45727</v>
      </c>
      <c r="B13" s="48">
        <v>10</v>
      </c>
      <c r="C13" s="70" t="s">
        <v>41</v>
      </c>
      <c r="D13" s="46" t="s">
        <v>204</v>
      </c>
      <c r="E13" s="249" t="s">
        <v>172</v>
      </c>
      <c r="F13" s="48" t="s">
        <v>205</v>
      </c>
      <c r="G13" s="52">
        <v>5000</v>
      </c>
      <c r="H13" s="48" t="s">
        <v>206</v>
      </c>
      <c r="I13" s="69">
        <v>1000</v>
      </c>
      <c r="J13" s="70" t="str">
        <f>J11</f>
        <v>PIX  PJ ITAÚ</v>
      </c>
      <c r="K13" s="223" t="s">
        <v>23</v>
      </c>
      <c r="L13" s="224">
        <f>I13*L2</f>
        <v>166.66666666666666</v>
      </c>
      <c r="M13" s="225" t="s">
        <v>79</v>
      </c>
      <c r="N13" s="74" t="s">
        <v>121</v>
      </c>
      <c r="O13" s="75">
        <f>I13*O2</f>
        <v>333.33333333333331</v>
      </c>
      <c r="P13" s="74">
        <v>3</v>
      </c>
      <c r="Q13" s="58">
        <f>I13*Q2</f>
        <v>166.66666666666666</v>
      </c>
      <c r="R13" s="59">
        <f>R11</f>
        <v>1.515151515151515E-2</v>
      </c>
      <c r="S13" s="52">
        <f>Q13/11</f>
        <v>15.15151515151515</v>
      </c>
      <c r="T13" s="60">
        <f>I13/3</f>
        <v>333.33333333333331</v>
      </c>
      <c r="U13" s="226">
        <f>L13+O13+Q13+T13</f>
        <v>1000</v>
      </c>
      <c r="V13" s="52">
        <f>I13-U13</f>
        <v>0</v>
      </c>
      <c r="W13" s="52">
        <f>I13*4</f>
        <v>4000</v>
      </c>
      <c r="X13" s="48" t="s">
        <v>207</v>
      </c>
      <c r="Y13" s="62">
        <v>45717</v>
      </c>
      <c r="Z13" s="48"/>
      <c r="AA13" s="64"/>
      <c r="AB13" s="64"/>
      <c r="AC13" s="64"/>
      <c r="AD13" s="46"/>
    </row>
    <row r="14" spans="1:30" x14ac:dyDescent="0.25">
      <c r="A14" s="67">
        <v>45728</v>
      </c>
      <c r="B14" s="48">
        <v>11</v>
      </c>
      <c r="C14" s="67" t="s">
        <v>41</v>
      </c>
      <c r="D14" s="50" t="s">
        <v>117</v>
      </c>
      <c r="E14" s="248" t="s">
        <v>118</v>
      </c>
      <c r="F14" s="266" t="s">
        <v>119</v>
      </c>
      <c r="G14" s="52">
        <v>4236</v>
      </c>
      <c r="H14" s="48" t="s">
        <v>126</v>
      </c>
      <c r="I14" s="69">
        <v>140</v>
      </c>
      <c r="J14" s="70" t="s">
        <v>120</v>
      </c>
      <c r="K14" s="74" t="s">
        <v>121</v>
      </c>
      <c r="L14" s="75">
        <f>I14*L2</f>
        <v>23.333333333333332</v>
      </c>
      <c r="M14" s="74">
        <v>3</v>
      </c>
      <c r="N14" s="74" t="s">
        <v>121</v>
      </c>
      <c r="O14" s="75">
        <f>I14*O2</f>
        <v>46.666666666666664</v>
      </c>
      <c r="P14" s="74">
        <v>3</v>
      </c>
      <c r="Q14" s="58">
        <f>I14*Q2</f>
        <v>23.333333333333332</v>
      </c>
      <c r="R14" s="59">
        <f>Q2/11</f>
        <v>1.515151515151515E-2</v>
      </c>
      <c r="S14" s="52">
        <f>Q14/11</f>
        <v>2.1212121212121211</v>
      </c>
      <c r="T14" s="60">
        <f>I14*O2</f>
        <v>46.666666666666664</v>
      </c>
      <c r="U14" s="226">
        <f>L14+O14+Q14+T14</f>
        <v>140</v>
      </c>
      <c r="V14" s="52">
        <f>I14-U14</f>
        <v>0</v>
      </c>
      <c r="W14" s="52">
        <f>G14-I14</f>
        <v>4096</v>
      </c>
      <c r="X14" s="48" t="s">
        <v>203</v>
      </c>
      <c r="Y14" s="62">
        <v>45658</v>
      </c>
      <c r="Z14" s="50"/>
      <c r="AA14" s="46"/>
      <c r="AB14" s="46"/>
      <c r="AC14" s="46"/>
      <c r="AD14" s="46"/>
    </row>
    <row r="15" spans="1:30" x14ac:dyDescent="0.25">
      <c r="A15" s="67">
        <v>45728</v>
      </c>
      <c r="B15" s="48">
        <v>12</v>
      </c>
      <c r="C15" s="67" t="s">
        <v>41</v>
      </c>
      <c r="D15" s="46" t="s">
        <v>209</v>
      </c>
      <c r="E15" s="248" t="s">
        <v>118</v>
      </c>
      <c r="F15" s="266" t="s">
        <v>210</v>
      </c>
      <c r="G15" s="52">
        <v>2000</v>
      </c>
      <c r="H15" s="48" t="s">
        <v>211</v>
      </c>
      <c r="I15" s="69">
        <v>1000</v>
      </c>
      <c r="J15" s="70" t="s">
        <v>120</v>
      </c>
      <c r="K15" s="74" t="s">
        <v>121</v>
      </c>
      <c r="L15" s="75">
        <f>I15*L2</f>
        <v>166.66666666666666</v>
      </c>
      <c r="M15" s="74">
        <v>3</v>
      </c>
      <c r="N15" s="74" t="s">
        <v>121</v>
      </c>
      <c r="O15" s="75">
        <f>I15*O2</f>
        <v>333.33333333333331</v>
      </c>
      <c r="P15" s="74">
        <v>3</v>
      </c>
      <c r="Q15" s="58">
        <f>I15*Q2</f>
        <v>166.66666666666666</v>
      </c>
      <c r="R15" s="59">
        <f>R3</f>
        <v>1.515151515151515E-2</v>
      </c>
      <c r="S15" s="52">
        <f>Q15/11</f>
        <v>15.15151515151515</v>
      </c>
      <c r="T15" s="60">
        <f>I15*T2</f>
        <v>333.33333333333331</v>
      </c>
      <c r="U15" s="226">
        <f>L15+O15+Q15+T15</f>
        <v>1000</v>
      </c>
      <c r="V15" s="52">
        <f>I15-U15</f>
        <v>0</v>
      </c>
      <c r="W15" s="52">
        <f>G15-I15</f>
        <v>1000</v>
      </c>
      <c r="X15" s="48" t="s">
        <v>212</v>
      </c>
      <c r="Y15" s="62">
        <f>Y8</f>
        <v>45717</v>
      </c>
      <c r="Z15" s="50" t="s">
        <v>213</v>
      </c>
      <c r="AA15" s="46"/>
      <c r="AB15" s="46"/>
      <c r="AC15" s="46"/>
      <c r="AD15" s="46"/>
    </row>
    <row r="16" spans="1:30" x14ac:dyDescent="0.25">
      <c r="A16" s="67">
        <v>45728</v>
      </c>
      <c r="B16" s="48">
        <v>13</v>
      </c>
      <c r="C16" s="67" t="s">
        <v>41</v>
      </c>
      <c r="D16" s="46" t="s">
        <v>214</v>
      </c>
      <c r="E16" s="250" t="s">
        <v>153</v>
      </c>
      <c r="F16" s="48" t="s">
        <v>154</v>
      </c>
      <c r="G16" s="52">
        <f>G4</f>
        <v>250</v>
      </c>
      <c r="H16" s="48" t="str">
        <f>H4</f>
        <v>PARCELA ÚNICA</v>
      </c>
      <c r="I16" s="69">
        <v>250</v>
      </c>
      <c r="J16" s="70" t="str">
        <f>J8</f>
        <v>PIX  PJ BB</v>
      </c>
      <c r="K16" s="124" t="s">
        <v>25</v>
      </c>
      <c r="L16" s="124">
        <f>I16*L2/2</f>
        <v>20.833333333333332</v>
      </c>
      <c r="M16" s="116">
        <v>2</v>
      </c>
      <c r="N16" s="124" t="s">
        <v>25</v>
      </c>
      <c r="O16" s="124">
        <f>I16*O2/2</f>
        <v>41.666666666666664</v>
      </c>
      <c r="P16" s="116">
        <v>2</v>
      </c>
      <c r="Q16" s="58">
        <f>I16*Q2</f>
        <v>41.666666666666664</v>
      </c>
      <c r="R16" s="59">
        <f>R3</f>
        <v>1.515151515151515E-2</v>
      </c>
      <c r="S16" s="52">
        <f>Q16/11</f>
        <v>3.7878787878787876</v>
      </c>
      <c r="T16" s="60">
        <f>I16/3</f>
        <v>83.333333333333329</v>
      </c>
      <c r="U16" s="69">
        <f>L16+L17+O16+O17+Q16+T16</f>
        <v>250</v>
      </c>
      <c r="V16" s="52">
        <f>I16-U16</f>
        <v>0</v>
      </c>
      <c r="W16" s="52">
        <f>W5</f>
        <v>0</v>
      </c>
      <c r="X16" s="48" t="str">
        <f>X6</f>
        <v>PARCELA ÚNICA</v>
      </c>
      <c r="Y16" s="62">
        <f>Y15</f>
        <v>45717</v>
      </c>
      <c r="Z16" s="48"/>
      <c r="AA16" s="64"/>
      <c r="AB16" s="46"/>
      <c r="AC16" s="46"/>
      <c r="AD16" s="46"/>
    </row>
    <row r="17" spans="1:30" x14ac:dyDescent="0.25">
      <c r="A17" s="50"/>
      <c r="B17" s="48"/>
      <c r="C17" s="48"/>
      <c r="D17" s="50"/>
      <c r="E17" s="48"/>
      <c r="F17" s="48"/>
      <c r="G17" s="52"/>
      <c r="H17" s="48"/>
      <c r="I17" s="52"/>
      <c r="J17" s="48"/>
      <c r="K17" s="243" t="s">
        <v>22</v>
      </c>
      <c r="L17" s="243">
        <f>L16</f>
        <v>20.833333333333332</v>
      </c>
      <c r="M17" s="50"/>
      <c r="N17" s="243" t="s">
        <v>22</v>
      </c>
      <c r="O17" s="243">
        <f>O16</f>
        <v>41.666666666666664</v>
      </c>
      <c r="P17" s="50"/>
      <c r="Q17" s="50"/>
      <c r="R17" s="50"/>
      <c r="S17" s="50"/>
      <c r="T17" s="50"/>
      <c r="U17" s="48"/>
      <c r="V17" s="48"/>
      <c r="W17" s="52"/>
      <c r="X17" s="48"/>
      <c r="Y17" s="48"/>
      <c r="Z17" s="50"/>
      <c r="AA17" s="46"/>
      <c r="AB17" s="46"/>
      <c r="AC17" s="46"/>
      <c r="AD17" s="46"/>
    </row>
    <row r="18" spans="1:30" x14ac:dyDescent="0.25">
      <c r="A18" s="67">
        <v>45728</v>
      </c>
      <c r="B18" s="48">
        <v>14</v>
      </c>
      <c r="C18" s="67" t="s">
        <v>41</v>
      </c>
      <c r="D18" s="46" t="s">
        <v>215</v>
      </c>
      <c r="E18" s="250" t="s">
        <v>153</v>
      </c>
      <c r="F18" s="48" t="s">
        <v>154</v>
      </c>
      <c r="G18" s="52">
        <f>G16</f>
        <v>250</v>
      </c>
      <c r="H18" s="48" t="str">
        <f>H6</f>
        <v>PARCELA ÚNICA</v>
      </c>
      <c r="I18" s="69">
        <v>250</v>
      </c>
      <c r="J18" s="70" t="str">
        <f>J8</f>
        <v>PIX  PJ BB</v>
      </c>
      <c r="K18" s="124" t="s">
        <v>25</v>
      </c>
      <c r="L18" s="124">
        <f>L16</f>
        <v>20.833333333333332</v>
      </c>
      <c r="M18" s="116">
        <v>2</v>
      </c>
      <c r="N18" s="124" t="s">
        <v>25</v>
      </c>
      <c r="O18" s="124">
        <f>O16</f>
        <v>41.666666666666664</v>
      </c>
      <c r="P18" s="116">
        <v>2</v>
      </c>
      <c r="Q18" s="58">
        <f>Q16</f>
        <v>41.666666666666664</v>
      </c>
      <c r="R18" s="59">
        <f>R5</f>
        <v>1.515151515151515E-2</v>
      </c>
      <c r="S18" s="52">
        <f>Q16/11</f>
        <v>3.7878787878787876</v>
      </c>
      <c r="T18" s="60">
        <f>I18/3</f>
        <v>83.333333333333329</v>
      </c>
      <c r="U18" s="69">
        <f>U16</f>
        <v>250</v>
      </c>
      <c r="V18" s="52">
        <f>I18-U18</f>
        <v>0</v>
      </c>
      <c r="W18" s="52">
        <f>W7</f>
        <v>0</v>
      </c>
      <c r="X18" s="48" t="str">
        <f>X16</f>
        <v>PARCELA ÚNICA</v>
      </c>
      <c r="Y18" s="62">
        <f>Y16</f>
        <v>45717</v>
      </c>
      <c r="Z18" s="48"/>
      <c r="AA18" s="64"/>
      <c r="AB18" s="46"/>
      <c r="AC18" s="46"/>
      <c r="AD18" s="46"/>
    </row>
    <row r="19" spans="1:30" x14ac:dyDescent="0.25">
      <c r="A19" s="50"/>
      <c r="B19" s="48"/>
      <c r="C19" s="48"/>
      <c r="D19" s="50"/>
      <c r="E19" s="48"/>
      <c r="F19" s="48"/>
      <c r="G19" s="52"/>
      <c r="H19" s="48"/>
      <c r="I19" s="52"/>
      <c r="J19" s="48"/>
      <c r="K19" s="243" t="s">
        <v>22</v>
      </c>
      <c r="L19" s="243">
        <f>L18</f>
        <v>20.833333333333332</v>
      </c>
      <c r="M19" s="50"/>
      <c r="N19" s="243" t="s">
        <v>22</v>
      </c>
      <c r="O19" s="243">
        <f>O18</f>
        <v>41.666666666666664</v>
      </c>
      <c r="P19" s="50"/>
      <c r="Q19" s="50"/>
      <c r="R19" s="50"/>
      <c r="S19" s="50"/>
      <c r="T19" s="50"/>
      <c r="U19" s="48"/>
      <c r="V19" s="48"/>
      <c r="W19" s="52"/>
      <c r="X19" s="48"/>
      <c r="Y19" s="48"/>
      <c r="Z19" s="50"/>
      <c r="AA19" s="46"/>
      <c r="AB19" s="46"/>
      <c r="AC19" s="46"/>
      <c r="AD19" s="46"/>
    </row>
    <row r="20" spans="1:30" x14ac:dyDescent="0.25">
      <c r="A20" s="67">
        <v>45729</v>
      </c>
      <c r="B20" s="48">
        <v>15</v>
      </c>
      <c r="C20" s="70" t="s">
        <v>41</v>
      </c>
      <c r="D20" s="50" t="s">
        <v>193</v>
      </c>
      <c r="E20" s="251" t="s">
        <v>43</v>
      </c>
      <c r="F20" s="48" t="s">
        <v>194</v>
      </c>
      <c r="G20" s="245">
        <v>2268</v>
      </c>
      <c r="H20" s="244" t="s">
        <v>195</v>
      </c>
      <c r="I20" s="69">
        <v>756</v>
      </c>
      <c r="J20" s="70" t="s">
        <v>101</v>
      </c>
      <c r="K20" s="223" t="s">
        <v>23</v>
      </c>
      <c r="L20" s="224">
        <f>I20*L2</f>
        <v>126</v>
      </c>
      <c r="M20" s="225" t="s">
        <v>79</v>
      </c>
      <c r="N20" s="234" t="s">
        <v>27</v>
      </c>
      <c r="O20" s="57">
        <f>I20*O2</f>
        <v>252</v>
      </c>
      <c r="P20" s="72">
        <v>1</v>
      </c>
      <c r="Q20" s="58">
        <f>I20*Q2</f>
        <v>126</v>
      </c>
      <c r="R20" s="59">
        <f>R3</f>
        <v>1.515151515151515E-2</v>
      </c>
      <c r="S20" s="52">
        <f t="shared" ref="S20:S31" si="3">Q20/11</f>
        <v>11.454545454545455</v>
      </c>
      <c r="T20" s="60">
        <f>I20/3</f>
        <v>252</v>
      </c>
      <c r="U20" s="226">
        <f t="shared" ref="U20:U31" si="4">L20+O20+Q20+T20</f>
        <v>756</v>
      </c>
      <c r="V20" s="52">
        <f t="shared" ref="V20:V31" si="5">I20-U20</f>
        <v>0</v>
      </c>
      <c r="W20" s="52">
        <f>I20*2</f>
        <v>1512</v>
      </c>
      <c r="X20" s="48" t="s">
        <v>196</v>
      </c>
      <c r="Y20" s="62">
        <f>Y6</f>
        <v>45717</v>
      </c>
      <c r="Z20" s="48"/>
      <c r="AA20" s="46"/>
      <c r="AB20" s="46"/>
      <c r="AC20" s="46"/>
      <c r="AD20" s="46"/>
    </row>
    <row r="21" spans="1:30" x14ac:dyDescent="0.25">
      <c r="A21" s="67">
        <v>45729</v>
      </c>
      <c r="B21" s="48">
        <v>16</v>
      </c>
      <c r="C21" s="70" t="s">
        <v>41</v>
      </c>
      <c r="D21" s="50" t="s">
        <v>208</v>
      </c>
      <c r="E21" s="251" t="s">
        <v>43</v>
      </c>
      <c r="F21" s="48" t="s">
        <v>132</v>
      </c>
      <c r="G21" s="52">
        <v>150</v>
      </c>
      <c r="H21" s="48" t="s">
        <v>55</v>
      </c>
      <c r="I21" s="69">
        <v>150</v>
      </c>
      <c r="J21" s="70" t="s">
        <v>130</v>
      </c>
      <c r="K21" s="74" t="s">
        <v>121</v>
      </c>
      <c r="L21" s="75">
        <f>I21*L2</f>
        <v>25</v>
      </c>
      <c r="M21" s="74">
        <v>3</v>
      </c>
      <c r="N21" s="74" t="s">
        <v>121</v>
      </c>
      <c r="O21" s="75">
        <f>I21*O2</f>
        <v>50</v>
      </c>
      <c r="P21" s="74">
        <v>3</v>
      </c>
      <c r="Q21" s="58">
        <f>I21*Q2</f>
        <v>25</v>
      </c>
      <c r="R21" s="59">
        <f>R3</f>
        <v>1.515151515151515E-2</v>
      </c>
      <c r="S21" s="52">
        <f t="shared" si="3"/>
        <v>2.2727272727272729</v>
      </c>
      <c r="T21" s="60">
        <f>I21*T2</f>
        <v>50</v>
      </c>
      <c r="U21" s="226">
        <f t="shared" si="4"/>
        <v>150</v>
      </c>
      <c r="V21" s="52">
        <f t="shared" si="5"/>
        <v>0</v>
      </c>
      <c r="W21" s="52">
        <f>G21-I21</f>
        <v>0</v>
      </c>
      <c r="X21" s="48" t="str">
        <f>X7</f>
        <v>PARCELA ÚNICA</v>
      </c>
      <c r="Y21" s="62">
        <v>45658</v>
      </c>
      <c r="Z21" s="50"/>
      <c r="AA21" s="46"/>
      <c r="AB21" s="46"/>
      <c r="AC21" s="46"/>
      <c r="AD21" s="46"/>
    </row>
    <row r="22" spans="1:30" x14ac:dyDescent="0.25">
      <c r="A22" s="67">
        <v>45735</v>
      </c>
      <c r="B22" s="48">
        <v>17</v>
      </c>
      <c r="C22" s="70" t="s">
        <v>41</v>
      </c>
      <c r="D22" s="50" t="s">
        <v>218</v>
      </c>
      <c r="E22" s="262" t="s">
        <v>150</v>
      </c>
      <c r="F22" s="48" t="s">
        <v>219</v>
      </c>
      <c r="G22" s="52">
        <v>1000</v>
      </c>
      <c r="H22" s="48" t="s">
        <v>55</v>
      </c>
      <c r="I22" s="69">
        <v>1000</v>
      </c>
      <c r="J22" s="70" t="str">
        <f>J15</f>
        <v>PIX  PJ ITAÚ</v>
      </c>
      <c r="K22" s="223" t="s">
        <v>23</v>
      </c>
      <c r="L22" s="224">
        <f>I22*L2</f>
        <v>166.66666666666666</v>
      </c>
      <c r="M22" s="225" t="s">
        <v>79</v>
      </c>
      <c r="N22" s="234" t="s">
        <v>27</v>
      </c>
      <c r="O22" s="57">
        <f>I22*O2</f>
        <v>333.33333333333331</v>
      </c>
      <c r="P22" s="72">
        <v>1</v>
      </c>
      <c r="Q22" s="58">
        <f>I22*Q2</f>
        <v>166.66666666666666</v>
      </c>
      <c r="R22" s="59">
        <f>R4</f>
        <v>1.515151515151515E-2</v>
      </c>
      <c r="S22" s="52">
        <f t="shared" si="3"/>
        <v>15.15151515151515</v>
      </c>
      <c r="T22" s="60">
        <f>O22</f>
        <v>333.33333333333331</v>
      </c>
      <c r="U22" s="226">
        <f t="shared" si="4"/>
        <v>1000</v>
      </c>
      <c r="V22" s="52">
        <f t="shared" si="5"/>
        <v>0</v>
      </c>
      <c r="W22" s="52">
        <f>G22-I22</f>
        <v>0</v>
      </c>
      <c r="X22" s="48" t="str">
        <f>X21</f>
        <v>PARCELA ÚNICA</v>
      </c>
      <c r="Y22" s="62">
        <f>Y20</f>
        <v>45717</v>
      </c>
      <c r="Z22" s="50"/>
      <c r="AA22" s="46"/>
      <c r="AB22" s="46"/>
      <c r="AC22" s="46"/>
      <c r="AD22" s="46"/>
    </row>
    <row r="23" spans="1:30" x14ac:dyDescent="0.25">
      <c r="A23" s="67">
        <v>45736</v>
      </c>
      <c r="B23" s="48">
        <v>18</v>
      </c>
      <c r="C23" s="70" t="s">
        <v>41</v>
      </c>
      <c r="D23" s="50" t="s">
        <v>220</v>
      </c>
      <c r="E23" s="251" t="s">
        <v>43</v>
      </c>
      <c r="F23" s="48" t="s">
        <v>132</v>
      </c>
      <c r="G23" s="52">
        <v>150</v>
      </c>
      <c r="H23" s="48" t="s">
        <v>55</v>
      </c>
      <c r="I23" s="69">
        <v>150</v>
      </c>
      <c r="J23" s="70" t="s">
        <v>130</v>
      </c>
      <c r="K23" s="74" t="s">
        <v>121</v>
      </c>
      <c r="L23" s="75">
        <f>L21</f>
        <v>25</v>
      </c>
      <c r="M23" s="74">
        <v>3</v>
      </c>
      <c r="N23" s="74" t="s">
        <v>121</v>
      </c>
      <c r="O23" s="75">
        <f>O21</f>
        <v>50</v>
      </c>
      <c r="P23" s="74">
        <v>3</v>
      </c>
      <c r="Q23" s="58">
        <f>Q21</f>
        <v>25</v>
      </c>
      <c r="R23" s="59">
        <f>R5</f>
        <v>1.515151515151515E-2</v>
      </c>
      <c r="S23" s="52">
        <f t="shared" si="3"/>
        <v>2.2727272727272729</v>
      </c>
      <c r="T23" s="60">
        <f>T21</f>
        <v>50</v>
      </c>
      <c r="U23" s="226">
        <f t="shared" si="4"/>
        <v>150</v>
      </c>
      <c r="V23" s="52">
        <f t="shared" si="5"/>
        <v>0</v>
      </c>
      <c r="W23" s="52">
        <f>G23-I23</f>
        <v>0</v>
      </c>
      <c r="X23" s="48" t="str">
        <f>X21</f>
        <v>PARCELA ÚNICA</v>
      </c>
      <c r="Y23" s="62">
        <f>Y22</f>
        <v>45717</v>
      </c>
      <c r="Z23" s="50"/>
      <c r="AA23" s="46"/>
      <c r="AB23" s="46"/>
      <c r="AC23" s="46"/>
      <c r="AD23" s="46"/>
    </row>
    <row r="24" spans="1:30" x14ac:dyDescent="0.25">
      <c r="A24" s="67">
        <v>45737</v>
      </c>
      <c r="B24" s="48">
        <v>19</v>
      </c>
      <c r="C24" s="70" t="s">
        <v>41</v>
      </c>
      <c r="D24" s="50" t="s">
        <v>48</v>
      </c>
      <c r="E24" s="251" t="s">
        <v>43</v>
      </c>
      <c r="F24" s="48" t="s">
        <v>50</v>
      </c>
      <c r="G24" s="52">
        <v>2750</v>
      </c>
      <c r="H24" s="48" t="s">
        <v>51</v>
      </c>
      <c r="I24" s="69">
        <v>250</v>
      </c>
      <c r="J24" s="70" t="s">
        <v>120</v>
      </c>
      <c r="K24" s="223" t="s">
        <v>23</v>
      </c>
      <c r="L24" s="224">
        <f>I24/3/2</f>
        <v>41.666666666666664</v>
      </c>
      <c r="M24" s="224" t="str">
        <f>M25</f>
        <v>GESTÃO</v>
      </c>
      <c r="N24" s="269" t="s">
        <v>27</v>
      </c>
      <c r="O24" s="57">
        <f>I24/3</f>
        <v>83.333333333333329</v>
      </c>
      <c r="P24" s="72">
        <v>1</v>
      </c>
      <c r="Q24" s="58">
        <f>L24</f>
        <v>41.666666666666664</v>
      </c>
      <c r="R24" s="59">
        <f>R25</f>
        <v>1.515151515151515E-2</v>
      </c>
      <c r="S24" s="52">
        <f t="shared" si="3"/>
        <v>3.7878787878787876</v>
      </c>
      <c r="T24" s="60">
        <f>O24</f>
        <v>83.333333333333329</v>
      </c>
      <c r="U24" s="226">
        <f t="shared" si="4"/>
        <v>250</v>
      </c>
      <c r="V24" s="52">
        <f t="shared" si="5"/>
        <v>0</v>
      </c>
      <c r="W24" s="52">
        <f>I24*4</f>
        <v>1000</v>
      </c>
      <c r="X24" s="48" t="s">
        <v>161</v>
      </c>
      <c r="Y24" s="62">
        <v>45627</v>
      </c>
      <c r="Z24" s="48"/>
      <c r="AA24" s="64"/>
      <c r="AB24" s="46"/>
      <c r="AC24" s="46"/>
      <c r="AD24" s="46"/>
    </row>
    <row r="25" spans="1:30" x14ac:dyDescent="0.25">
      <c r="A25" s="67">
        <v>45741</v>
      </c>
      <c r="B25" s="48">
        <v>20</v>
      </c>
      <c r="C25" s="70" t="s">
        <v>41</v>
      </c>
      <c r="D25" s="50" t="s">
        <v>31</v>
      </c>
      <c r="E25" s="248" t="s">
        <v>118</v>
      </c>
      <c r="F25" s="48" t="s">
        <v>34</v>
      </c>
      <c r="G25" s="52">
        <v>3500</v>
      </c>
      <c r="H25" s="48" t="s">
        <v>36</v>
      </c>
      <c r="I25" s="69">
        <v>250</v>
      </c>
      <c r="J25" s="70" t="str">
        <f>J28</f>
        <v>BOLETO PJ ITAÚ</v>
      </c>
      <c r="K25" s="223" t="s">
        <v>23</v>
      </c>
      <c r="L25" s="224">
        <f>I25/3/2</f>
        <v>41.666666666666664</v>
      </c>
      <c r="M25" s="225" t="s">
        <v>79</v>
      </c>
      <c r="N25" s="269" t="s">
        <v>27</v>
      </c>
      <c r="O25" s="57">
        <f>I25/3</f>
        <v>83.333333333333329</v>
      </c>
      <c r="P25" s="72">
        <v>1</v>
      </c>
      <c r="Q25" s="58">
        <f>L25</f>
        <v>41.666666666666664</v>
      </c>
      <c r="R25" s="59">
        <f>Q2/11</f>
        <v>1.515151515151515E-2</v>
      </c>
      <c r="S25" s="52">
        <f t="shared" si="3"/>
        <v>3.7878787878787876</v>
      </c>
      <c r="T25" s="60">
        <f>O25</f>
        <v>83.333333333333329</v>
      </c>
      <c r="U25" s="226">
        <f t="shared" si="4"/>
        <v>250</v>
      </c>
      <c r="V25" s="52">
        <f t="shared" si="5"/>
        <v>0</v>
      </c>
      <c r="W25" s="52">
        <f>I25*3</f>
        <v>750</v>
      </c>
      <c r="X25" s="48" t="s">
        <v>223</v>
      </c>
      <c r="Y25" s="62">
        <v>45627</v>
      </c>
      <c r="Z25" s="48"/>
      <c r="AA25" s="64"/>
      <c r="AB25" s="46"/>
      <c r="AC25" s="46"/>
      <c r="AD25" s="46"/>
    </row>
    <row r="26" spans="1:30" x14ac:dyDescent="0.25">
      <c r="A26" s="67">
        <v>45741</v>
      </c>
      <c r="B26" s="48">
        <v>21</v>
      </c>
      <c r="C26" s="70" t="s">
        <v>41</v>
      </c>
      <c r="D26" s="50" t="s">
        <v>183</v>
      </c>
      <c r="E26" s="248" t="s">
        <v>118</v>
      </c>
      <c r="F26" s="48" t="s">
        <v>224</v>
      </c>
      <c r="G26" s="52">
        <v>759</v>
      </c>
      <c r="H26" s="48" t="s">
        <v>126</v>
      </c>
      <c r="I26" s="69">
        <v>227.07</v>
      </c>
      <c r="J26" s="70" t="str">
        <f>J24</f>
        <v>PIX  PJ ITAÚ</v>
      </c>
      <c r="K26" s="74" t="s">
        <v>121</v>
      </c>
      <c r="L26" s="75">
        <f>I26*L2</f>
        <v>37.844999999999999</v>
      </c>
      <c r="M26" s="74">
        <v>3</v>
      </c>
      <c r="N26" s="74" t="s">
        <v>121</v>
      </c>
      <c r="O26" s="75">
        <f>I26*O2</f>
        <v>75.69</v>
      </c>
      <c r="P26" s="74">
        <v>3</v>
      </c>
      <c r="Q26" s="58">
        <f>L26</f>
        <v>37.844999999999999</v>
      </c>
      <c r="R26" s="59">
        <f>R8</f>
        <v>1.515151515151515E-2</v>
      </c>
      <c r="S26" s="52">
        <f t="shared" si="3"/>
        <v>3.4404545454545454</v>
      </c>
      <c r="T26" s="60">
        <f>O26</f>
        <v>75.69</v>
      </c>
      <c r="U26" s="226">
        <f t="shared" si="4"/>
        <v>227.07</v>
      </c>
      <c r="V26" s="52">
        <f t="shared" si="5"/>
        <v>0</v>
      </c>
      <c r="W26" s="52">
        <f>G26-I26</f>
        <v>531.93000000000006</v>
      </c>
      <c r="X26" s="48" t="str">
        <f>X24</f>
        <v>PARC. 01 DE 05</v>
      </c>
      <c r="Y26" s="62">
        <f>Y25</f>
        <v>45627</v>
      </c>
      <c r="Z26" s="50"/>
      <c r="AA26" s="64"/>
      <c r="AB26" s="46"/>
      <c r="AC26" s="46"/>
      <c r="AD26" s="46"/>
    </row>
    <row r="27" spans="1:30" x14ac:dyDescent="0.25">
      <c r="A27" s="67">
        <v>45742</v>
      </c>
      <c r="B27" s="48">
        <v>22</v>
      </c>
      <c r="C27" s="70" t="s">
        <v>41</v>
      </c>
      <c r="D27" s="50" t="s">
        <v>225</v>
      </c>
      <c r="E27" s="270" t="s">
        <v>73</v>
      </c>
      <c r="F27" s="51" t="s">
        <v>163</v>
      </c>
      <c r="G27" s="52">
        <v>750</v>
      </c>
      <c r="H27" s="48" t="s">
        <v>55</v>
      </c>
      <c r="I27" s="69">
        <v>750</v>
      </c>
      <c r="J27" s="70" t="str">
        <f>J25</f>
        <v>BOLETO PJ ITAÚ</v>
      </c>
      <c r="K27" s="74" t="s">
        <v>121</v>
      </c>
      <c r="L27" s="75">
        <f>I27*L2</f>
        <v>125</v>
      </c>
      <c r="M27" s="74">
        <v>3</v>
      </c>
      <c r="N27" s="76" t="s">
        <v>24</v>
      </c>
      <c r="O27" s="77">
        <f>I27*O2</f>
        <v>250</v>
      </c>
      <c r="P27" s="74">
        <v>3</v>
      </c>
      <c r="Q27" s="58">
        <f>I27/3/2</f>
        <v>125</v>
      </c>
      <c r="R27" s="59">
        <f>R3</f>
        <v>1.515151515151515E-2</v>
      </c>
      <c r="S27" s="52">
        <f t="shared" si="3"/>
        <v>11.363636363636363</v>
      </c>
      <c r="T27" s="60">
        <f>I27/3</f>
        <v>250</v>
      </c>
      <c r="U27" s="226">
        <f t="shared" si="4"/>
        <v>750</v>
      </c>
      <c r="V27" s="52">
        <f t="shared" si="5"/>
        <v>0</v>
      </c>
      <c r="W27" s="52">
        <v>0</v>
      </c>
      <c r="X27" s="48" t="s">
        <v>67</v>
      </c>
      <c r="Y27" s="62">
        <f>Y22</f>
        <v>45717</v>
      </c>
      <c r="Z27" s="48"/>
      <c r="AA27" s="64"/>
      <c r="AB27" s="64"/>
      <c r="AC27" s="64"/>
      <c r="AD27" s="46"/>
    </row>
    <row r="28" spans="1:30" x14ac:dyDescent="0.25">
      <c r="A28" s="67">
        <v>45742</v>
      </c>
      <c r="B28" s="48">
        <v>23</v>
      </c>
      <c r="C28" s="70" t="s">
        <v>41</v>
      </c>
      <c r="D28" s="50" t="s">
        <v>158</v>
      </c>
      <c r="E28" s="270" t="s">
        <v>150</v>
      </c>
      <c r="F28" s="48" t="s">
        <v>159</v>
      </c>
      <c r="G28" s="52">
        <v>14400</v>
      </c>
      <c r="H28" s="48" t="s">
        <v>160</v>
      </c>
      <c r="I28" s="69">
        <v>1200</v>
      </c>
      <c r="J28" s="70" t="s">
        <v>101</v>
      </c>
      <c r="K28" s="223" t="s">
        <v>23</v>
      </c>
      <c r="L28" s="224">
        <f>I28*L2</f>
        <v>200</v>
      </c>
      <c r="M28" s="225" t="s">
        <v>79</v>
      </c>
      <c r="N28" s="223" t="s">
        <v>23</v>
      </c>
      <c r="O28" s="224">
        <f>I28*O2</f>
        <v>400</v>
      </c>
      <c r="P28" s="225" t="s">
        <v>79</v>
      </c>
      <c r="Q28" s="58">
        <f>I28*Q2</f>
        <v>200</v>
      </c>
      <c r="R28" s="59">
        <f>R3</f>
        <v>1.515151515151515E-2</v>
      </c>
      <c r="S28" s="52">
        <f t="shared" si="3"/>
        <v>18.181818181818183</v>
      </c>
      <c r="T28" s="60">
        <f>O28</f>
        <v>400</v>
      </c>
      <c r="U28" s="242">
        <f t="shared" si="4"/>
        <v>1200</v>
      </c>
      <c r="V28" s="52">
        <f t="shared" si="5"/>
        <v>0</v>
      </c>
      <c r="W28" s="52">
        <f>I28*9</f>
        <v>10800</v>
      </c>
      <c r="X28" s="48" t="s">
        <v>226</v>
      </c>
      <c r="Y28" s="62">
        <f>Y14</f>
        <v>45658</v>
      </c>
      <c r="Z28" s="48" t="s">
        <v>174</v>
      </c>
      <c r="AA28" s="46"/>
      <c r="AB28" s="46"/>
      <c r="AC28" s="46"/>
      <c r="AD28" s="46"/>
    </row>
    <row r="29" spans="1:30" x14ac:dyDescent="0.25">
      <c r="A29" s="67">
        <v>45744</v>
      </c>
      <c r="B29" s="48">
        <v>24</v>
      </c>
      <c r="C29" s="67" t="s">
        <v>41</v>
      </c>
      <c r="D29" s="46" t="s">
        <v>227</v>
      </c>
      <c r="E29" s="248" t="s">
        <v>118</v>
      </c>
      <c r="F29" s="266" t="s">
        <v>119</v>
      </c>
      <c r="G29" s="52">
        <v>5000</v>
      </c>
      <c r="H29" s="48" t="s">
        <v>228</v>
      </c>
      <c r="I29" s="69">
        <v>200</v>
      </c>
      <c r="J29" s="70" t="s">
        <v>120</v>
      </c>
      <c r="K29" s="74" t="s">
        <v>121</v>
      </c>
      <c r="L29" s="75">
        <f>I29*L2</f>
        <v>33.333333333333329</v>
      </c>
      <c r="M29" s="74">
        <v>3</v>
      </c>
      <c r="N29" s="74" t="s">
        <v>121</v>
      </c>
      <c r="O29" s="75">
        <f>I29*O2</f>
        <v>66.666666666666657</v>
      </c>
      <c r="P29" s="74">
        <v>3</v>
      </c>
      <c r="Q29" s="58">
        <f>I29*Q2</f>
        <v>33.333333333333329</v>
      </c>
      <c r="R29" s="59">
        <f>R3</f>
        <v>1.515151515151515E-2</v>
      </c>
      <c r="S29" s="52">
        <f t="shared" si="3"/>
        <v>3.0303030303030298</v>
      </c>
      <c r="T29" s="60">
        <f>O29</f>
        <v>66.666666666666657</v>
      </c>
      <c r="U29" s="226">
        <f t="shared" si="4"/>
        <v>199.99999999999997</v>
      </c>
      <c r="V29" s="52">
        <f t="shared" si="5"/>
        <v>0</v>
      </c>
      <c r="W29" s="52">
        <f>I29*24</f>
        <v>4800</v>
      </c>
      <c r="X29" s="48" t="s">
        <v>229</v>
      </c>
      <c r="Y29" s="62">
        <f>Y22</f>
        <v>45717</v>
      </c>
      <c r="Z29" s="50"/>
      <c r="AA29" s="46"/>
      <c r="AB29" s="46"/>
      <c r="AC29" s="46"/>
      <c r="AD29" s="46"/>
    </row>
    <row r="30" spans="1:30" x14ac:dyDescent="0.25">
      <c r="A30" s="67">
        <v>45747</v>
      </c>
      <c r="B30" s="48">
        <v>25</v>
      </c>
      <c r="C30" s="67" t="s">
        <v>41</v>
      </c>
      <c r="D30" s="50" t="s">
        <v>165</v>
      </c>
      <c r="E30" s="263" t="s">
        <v>142</v>
      </c>
      <c r="F30" s="48" t="s">
        <v>166</v>
      </c>
      <c r="G30" s="52">
        <v>2500</v>
      </c>
      <c r="H30" s="48" t="s">
        <v>231</v>
      </c>
      <c r="I30" s="69">
        <v>250</v>
      </c>
      <c r="J30" s="70" t="s">
        <v>120</v>
      </c>
      <c r="K30" s="223" t="s">
        <v>23</v>
      </c>
      <c r="L30" s="224">
        <f>I30*L2</f>
        <v>41.666666666666664</v>
      </c>
      <c r="M30" s="225" t="s">
        <v>79</v>
      </c>
      <c r="N30" s="145" t="s">
        <v>30</v>
      </c>
      <c r="O30" s="145">
        <f>I30/3</f>
        <v>83.333333333333329</v>
      </c>
      <c r="P30" s="72">
        <v>1</v>
      </c>
      <c r="Q30" s="58">
        <f>L30</f>
        <v>41.666666666666664</v>
      </c>
      <c r="R30" s="59">
        <f>R24</f>
        <v>1.515151515151515E-2</v>
      </c>
      <c r="S30" s="52">
        <f t="shared" si="3"/>
        <v>3.7878787878787876</v>
      </c>
      <c r="T30" s="60">
        <f>I30/3</f>
        <v>83.333333333333329</v>
      </c>
      <c r="U30" s="226">
        <f t="shared" si="4"/>
        <v>250</v>
      </c>
      <c r="V30" s="52">
        <f t="shared" si="5"/>
        <v>0</v>
      </c>
      <c r="W30" s="52">
        <f>I30*5</f>
        <v>1250</v>
      </c>
      <c r="X30" s="48" t="s">
        <v>203</v>
      </c>
      <c r="Y30" s="62">
        <v>45689</v>
      </c>
      <c r="Z30" s="48" t="s">
        <v>168</v>
      </c>
      <c r="AA30" s="64"/>
      <c r="AB30" s="64"/>
      <c r="AC30" s="64"/>
      <c r="AD30" s="46"/>
    </row>
    <row r="31" spans="1:30" x14ac:dyDescent="0.25">
      <c r="A31" s="67">
        <v>45747</v>
      </c>
      <c r="B31" s="48">
        <v>26</v>
      </c>
      <c r="C31" s="67" t="s">
        <v>41</v>
      </c>
      <c r="D31" s="50" t="s">
        <v>232</v>
      </c>
      <c r="E31" s="251" t="s">
        <v>43</v>
      </c>
      <c r="F31" s="48" t="s">
        <v>132</v>
      </c>
      <c r="G31" s="52">
        <v>150</v>
      </c>
      <c r="H31" s="48" t="s">
        <v>55</v>
      </c>
      <c r="I31" s="69">
        <v>150</v>
      </c>
      <c r="J31" s="70" t="s">
        <v>130</v>
      </c>
      <c r="K31" s="74" t="s">
        <v>121</v>
      </c>
      <c r="L31" s="75">
        <f>I31*L2</f>
        <v>25</v>
      </c>
      <c r="M31" s="74">
        <v>3</v>
      </c>
      <c r="N31" s="74" t="s">
        <v>121</v>
      </c>
      <c r="O31" s="75">
        <f>I31*O2</f>
        <v>50</v>
      </c>
      <c r="P31" s="74">
        <v>3</v>
      </c>
      <c r="Q31" s="58">
        <f>I31*Q2</f>
        <v>25</v>
      </c>
      <c r="R31" s="59">
        <f>R13</f>
        <v>1.515151515151515E-2</v>
      </c>
      <c r="S31" s="52">
        <f t="shared" si="3"/>
        <v>2.2727272727272729</v>
      </c>
      <c r="T31" s="60">
        <f>O31</f>
        <v>50</v>
      </c>
      <c r="U31" s="226">
        <f t="shared" si="4"/>
        <v>150</v>
      </c>
      <c r="V31" s="52">
        <f t="shared" si="5"/>
        <v>0</v>
      </c>
      <c r="W31" s="52">
        <f>G31-I31</f>
        <v>0</v>
      </c>
      <c r="X31" s="48" t="str">
        <f>X27</f>
        <v>ÚNICA</v>
      </c>
      <c r="Y31" s="62">
        <f>Y29</f>
        <v>45717</v>
      </c>
      <c r="Z31" s="50"/>
      <c r="AA31" s="46"/>
      <c r="AB31" s="46"/>
      <c r="AC31" s="46"/>
      <c r="AD31" s="46"/>
    </row>
    <row r="32" spans="1:30" x14ac:dyDescent="0.25">
      <c r="A32" s="272"/>
      <c r="B32" s="273"/>
      <c r="C32" s="273"/>
      <c r="D32" s="272"/>
      <c r="E32" s="273"/>
      <c r="F32" s="273"/>
      <c r="G32" s="274"/>
      <c r="H32" s="273"/>
      <c r="I32" s="274"/>
      <c r="J32" s="273"/>
      <c r="K32" s="272"/>
      <c r="L32" s="272"/>
      <c r="M32" s="272"/>
      <c r="N32" s="273"/>
      <c r="O32" s="273"/>
      <c r="P32" s="272"/>
      <c r="Q32" s="272"/>
      <c r="R32" s="272"/>
      <c r="S32" s="272"/>
      <c r="T32" s="273"/>
      <c r="U32" s="273"/>
      <c r="V32" s="273"/>
      <c r="W32" s="274"/>
      <c r="X32" s="273"/>
      <c r="Y32" s="273"/>
      <c r="Z32" s="272"/>
      <c r="AA32" s="46"/>
      <c r="AB32" s="46"/>
      <c r="AC32" s="46"/>
      <c r="AD32" s="46"/>
    </row>
    <row r="33" spans="1:30" x14ac:dyDescent="0.25">
      <c r="A33" s="46"/>
      <c r="B33" s="64"/>
      <c r="C33" s="64"/>
      <c r="D33" s="46"/>
      <c r="E33" s="64"/>
      <c r="F33" s="64"/>
      <c r="G33" s="101">
        <f>SUM(G3:G32)</f>
        <v>60207.14</v>
      </c>
      <c r="H33" s="64"/>
      <c r="I33" s="275">
        <f>SUM(I3:I32)</f>
        <v>14567.21</v>
      </c>
      <c r="J33" s="64"/>
      <c r="K33" s="46"/>
      <c r="L33" s="276">
        <f>SUM(L2:L32)</f>
        <v>2428.0349999999999</v>
      </c>
      <c r="M33" s="46"/>
      <c r="N33" s="64"/>
      <c r="O33" s="277">
        <f>SUM(O2:O32)</f>
        <v>4856.07</v>
      </c>
      <c r="P33" s="46"/>
      <c r="Q33" s="278">
        <f>SUM(Q2:Q32)</f>
        <v>2428.0350000000003</v>
      </c>
      <c r="R33" s="46"/>
      <c r="S33" s="101">
        <f>SUM(S3:S32)</f>
        <v>220.71530303030306</v>
      </c>
      <c r="T33" s="279">
        <f>SUM(T3:T32)</f>
        <v>4855.7366666666676</v>
      </c>
      <c r="U33" s="280">
        <f>SUM(U3:U32)</f>
        <v>14567.21</v>
      </c>
      <c r="V33" s="101">
        <f>SUM(V3:V32)</f>
        <v>0</v>
      </c>
      <c r="W33" s="101">
        <f>SUM(W3:W32)</f>
        <v>37639.93</v>
      </c>
      <c r="X33" s="64"/>
      <c r="Y33" s="64"/>
      <c r="Z33" s="46"/>
      <c r="AA33" s="46"/>
      <c r="AB33" s="46"/>
      <c r="AC33" s="46"/>
      <c r="AD33" s="46"/>
    </row>
    <row r="34" spans="1:30" x14ac:dyDescent="0.25">
      <c r="A34" s="46"/>
      <c r="B34" s="64"/>
      <c r="C34" s="64"/>
      <c r="D34" s="46"/>
      <c r="E34" s="64"/>
      <c r="F34" s="64"/>
      <c r="G34" s="101"/>
      <c r="H34" s="64"/>
      <c r="I34" s="101"/>
      <c r="J34" s="64"/>
      <c r="K34" s="46"/>
      <c r="L34" s="101">
        <f>I33/3/2</f>
        <v>2427.8683333333333</v>
      </c>
      <c r="M34" s="46"/>
      <c r="N34" s="64"/>
      <c r="O34" s="101">
        <f>I33/3</f>
        <v>4855.7366666666667</v>
      </c>
      <c r="P34" s="46"/>
      <c r="Q34" s="101">
        <f>I33/3/2</f>
        <v>2427.8683333333333</v>
      </c>
      <c r="R34" s="46"/>
      <c r="S34" s="46"/>
      <c r="T34" s="101">
        <f>I33/3</f>
        <v>4855.7366666666667</v>
      </c>
      <c r="U34" s="101">
        <f>L34+O34+Q34+T34</f>
        <v>14567.21</v>
      </c>
      <c r="V34" s="101">
        <f>U33-U34</f>
        <v>0</v>
      </c>
      <c r="W34" s="101"/>
      <c r="X34" s="64"/>
      <c r="Y34" s="64"/>
      <c r="Z34" s="46"/>
      <c r="AA34" s="46"/>
      <c r="AB34" s="46"/>
      <c r="AC34" s="46"/>
      <c r="AD34" s="46"/>
    </row>
    <row r="35" spans="1:30" x14ac:dyDescent="0.25">
      <c r="A35" s="46"/>
      <c r="B35" s="64"/>
      <c r="C35" s="64"/>
      <c r="D35" s="46"/>
      <c r="E35" s="64"/>
      <c r="F35" s="64"/>
      <c r="G35" s="101"/>
      <c r="H35" s="64"/>
      <c r="I35" s="101"/>
      <c r="J35" s="64"/>
      <c r="K35" s="46"/>
      <c r="L35" s="46"/>
      <c r="M35" s="46"/>
      <c r="N35" s="64"/>
      <c r="O35" s="64"/>
      <c r="P35" s="46"/>
      <c r="Q35" s="46"/>
      <c r="R35" s="46"/>
      <c r="S35" s="46"/>
      <c r="T35" s="64"/>
      <c r="U35" s="64"/>
      <c r="V35" s="64"/>
      <c r="W35" s="101"/>
      <c r="X35" s="64"/>
      <c r="Y35" s="64"/>
      <c r="Z35" s="46"/>
      <c r="AA35" s="46"/>
      <c r="AB35" s="46"/>
      <c r="AC35" s="46"/>
      <c r="AD35" s="46"/>
    </row>
    <row r="36" spans="1:30" x14ac:dyDescent="0.25">
      <c r="A36" s="46"/>
      <c r="B36" s="64"/>
      <c r="C36" s="64"/>
      <c r="D36" s="46"/>
      <c r="E36" s="64"/>
      <c r="F36" s="64"/>
      <c r="G36" s="101"/>
      <c r="H36" s="64"/>
      <c r="I36" s="101"/>
      <c r="J36" s="64"/>
      <c r="K36" s="46"/>
      <c r="L36" s="46"/>
      <c r="M36" s="46"/>
      <c r="N36" s="64"/>
      <c r="O36" s="64"/>
      <c r="P36" s="46"/>
      <c r="Q36" s="46"/>
      <c r="R36" s="46"/>
      <c r="S36" s="46"/>
      <c r="T36" s="64"/>
      <c r="U36" s="64"/>
      <c r="V36" s="64"/>
      <c r="W36" s="101"/>
      <c r="X36" s="64"/>
      <c r="Y36" s="64"/>
      <c r="Z36" s="46"/>
      <c r="AA36" s="46"/>
      <c r="AB36" s="46"/>
      <c r="AC36" s="46"/>
      <c r="AD36" s="46"/>
    </row>
    <row r="37" spans="1:30" x14ac:dyDescent="0.25">
      <c r="A37" s="46"/>
      <c r="B37" s="64"/>
      <c r="C37" s="64"/>
      <c r="D37" s="46"/>
      <c r="E37" s="64"/>
      <c r="F37" s="64"/>
      <c r="G37" s="101"/>
      <c r="H37" s="64"/>
      <c r="I37" s="197" t="s">
        <v>20</v>
      </c>
      <c r="J37" s="30" t="s">
        <v>14</v>
      </c>
      <c r="K37" s="177" t="s">
        <v>78</v>
      </c>
      <c r="L37" s="31" t="s">
        <v>15</v>
      </c>
      <c r="M37" s="177" t="s">
        <v>78</v>
      </c>
      <c r="N37" s="7" t="s">
        <v>2</v>
      </c>
      <c r="O37" s="65" t="s">
        <v>20</v>
      </c>
      <c r="P37" s="90" t="s">
        <v>82</v>
      </c>
      <c r="Q37" s="177" t="s">
        <v>111</v>
      </c>
      <c r="R37" s="177" t="s">
        <v>78</v>
      </c>
      <c r="S37" s="177" t="s">
        <v>81</v>
      </c>
      <c r="T37" s="178" t="s">
        <v>83</v>
      </c>
      <c r="U37" s="177" t="s">
        <v>84</v>
      </c>
      <c r="V37" s="177" t="s">
        <v>81</v>
      </c>
      <c r="W37" s="52" t="s">
        <v>180</v>
      </c>
      <c r="X37" s="64"/>
      <c r="Y37" s="64"/>
      <c r="Z37" s="46"/>
      <c r="AA37" s="46"/>
      <c r="AB37" s="46"/>
      <c r="AC37" s="46"/>
      <c r="AD37" s="46"/>
    </row>
    <row r="38" spans="1:30" x14ac:dyDescent="0.25">
      <c r="A38" s="46"/>
      <c r="B38" s="64"/>
      <c r="C38" s="64"/>
      <c r="D38" s="46"/>
      <c r="E38" s="64"/>
      <c r="F38" s="64"/>
      <c r="G38" s="101"/>
      <c r="H38" s="64"/>
      <c r="I38" s="235" t="s">
        <v>26</v>
      </c>
      <c r="J38" s="105">
        <v>0</v>
      </c>
      <c r="K38" s="106">
        <v>1</v>
      </c>
      <c r="L38" s="107">
        <f>O12</f>
        <v>83.333333333333329</v>
      </c>
      <c r="M38" s="106">
        <v>1</v>
      </c>
      <c r="N38" s="58">
        <f>S33</f>
        <v>220.71530303030306</v>
      </c>
      <c r="O38" s="104" t="s">
        <v>26</v>
      </c>
      <c r="P38" s="108">
        <f t="shared" ref="P38:P46" si="6">J38+L38+N38</f>
        <v>304.04863636363638</v>
      </c>
      <c r="Q38" s="241" t="s">
        <v>113</v>
      </c>
      <c r="R38" s="106">
        <v>1</v>
      </c>
      <c r="S38" s="48"/>
      <c r="T38" s="59"/>
      <c r="U38" s="48"/>
      <c r="V38" s="48"/>
      <c r="W38" s="52"/>
      <c r="X38" s="64"/>
      <c r="Y38" s="64"/>
      <c r="Z38" s="46"/>
      <c r="AA38" s="46"/>
      <c r="AB38" s="46"/>
      <c r="AC38" s="46"/>
      <c r="AD38" s="46"/>
    </row>
    <row r="39" spans="1:30" x14ac:dyDescent="0.25">
      <c r="A39" s="46"/>
      <c r="B39" s="64"/>
      <c r="C39" s="64"/>
      <c r="D39" s="46"/>
      <c r="E39" s="66" t="s">
        <v>98</v>
      </c>
      <c r="F39" s="267">
        <v>300000</v>
      </c>
      <c r="G39" s="103">
        <v>1</v>
      </c>
      <c r="H39" s="64"/>
      <c r="I39" s="236" t="s">
        <v>27</v>
      </c>
      <c r="J39" s="105">
        <v>0</v>
      </c>
      <c r="K39" s="106">
        <v>1</v>
      </c>
      <c r="L39" s="107">
        <f>O20+O22+O24+O25</f>
        <v>752</v>
      </c>
      <c r="M39" s="106">
        <v>1</v>
      </c>
      <c r="N39" s="58">
        <f>N38</f>
        <v>220.71530303030306</v>
      </c>
      <c r="O39" s="109" t="s">
        <v>27</v>
      </c>
      <c r="P39" s="110">
        <f t="shared" si="6"/>
        <v>972.71530303030306</v>
      </c>
      <c r="Q39" s="57" t="s">
        <v>113</v>
      </c>
      <c r="R39" s="106">
        <v>1</v>
      </c>
      <c r="S39" s="48"/>
      <c r="T39" s="59"/>
      <c r="U39" s="48"/>
      <c r="V39" s="48"/>
      <c r="W39" s="52"/>
      <c r="X39" s="64"/>
      <c r="Y39" s="64"/>
      <c r="Z39" s="46"/>
      <c r="AA39" s="46"/>
      <c r="AB39" s="46"/>
      <c r="AC39" s="46"/>
      <c r="AD39" s="46"/>
    </row>
    <row r="40" spans="1:30" x14ac:dyDescent="0.25">
      <c r="A40" s="46"/>
      <c r="B40" s="64"/>
      <c r="C40" s="64"/>
      <c r="D40" s="46"/>
      <c r="E40" s="156" t="s">
        <v>99</v>
      </c>
      <c r="F40" s="155">
        <f>F39/12</f>
        <v>25000</v>
      </c>
      <c r="G40" s="157">
        <v>1</v>
      </c>
      <c r="H40" s="64"/>
      <c r="I40" s="112" t="s">
        <v>30</v>
      </c>
      <c r="J40" s="105">
        <v>0</v>
      </c>
      <c r="K40" s="106">
        <v>1</v>
      </c>
      <c r="L40" s="107">
        <f>O30</f>
        <v>83.333333333333329</v>
      </c>
      <c r="M40" s="106">
        <v>1</v>
      </c>
      <c r="N40" s="58">
        <f>N38</f>
        <v>220.71530303030306</v>
      </c>
      <c r="O40" s="111" t="s">
        <v>30</v>
      </c>
      <c r="P40" s="112">
        <f t="shared" si="6"/>
        <v>304.04863636363638</v>
      </c>
      <c r="Q40" s="240" t="s">
        <v>113</v>
      </c>
      <c r="R40" s="106">
        <v>1</v>
      </c>
      <c r="S40" s="113">
        <f>P38+P39+P40</f>
        <v>1580.8125757575758</v>
      </c>
      <c r="T40" s="114">
        <f>S40/S52</f>
        <v>0.10851855473749439</v>
      </c>
      <c r="U40" s="106">
        <v>3</v>
      </c>
      <c r="V40" s="106">
        <v>0</v>
      </c>
      <c r="W40" s="52"/>
      <c r="X40" s="64"/>
      <c r="Y40" s="64"/>
      <c r="Z40" s="46"/>
      <c r="AA40" s="46"/>
      <c r="AB40" s="46"/>
      <c r="AC40" s="46"/>
      <c r="AD40" s="46"/>
    </row>
    <row r="41" spans="1:30" x14ac:dyDescent="0.25">
      <c r="A41" s="46"/>
      <c r="B41" s="64"/>
      <c r="C41" s="64"/>
      <c r="D41" s="46"/>
      <c r="E41" s="251" t="s">
        <v>221</v>
      </c>
      <c r="F41" s="281">
        <v>20000</v>
      </c>
      <c r="G41" s="282">
        <f>F41/F40</f>
        <v>0.8</v>
      </c>
      <c r="H41" s="64"/>
      <c r="I41" s="117" t="s">
        <v>25</v>
      </c>
      <c r="J41" s="105">
        <f>L16+L18</f>
        <v>41.666666666666664</v>
      </c>
      <c r="K41" s="116">
        <v>2</v>
      </c>
      <c r="L41" s="107">
        <f>O16+O18</f>
        <v>83.333333333333329</v>
      </c>
      <c r="M41" s="116">
        <v>2</v>
      </c>
      <c r="N41" s="58">
        <f>N38</f>
        <v>220.71530303030306</v>
      </c>
      <c r="O41" s="115" t="s">
        <v>25</v>
      </c>
      <c r="P41" s="117">
        <f t="shared" si="6"/>
        <v>345.71530303030306</v>
      </c>
      <c r="Q41" s="116" t="s">
        <v>113</v>
      </c>
      <c r="R41" s="116">
        <v>2</v>
      </c>
      <c r="S41" s="48"/>
      <c r="T41" s="59"/>
      <c r="U41" s="48"/>
      <c r="V41" s="48"/>
      <c r="W41" s="52"/>
      <c r="X41" s="64"/>
      <c r="Y41" s="64"/>
      <c r="Z41" s="46"/>
      <c r="AA41" s="46"/>
      <c r="AB41" s="46"/>
      <c r="AC41" s="46"/>
      <c r="AD41" s="46"/>
    </row>
    <row r="42" spans="1:30" x14ac:dyDescent="0.25">
      <c r="A42" s="46"/>
      <c r="B42" s="64"/>
      <c r="C42" s="64"/>
      <c r="D42" s="46"/>
      <c r="E42" s="158" t="s">
        <v>230</v>
      </c>
      <c r="F42" s="158">
        <f>I33</f>
        <v>14567.21</v>
      </c>
      <c r="G42" s="159">
        <f>F42/F41</f>
        <v>0.72836049999999997</v>
      </c>
      <c r="H42" s="283">
        <f>G41-G42</f>
        <v>7.1639500000000078E-2</v>
      </c>
      <c r="I42" s="198" t="s">
        <v>22</v>
      </c>
      <c r="J42" s="105">
        <f>L17+L19</f>
        <v>41.666666666666664</v>
      </c>
      <c r="K42" s="116">
        <v>2</v>
      </c>
      <c r="L42" s="107">
        <f>O17+O19</f>
        <v>83.333333333333329</v>
      </c>
      <c r="M42" s="116">
        <v>2</v>
      </c>
      <c r="N42" s="58">
        <f>N38</f>
        <v>220.71530303030306</v>
      </c>
      <c r="O42" s="119" t="s">
        <v>22</v>
      </c>
      <c r="P42" s="120">
        <f t="shared" si="6"/>
        <v>345.71530303030306</v>
      </c>
      <c r="Q42" s="165" t="s">
        <v>113</v>
      </c>
      <c r="R42" s="116">
        <v>2</v>
      </c>
      <c r="S42" s="48"/>
      <c r="T42" s="59"/>
      <c r="U42" s="48"/>
      <c r="V42" s="48"/>
      <c r="W42" s="52"/>
      <c r="X42" s="64"/>
      <c r="Y42" s="64"/>
      <c r="Z42" s="46"/>
      <c r="AA42" s="46"/>
      <c r="AB42" s="46"/>
      <c r="AC42" s="46"/>
      <c r="AD42" s="46"/>
    </row>
    <row r="43" spans="1:30" x14ac:dyDescent="0.25">
      <c r="A43" s="46"/>
      <c r="B43" s="64"/>
      <c r="C43" s="64"/>
      <c r="D43" s="46"/>
      <c r="E43" s="53" t="s">
        <v>100</v>
      </c>
      <c r="F43" s="268">
        <f>F42-F41</f>
        <v>-5432.7900000000009</v>
      </c>
      <c r="G43" s="53" t="s">
        <v>234</v>
      </c>
      <c r="H43" s="64"/>
      <c r="I43" s="199" t="s">
        <v>28</v>
      </c>
      <c r="J43" s="105">
        <v>0</v>
      </c>
      <c r="K43" s="116">
        <v>2</v>
      </c>
      <c r="L43" s="107">
        <f>O6</f>
        <v>50</v>
      </c>
      <c r="M43" s="116">
        <v>2</v>
      </c>
      <c r="N43" s="58">
        <f>N38</f>
        <v>220.71530303030306</v>
      </c>
      <c r="O43" s="122" t="s">
        <v>28</v>
      </c>
      <c r="P43" s="123">
        <f t="shared" si="6"/>
        <v>270.71530303030306</v>
      </c>
      <c r="Q43" s="48" t="s">
        <v>113</v>
      </c>
      <c r="R43" s="116">
        <v>2</v>
      </c>
      <c r="S43" s="124">
        <f>P41+P42+P43</f>
        <v>962.14590909090919</v>
      </c>
      <c r="T43" s="125">
        <f>S43/S52</f>
        <v>6.6048742970747948E-2</v>
      </c>
      <c r="U43" s="116">
        <v>3</v>
      </c>
      <c r="V43" s="116">
        <v>2</v>
      </c>
      <c r="W43" s="52"/>
      <c r="X43" s="64"/>
      <c r="Y43" s="64"/>
      <c r="Z43" s="46"/>
      <c r="AA43" s="46"/>
      <c r="AB43" s="46"/>
      <c r="AC43" s="46"/>
      <c r="AD43" s="46"/>
    </row>
    <row r="44" spans="1:30" x14ac:dyDescent="0.25">
      <c r="A44" s="46"/>
      <c r="B44" s="64"/>
      <c r="C44" s="64"/>
      <c r="D44" s="46"/>
      <c r="E44" s="284" t="s">
        <v>222</v>
      </c>
      <c r="F44" s="254">
        <f>'RECEITAS JANEIRO'!I27+'RECEITAS FEVEREIRO'!I27+'RECEITAS MARÇO'!F42</f>
        <v>33418.21</v>
      </c>
      <c r="G44" s="53" t="s">
        <v>234</v>
      </c>
      <c r="H44" s="64"/>
      <c r="I44" s="127" t="s">
        <v>21</v>
      </c>
      <c r="J44" s="105">
        <f>L3+L7+L8+L9+L10+L14+L15+L21+L23+L26+L27+L29+L31</f>
        <v>1219.5116666666665</v>
      </c>
      <c r="K44" s="74">
        <v>3</v>
      </c>
      <c r="L44" s="107">
        <f>O3+O4+O5+O7+O8+O9+O10+O13+O14+O15+O21+O23+O26+O29+O31</f>
        <v>2987.0699999999997</v>
      </c>
      <c r="M44" s="74">
        <v>3</v>
      </c>
      <c r="N44" s="58">
        <f>N38</f>
        <v>220.71530303030306</v>
      </c>
      <c r="O44" s="126" t="s">
        <v>21</v>
      </c>
      <c r="P44" s="127">
        <f t="shared" si="6"/>
        <v>4427.2969696969694</v>
      </c>
      <c r="Q44" s="75" t="s">
        <v>113</v>
      </c>
      <c r="R44" s="74">
        <v>3</v>
      </c>
      <c r="S44" s="48"/>
      <c r="T44" s="59"/>
      <c r="U44" s="48"/>
      <c r="V44" s="48"/>
      <c r="W44" s="52"/>
      <c r="X44" s="64"/>
      <c r="Y44" s="64"/>
      <c r="Z44" s="46"/>
      <c r="AA44" s="46"/>
      <c r="AB44" s="46"/>
      <c r="AC44" s="46"/>
      <c r="AD44" s="46"/>
    </row>
    <row r="45" spans="1:30" x14ac:dyDescent="0.25">
      <c r="A45" s="46"/>
      <c r="B45" s="64"/>
      <c r="C45" s="64"/>
      <c r="D45" s="46"/>
      <c r="E45" s="64"/>
      <c r="F45" s="64"/>
      <c r="G45" s="101"/>
      <c r="H45" s="64"/>
      <c r="I45" s="129" t="s">
        <v>24</v>
      </c>
      <c r="J45" s="105">
        <f>L5</f>
        <v>190.69</v>
      </c>
      <c r="K45" s="74">
        <v>3</v>
      </c>
      <c r="L45" s="107">
        <f>O27</f>
        <v>250</v>
      </c>
      <c r="M45" s="74">
        <v>3</v>
      </c>
      <c r="N45" s="58">
        <f>N38</f>
        <v>220.71530303030306</v>
      </c>
      <c r="O45" s="128" t="s">
        <v>24</v>
      </c>
      <c r="P45" s="129">
        <f t="shared" si="6"/>
        <v>661.405303030303</v>
      </c>
      <c r="Q45" s="77" t="s">
        <v>113</v>
      </c>
      <c r="R45" s="74">
        <v>3</v>
      </c>
      <c r="S45" s="48"/>
      <c r="T45" s="59"/>
      <c r="U45" s="48"/>
      <c r="V45" s="48"/>
      <c r="W45" s="52"/>
      <c r="X45" s="64"/>
      <c r="Y45" s="64"/>
      <c r="Z45" s="46"/>
      <c r="AA45" s="46"/>
      <c r="AB45" s="46"/>
      <c r="AC45" s="46"/>
      <c r="AD45" s="46"/>
    </row>
    <row r="46" spans="1:30" x14ac:dyDescent="0.25">
      <c r="A46" s="46"/>
      <c r="B46" s="64"/>
      <c r="C46" s="64"/>
      <c r="D46" s="46"/>
      <c r="E46" s="64"/>
      <c r="F46" s="64"/>
      <c r="G46" s="101"/>
      <c r="H46" s="64"/>
      <c r="I46" s="131" t="s">
        <v>37</v>
      </c>
      <c r="J46" s="105">
        <v>0</v>
      </c>
      <c r="K46" s="74">
        <v>3</v>
      </c>
      <c r="L46" s="107">
        <v>0</v>
      </c>
      <c r="M46" s="74">
        <v>3</v>
      </c>
      <c r="N46" s="58">
        <f>N38</f>
        <v>220.71530303030306</v>
      </c>
      <c r="O46" s="130" t="s">
        <v>37</v>
      </c>
      <c r="P46" s="131">
        <f t="shared" si="6"/>
        <v>220.71530303030306</v>
      </c>
      <c r="Q46" s="48" t="s">
        <v>113</v>
      </c>
      <c r="R46" s="74">
        <v>3</v>
      </c>
      <c r="S46" s="75">
        <f>P44+P45+P46</f>
        <v>5309.4175757575758</v>
      </c>
      <c r="T46" s="132">
        <f>S46/S52</f>
        <v>0.36447731417049495</v>
      </c>
      <c r="U46" s="74">
        <v>3</v>
      </c>
      <c r="V46" s="74">
        <v>13</v>
      </c>
      <c r="W46" s="52"/>
      <c r="X46" s="64"/>
      <c r="Y46" s="64"/>
      <c r="Z46" s="46"/>
      <c r="AA46" s="46"/>
      <c r="AB46" s="46"/>
      <c r="AC46" s="46"/>
      <c r="AD46" s="46"/>
    </row>
    <row r="47" spans="1:30" x14ac:dyDescent="0.25">
      <c r="A47" s="46"/>
      <c r="B47" s="64"/>
      <c r="C47" s="64"/>
      <c r="D47" s="46"/>
      <c r="E47" s="64"/>
      <c r="F47" s="64"/>
      <c r="G47" s="101"/>
      <c r="H47" s="64"/>
      <c r="I47" s="88" t="s">
        <v>76</v>
      </c>
      <c r="J47" s="105">
        <f>SUM(J38:J46)</f>
        <v>1493.5349999999999</v>
      </c>
      <c r="K47" s="48"/>
      <c r="L47" s="107">
        <f>SUM(L38:L46)</f>
        <v>4372.4033333333336</v>
      </c>
      <c r="M47" s="48"/>
      <c r="N47" s="58">
        <f>SUM(N38:N46)</f>
        <v>1986.437727272727</v>
      </c>
      <c r="O47" s="133" t="s">
        <v>77</v>
      </c>
      <c r="P47" s="260">
        <f>SUM(P38:P46)</f>
        <v>7852.3760606060605</v>
      </c>
      <c r="Q47" s="48"/>
      <c r="R47" s="83" t="s">
        <v>80</v>
      </c>
      <c r="S47" s="254">
        <f>S40+S43+S46</f>
        <v>7852.3760606060605</v>
      </c>
      <c r="T47" s="265">
        <f>S47/S52</f>
        <v>0.5390446118787372</v>
      </c>
      <c r="U47" s="48"/>
      <c r="V47" s="48"/>
      <c r="W47" s="52"/>
      <c r="X47" s="64"/>
      <c r="Y47" s="64"/>
      <c r="Z47" s="46"/>
      <c r="AA47" s="46"/>
      <c r="AB47" s="46"/>
      <c r="AC47" s="46"/>
      <c r="AD47" s="46"/>
    </row>
    <row r="48" spans="1:30" x14ac:dyDescent="0.25">
      <c r="A48" s="46"/>
      <c r="B48" s="64"/>
      <c r="C48" s="64"/>
      <c r="D48" s="46"/>
      <c r="E48" s="64"/>
      <c r="F48" s="64"/>
      <c r="G48" s="101"/>
      <c r="H48" s="64"/>
      <c r="I48" s="231" t="s">
        <v>23</v>
      </c>
      <c r="J48" s="105">
        <f>L6+L11+L13+L20+L22+L24+L25+L28+L30</f>
        <v>892.66666666666652</v>
      </c>
      <c r="K48" s="223" t="s">
        <v>79</v>
      </c>
      <c r="L48" s="107">
        <f>O11+O28</f>
        <v>483.33333333333331</v>
      </c>
      <c r="M48" s="223" t="s">
        <v>79</v>
      </c>
      <c r="N48" s="58">
        <f>N38</f>
        <v>220.71530303030306</v>
      </c>
      <c r="O48" s="232" t="s">
        <v>23</v>
      </c>
      <c r="P48" s="231">
        <f>J48+L48+N48</f>
        <v>1596.7153030303029</v>
      </c>
      <c r="Q48" s="71" t="s">
        <v>113</v>
      </c>
      <c r="R48" s="223" t="s">
        <v>79</v>
      </c>
      <c r="S48" s="224">
        <f>P48</f>
        <v>1596.7153030303029</v>
      </c>
      <c r="T48" s="233">
        <f>S48/S52</f>
        <v>0.10961023442583054</v>
      </c>
      <c r="U48" s="71">
        <v>3</v>
      </c>
      <c r="V48" s="71">
        <v>8</v>
      </c>
      <c r="W48" s="52"/>
      <c r="X48" s="64"/>
      <c r="Y48" s="64"/>
      <c r="Z48" s="46"/>
      <c r="AA48" s="46"/>
      <c r="AB48" s="46"/>
      <c r="AC48" s="46"/>
      <c r="AD48" s="46"/>
    </row>
    <row r="49" spans="1:30" ht="15.75" thickBot="1" x14ac:dyDescent="0.3">
      <c r="A49" s="46"/>
      <c r="B49" s="64"/>
      <c r="C49" s="64"/>
      <c r="D49" s="46"/>
      <c r="E49" s="64"/>
      <c r="F49" s="64"/>
      <c r="G49" s="101"/>
      <c r="H49" s="64"/>
      <c r="I49" s="32" t="s">
        <v>4</v>
      </c>
      <c r="J49" s="98">
        <v>0</v>
      </c>
      <c r="K49" s="32" t="s">
        <v>4</v>
      </c>
      <c r="L49" s="107">
        <v>0</v>
      </c>
      <c r="M49" s="32" t="s">
        <v>4</v>
      </c>
      <c r="N49" s="58">
        <f>N38</f>
        <v>220.71530303030306</v>
      </c>
      <c r="O49" s="32" t="s">
        <v>4</v>
      </c>
      <c r="P49" s="96">
        <f>T33+S33</f>
        <v>5076.451969696971</v>
      </c>
      <c r="Q49" s="60" t="s">
        <v>113</v>
      </c>
      <c r="R49" s="32" t="s">
        <v>4</v>
      </c>
      <c r="S49" s="96">
        <f>P49</f>
        <v>5076.451969696971</v>
      </c>
      <c r="T49" s="137">
        <f>S49/S52</f>
        <v>0.34848484848484856</v>
      </c>
      <c r="U49" s="48"/>
      <c r="V49" s="48"/>
      <c r="W49" s="52"/>
      <c r="X49" s="64"/>
      <c r="Y49" s="64"/>
      <c r="Z49" s="46"/>
      <c r="AA49" s="46"/>
      <c r="AB49" s="46"/>
      <c r="AC49" s="46"/>
      <c r="AD49" s="46"/>
    </row>
    <row r="50" spans="1:30" ht="15.75" thickBot="1" x14ac:dyDescent="0.3">
      <c r="A50" s="46"/>
      <c r="B50" s="64"/>
      <c r="C50" s="64"/>
      <c r="D50" s="46"/>
      <c r="E50" s="64"/>
      <c r="F50" s="64"/>
      <c r="G50" s="101"/>
      <c r="H50" s="64"/>
      <c r="I50" s="214" t="s">
        <v>89</v>
      </c>
      <c r="J50" s="98">
        <v>0</v>
      </c>
      <c r="K50" s="210" t="s">
        <v>91</v>
      </c>
      <c r="L50" s="107">
        <v>0</v>
      </c>
      <c r="M50" s="210" t="s">
        <v>91</v>
      </c>
      <c r="N50" s="58">
        <v>0</v>
      </c>
      <c r="O50" s="215" t="s">
        <v>89</v>
      </c>
      <c r="P50" s="214">
        <f>J50+L50+N50</f>
        <v>0</v>
      </c>
      <c r="Q50" s="208" t="s">
        <v>114</v>
      </c>
      <c r="R50" s="256" t="s">
        <v>91</v>
      </c>
      <c r="S50" s="257">
        <f>P50</f>
        <v>0</v>
      </c>
      <c r="T50" s="48"/>
      <c r="U50" s="48"/>
      <c r="V50" s="48"/>
      <c r="W50" s="52"/>
      <c r="X50" s="64"/>
      <c r="Y50" s="64"/>
      <c r="Z50" s="46"/>
      <c r="AA50" s="46"/>
      <c r="AB50" s="46"/>
      <c r="AC50" s="46"/>
      <c r="AD50" s="46"/>
    </row>
    <row r="51" spans="1:30" ht="15.75" thickBot="1" x14ac:dyDescent="0.3">
      <c r="A51" s="46"/>
      <c r="B51" s="64"/>
      <c r="C51" s="64"/>
      <c r="D51" s="46"/>
      <c r="E51" s="64"/>
      <c r="F51" s="64"/>
      <c r="G51" s="101"/>
      <c r="H51" s="64"/>
      <c r="I51" s="217" t="s">
        <v>90</v>
      </c>
      <c r="J51" s="98">
        <f>L4</f>
        <v>41.666666666666664</v>
      </c>
      <c r="K51" s="210" t="s">
        <v>91</v>
      </c>
      <c r="L51" s="107">
        <v>0</v>
      </c>
      <c r="M51" s="210" t="s">
        <v>91</v>
      </c>
      <c r="N51" s="58">
        <v>0</v>
      </c>
      <c r="O51" s="218" t="s">
        <v>90</v>
      </c>
      <c r="P51" s="217">
        <f>J51+L51+N51</f>
        <v>41.666666666666664</v>
      </c>
      <c r="Q51" s="209" t="str">
        <f>Q48</f>
        <v>REPASSADO</v>
      </c>
      <c r="R51" s="256" t="s">
        <v>91</v>
      </c>
      <c r="S51" s="257">
        <f>P51</f>
        <v>41.666666666666664</v>
      </c>
      <c r="T51" s="258">
        <f>S51/S52</f>
        <v>2.8603052105836782E-3</v>
      </c>
      <c r="U51" s="259">
        <v>3</v>
      </c>
      <c r="V51" s="259">
        <v>1</v>
      </c>
      <c r="W51" s="52"/>
      <c r="X51" s="64"/>
      <c r="Y51" s="64"/>
      <c r="Z51" s="46"/>
      <c r="AA51" s="46"/>
      <c r="AB51" s="46"/>
      <c r="AC51" s="46"/>
      <c r="AD51" s="46"/>
    </row>
    <row r="52" spans="1:30" x14ac:dyDescent="0.25">
      <c r="A52" s="46"/>
      <c r="B52" s="64"/>
      <c r="C52" s="64"/>
      <c r="D52" s="46"/>
      <c r="E52" s="64"/>
      <c r="F52" s="64"/>
      <c r="G52" s="101"/>
      <c r="H52" s="64"/>
      <c r="I52" s="138" t="s">
        <v>40</v>
      </c>
      <c r="J52" s="105">
        <f>J47+J48+J49+J50+J51</f>
        <v>2427.8683333333329</v>
      </c>
      <c r="K52" s="50"/>
      <c r="L52" s="107">
        <f>L47+L48+L49+L50+L51</f>
        <v>4855.7366666666667</v>
      </c>
      <c r="M52" s="48"/>
      <c r="N52" s="58">
        <f>N47+N48+N49</f>
        <v>2427.8683333333329</v>
      </c>
      <c r="O52" s="138" t="s">
        <v>40</v>
      </c>
      <c r="P52" s="138">
        <f>P47+P48+P49+P50+P51</f>
        <v>14567.210000000001</v>
      </c>
      <c r="Q52" s="48"/>
      <c r="R52" s="138" t="s">
        <v>40</v>
      </c>
      <c r="S52" s="138">
        <f>S47+S48+S49+S50+S51</f>
        <v>14567.210000000001</v>
      </c>
      <c r="T52" s="139">
        <f>T40+T43+T46+T48+T49+T51</f>
        <v>1.0000000000000002</v>
      </c>
      <c r="U52" s="140">
        <f>SUM(U38:U51)</f>
        <v>15</v>
      </c>
      <c r="V52" s="140">
        <f>SUM(V38:V51)</f>
        <v>24</v>
      </c>
      <c r="W52" s="271" t="s">
        <v>235</v>
      </c>
      <c r="X52" s="64"/>
      <c r="Y52" s="64"/>
      <c r="Z52" s="46"/>
      <c r="AA52" s="46"/>
      <c r="AB52" s="46"/>
      <c r="AC52" s="46"/>
      <c r="AD52" s="46"/>
    </row>
    <row r="53" spans="1:30" x14ac:dyDescent="0.25">
      <c r="A53" s="46"/>
      <c r="B53" s="64"/>
      <c r="C53" s="64"/>
      <c r="D53" s="46"/>
      <c r="E53" s="64"/>
      <c r="F53" s="64"/>
      <c r="G53" s="101"/>
      <c r="H53" s="64"/>
      <c r="I53" s="200" t="s">
        <v>16</v>
      </c>
      <c r="J53" s="105">
        <f>L34</f>
        <v>2427.8683333333333</v>
      </c>
      <c r="K53" s="50"/>
      <c r="L53" s="107">
        <f>O34</f>
        <v>4855.7366666666667</v>
      </c>
      <c r="M53" s="48"/>
      <c r="N53" s="58">
        <f>Q34</f>
        <v>2427.8683333333333</v>
      </c>
      <c r="O53" s="142" t="s">
        <v>16</v>
      </c>
      <c r="P53" s="143">
        <f>I33</f>
        <v>14567.21</v>
      </c>
      <c r="Q53" s="48"/>
      <c r="R53" s="142" t="s">
        <v>16</v>
      </c>
      <c r="S53" s="143">
        <f>U34</f>
        <v>14567.21</v>
      </c>
      <c r="T53" s="143">
        <f>S53</f>
        <v>14567.21</v>
      </c>
      <c r="U53" s="48"/>
      <c r="V53" s="48"/>
      <c r="W53" s="52"/>
      <c r="X53" s="64"/>
      <c r="Y53" s="64"/>
      <c r="Z53" s="46"/>
      <c r="AA53" s="46"/>
      <c r="AB53" s="46"/>
      <c r="AC53" s="46"/>
      <c r="AD53" s="46"/>
    </row>
    <row r="54" spans="1:30" x14ac:dyDescent="0.25">
      <c r="A54" s="46"/>
      <c r="B54" s="64"/>
      <c r="C54" s="64"/>
      <c r="D54" s="46"/>
      <c r="E54" s="64"/>
      <c r="F54" s="64"/>
      <c r="G54" s="101"/>
      <c r="H54" s="64"/>
      <c r="I54" s="101"/>
      <c r="J54" s="238">
        <f>J52-J53</f>
        <v>0</v>
      </c>
      <c r="K54" s="50"/>
      <c r="L54" s="238">
        <f>L52-L53</f>
        <v>0</v>
      </c>
      <c r="M54" s="48"/>
      <c r="N54" s="238">
        <f>N52-N53</f>
        <v>0</v>
      </c>
      <c r="O54" s="48"/>
      <c r="P54" s="238">
        <f>P52-P53</f>
        <v>0</v>
      </c>
      <c r="Q54" s="48"/>
      <c r="R54" s="239"/>
      <c r="S54" s="238">
        <f>S52-S53</f>
        <v>0</v>
      </c>
      <c r="T54" s="48"/>
      <c r="U54" s="48"/>
      <c r="V54" s="48"/>
      <c r="W54" s="52"/>
      <c r="X54" s="64"/>
      <c r="Y54" s="64"/>
      <c r="Z54" s="46"/>
      <c r="AA54" s="46"/>
      <c r="AB54" s="46"/>
      <c r="AC54" s="46"/>
      <c r="AD54" s="46"/>
    </row>
    <row r="55" spans="1:30" x14ac:dyDescent="0.25">
      <c r="A55" s="46"/>
      <c r="B55" s="64"/>
      <c r="C55" s="64"/>
      <c r="D55" s="46"/>
      <c r="E55" s="64"/>
      <c r="F55" s="64"/>
      <c r="G55" s="101"/>
      <c r="H55" s="64"/>
      <c r="I55" s="101"/>
      <c r="J55" s="64"/>
      <c r="K55" s="46"/>
      <c r="L55" s="46"/>
      <c r="M55" s="46"/>
      <c r="N55" s="64"/>
      <c r="O55" s="64"/>
      <c r="P55" s="46"/>
      <c r="Q55" s="46"/>
      <c r="R55" s="46"/>
      <c r="S55" s="46"/>
      <c r="T55" s="64"/>
      <c r="U55" s="64"/>
      <c r="V55" s="64"/>
      <c r="W55" s="101"/>
      <c r="X55" s="64"/>
      <c r="Y55" s="64"/>
      <c r="Z55" s="46"/>
      <c r="AA55" s="46"/>
      <c r="AB55" s="64"/>
      <c r="AC55" s="46"/>
      <c r="AD55" s="46"/>
    </row>
    <row r="56" spans="1:30" x14ac:dyDescent="0.25">
      <c r="A56" s="46"/>
      <c r="B56" s="64"/>
      <c r="C56" s="64"/>
      <c r="D56" s="213" t="s">
        <v>192</v>
      </c>
      <c r="E56" s="64"/>
      <c r="F56" s="64"/>
      <c r="G56" s="101"/>
      <c r="H56" s="64"/>
      <c r="I56" s="101"/>
      <c r="J56" s="64"/>
      <c r="K56" s="46"/>
      <c r="L56" s="46"/>
      <c r="M56" s="46"/>
      <c r="N56" s="64"/>
      <c r="O56" s="64"/>
      <c r="P56" s="46"/>
      <c r="Q56" s="46"/>
      <c r="R56" s="46"/>
      <c r="S56" s="46"/>
      <c r="T56" s="64"/>
      <c r="U56" s="64"/>
      <c r="V56" s="64"/>
      <c r="W56" s="101"/>
      <c r="X56" s="64"/>
      <c r="Y56" s="64"/>
      <c r="Z56" s="46"/>
      <c r="AA56" s="46"/>
      <c r="AB56" s="46"/>
      <c r="AC56" s="46"/>
      <c r="AD56" s="46"/>
    </row>
    <row r="57" spans="1:30" x14ac:dyDescent="0.25">
      <c r="A57" s="186" t="s">
        <v>6</v>
      </c>
      <c r="B57" s="187" t="s">
        <v>7</v>
      </c>
      <c r="C57" s="187" t="s">
        <v>8</v>
      </c>
      <c r="D57" s="188" t="s">
        <v>9</v>
      </c>
      <c r="E57" s="189" t="s">
        <v>33</v>
      </c>
      <c r="F57" s="188" t="s">
        <v>10</v>
      </c>
      <c r="G57" s="185" t="s">
        <v>11</v>
      </c>
      <c r="H57" s="185" t="s">
        <v>35</v>
      </c>
      <c r="I57" s="191" t="s">
        <v>116</v>
      </c>
      <c r="J57" s="185" t="s">
        <v>13</v>
      </c>
      <c r="K57" s="181" t="s">
        <v>14</v>
      </c>
      <c r="L57" s="182">
        <v>0.1666</v>
      </c>
      <c r="M57" s="192" t="s">
        <v>78</v>
      </c>
      <c r="N57" s="193" t="s">
        <v>15</v>
      </c>
      <c r="O57" s="182">
        <v>0.33339999999999997</v>
      </c>
      <c r="P57" s="192" t="s">
        <v>78</v>
      </c>
      <c r="Q57" s="194">
        <v>0.1666666</v>
      </c>
      <c r="R57" s="183" t="s">
        <v>29</v>
      </c>
      <c r="S57" s="184" t="s">
        <v>3</v>
      </c>
      <c r="T57" s="195">
        <f>O57</f>
        <v>0.33339999999999997</v>
      </c>
      <c r="U57" s="183">
        <v>1</v>
      </c>
      <c r="V57" s="196" t="s">
        <v>16</v>
      </c>
      <c r="W57" s="185" t="s">
        <v>17</v>
      </c>
      <c r="X57" s="185" t="s">
        <v>18</v>
      </c>
      <c r="Y57" s="185" t="s">
        <v>19</v>
      </c>
      <c r="Z57" s="185" t="s">
        <v>39</v>
      </c>
      <c r="AA57" s="64"/>
      <c r="AB57" s="46"/>
      <c r="AC57" s="46"/>
      <c r="AD57" s="46"/>
    </row>
    <row r="60" spans="1:30" x14ac:dyDescent="0.25">
      <c r="A60" s="47" t="s">
        <v>56</v>
      </c>
      <c r="B60" s="48">
        <v>2</v>
      </c>
      <c r="C60" s="47" t="s">
        <v>56</v>
      </c>
      <c r="D60" s="50" t="s">
        <v>169</v>
      </c>
      <c r="E60" s="48" t="s">
        <v>153</v>
      </c>
      <c r="F60" s="48" t="s">
        <v>154</v>
      </c>
      <c r="G60" s="52">
        <v>1500</v>
      </c>
      <c r="H60" s="48" t="s">
        <v>155</v>
      </c>
      <c r="I60" s="160">
        <v>250</v>
      </c>
      <c r="J60" s="53" t="s">
        <v>120</v>
      </c>
      <c r="K60" s="124" t="s">
        <v>25</v>
      </c>
      <c r="L60" s="124">
        <f>I60*L2/2</f>
        <v>20.833333333333332</v>
      </c>
      <c r="M60" s="116">
        <v>2</v>
      </c>
      <c r="N60" s="124" t="s">
        <v>25</v>
      </c>
      <c r="O60" s="124">
        <f>I60*O2/2</f>
        <v>41.666666666666664</v>
      </c>
      <c r="P60" s="116">
        <v>2</v>
      </c>
      <c r="Q60" s="58">
        <f>I60*Q2</f>
        <v>41.666666666666664</v>
      </c>
      <c r="R60" s="59">
        <f>Q2/11</f>
        <v>1.515151515151515E-2</v>
      </c>
      <c r="S60" s="52">
        <f>Q60/11</f>
        <v>3.7878787878787876</v>
      </c>
      <c r="T60" s="60">
        <f>I60/3</f>
        <v>83.333333333333329</v>
      </c>
      <c r="U60" s="69">
        <f>L60+L61+O60+O61+Q60+T60</f>
        <v>250</v>
      </c>
      <c r="V60" s="52">
        <f>I60-U60</f>
        <v>0</v>
      </c>
      <c r="W60" s="52">
        <f>I60*5</f>
        <v>1250</v>
      </c>
      <c r="X60" s="48" t="s">
        <v>156</v>
      </c>
      <c r="Y60" s="48" t="s">
        <v>157</v>
      </c>
      <c r="Z60" s="48" t="s">
        <v>233</v>
      </c>
      <c r="AA60" s="64"/>
      <c r="AB60" s="46"/>
      <c r="AC60" s="46"/>
      <c r="AD60" s="46"/>
    </row>
    <row r="61" spans="1:30" x14ac:dyDescent="0.25">
      <c r="A61" s="50"/>
      <c r="B61" s="48"/>
      <c r="C61" s="48"/>
      <c r="D61" s="50"/>
      <c r="E61" s="48"/>
      <c r="F61" s="48"/>
      <c r="G61" s="52"/>
      <c r="H61" s="48"/>
      <c r="I61" s="52"/>
      <c r="J61" s="48"/>
      <c r="K61" s="243" t="s">
        <v>22</v>
      </c>
      <c r="L61" s="243">
        <f>L60</f>
        <v>20.833333333333332</v>
      </c>
      <c r="M61" s="50"/>
      <c r="N61" s="243" t="s">
        <v>22</v>
      </c>
      <c r="O61" s="243">
        <f>O60</f>
        <v>41.666666666666664</v>
      </c>
      <c r="P61" s="50"/>
      <c r="Q61" s="50"/>
      <c r="R61" s="50"/>
      <c r="S61" s="50"/>
      <c r="T61" s="48"/>
      <c r="U61" s="48"/>
      <c r="V61" s="48"/>
      <c r="W61" s="52"/>
      <c r="X61" s="48"/>
      <c r="Y61" s="48"/>
      <c r="Z61" s="50"/>
      <c r="AA61" s="46"/>
      <c r="AB61" s="46"/>
      <c r="AC61" s="46"/>
      <c r="AD61" s="46"/>
    </row>
    <row r="62" spans="1:30" x14ac:dyDescent="0.25">
      <c r="A62" s="202"/>
      <c r="B62" s="83"/>
      <c r="C62" s="83"/>
      <c r="D62" s="81"/>
      <c r="E62" s="83"/>
      <c r="F62" s="83"/>
      <c r="G62" s="84"/>
      <c r="H62" s="83"/>
      <c r="I62" s="84"/>
      <c r="J62" s="83"/>
      <c r="K62" s="84"/>
      <c r="L62" s="84"/>
      <c r="M62" s="83"/>
      <c r="N62" s="83"/>
      <c r="O62" s="84"/>
      <c r="P62" s="83"/>
      <c r="Q62" s="84"/>
      <c r="R62" s="205"/>
      <c r="S62" s="84"/>
      <c r="T62" s="254"/>
      <c r="U62" s="84"/>
      <c r="V62" s="84"/>
      <c r="W62" s="84"/>
      <c r="X62" s="83"/>
      <c r="Y62" s="207"/>
      <c r="Z62" s="81"/>
      <c r="AA62" s="46"/>
      <c r="AB62" s="46"/>
      <c r="AC62" s="46"/>
      <c r="AD62" s="46"/>
    </row>
    <row r="63" spans="1:30" x14ac:dyDescent="0.25">
      <c r="A63" s="46"/>
      <c r="B63" s="64"/>
      <c r="C63" s="64"/>
      <c r="D63" s="46"/>
      <c r="E63" s="64"/>
      <c r="F63" s="64"/>
      <c r="G63" s="101">
        <f>SUM(G14:G62)</f>
        <v>101823.6683605</v>
      </c>
      <c r="H63" s="64"/>
      <c r="I63" s="91">
        <f>SUM(I14:I62)</f>
        <v>21790.28</v>
      </c>
      <c r="J63" s="64"/>
      <c r="K63" s="46"/>
      <c r="L63" s="211">
        <f>SUM(L14:L62)</f>
        <v>24999.528266666664</v>
      </c>
      <c r="M63" s="46"/>
      <c r="N63" s="64"/>
      <c r="O63" s="94">
        <f>SUM(O14:O62)</f>
        <v>12119.830066666666</v>
      </c>
      <c r="P63" s="46"/>
      <c r="Q63" s="7">
        <f>SUM(Q14:Q62)</f>
        <v>6059.914999933334</v>
      </c>
      <c r="R63" s="46"/>
      <c r="S63" s="101">
        <f>SUM(S14:S62)</f>
        <v>51884.161818181827</v>
      </c>
      <c r="T63" s="255">
        <f>SUM(T14:T62)</f>
        <v>26689.245777945209</v>
      </c>
      <c r="U63" s="228">
        <f>SUM(U14:U62)</f>
        <v>36388.49</v>
      </c>
      <c r="V63" s="101">
        <v>0</v>
      </c>
      <c r="W63" s="101">
        <f>SUM(W14:W62)</f>
        <v>64629.86</v>
      </c>
      <c r="X63" s="64"/>
      <c r="Y63" s="64"/>
      <c r="Z63" s="46"/>
      <c r="AA63" s="46"/>
      <c r="AB63" s="46"/>
      <c r="AC63" s="46"/>
      <c r="AD63" s="46"/>
    </row>
    <row r="64" spans="1:30" x14ac:dyDescent="0.25">
      <c r="A64" s="46"/>
      <c r="B64" s="64"/>
      <c r="C64" s="64"/>
      <c r="D64" s="46"/>
      <c r="E64" s="64"/>
      <c r="F64" s="64"/>
      <c r="G64" s="101"/>
      <c r="H64" s="64"/>
      <c r="I64" s="101"/>
      <c r="J64" s="64"/>
      <c r="K64" s="46"/>
      <c r="L64" s="46"/>
      <c r="M64" s="46"/>
      <c r="N64" s="64"/>
      <c r="O64" s="64"/>
      <c r="P64" s="46"/>
      <c r="Q64" s="46"/>
      <c r="R64" s="46"/>
      <c r="S64" s="100"/>
      <c r="T64" s="64"/>
      <c r="U64" s="229">
        <f>I63</f>
        <v>21790.28</v>
      </c>
      <c r="V64" s="64"/>
      <c r="W64" s="101"/>
      <c r="X64" s="64"/>
      <c r="Y64" s="64"/>
      <c r="Z64" s="46"/>
      <c r="AA64" s="46"/>
      <c r="AB64" s="46"/>
      <c r="AC64" s="46"/>
      <c r="AD64" s="46"/>
    </row>
    <row r="65" spans="1:30" x14ac:dyDescent="0.25">
      <c r="A65" s="46"/>
      <c r="B65" s="64"/>
      <c r="C65" s="64"/>
      <c r="D65" s="144" t="s">
        <v>60</v>
      </c>
      <c r="E65" s="64"/>
      <c r="F65" s="64"/>
      <c r="G65" s="101"/>
      <c r="H65" s="64"/>
      <c r="I65" s="101"/>
      <c r="J65" s="64"/>
      <c r="K65" s="46"/>
      <c r="L65" s="64"/>
      <c r="M65" s="64"/>
      <c r="N65" s="64"/>
      <c r="O65" s="64"/>
      <c r="P65" s="64"/>
      <c r="Q65" s="237"/>
      <c r="R65" s="64"/>
      <c r="S65" s="64"/>
      <c r="T65" s="64"/>
      <c r="U65" s="64"/>
      <c r="V65" s="64"/>
      <c r="W65" s="101"/>
      <c r="X65" s="64"/>
      <c r="Y65" s="64"/>
      <c r="Z65" s="64"/>
      <c r="AA65" s="64"/>
      <c r="AB65" s="46"/>
      <c r="AC65" s="46"/>
      <c r="AD65" s="46"/>
    </row>
    <row r="66" spans="1:30" x14ac:dyDescent="0.25">
      <c r="A66" s="35" t="s">
        <v>62</v>
      </c>
      <c r="B66" s="36" t="s">
        <v>7</v>
      </c>
      <c r="C66" s="36" t="s">
        <v>8</v>
      </c>
      <c r="D66" s="37" t="s">
        <v>9</v>
      </c>
      <c r="E66" s="39" t="s">
        <v>33</v>
      </c>
      <c r="F66" s="37" t="s">
        <v>10</v>
      </c>
      <c r="G66" s="39" t="s">
        <v>11</v>
      </c>
      <c r="H66" s="39" t="s">
        <v>35</v>
      </c>
      <c r="I66" s="40" t="s">
        <v>12</v>
      </c>
      <c r="J66" s="39" t="s">
        <v>13</v>
      </c>
      <c r="K66" s="24" t="s">
        <v>14</v>
      </c>
      <c r="L66" s="25">
        <v>0.1666</v>
      </c>
      <c r="M66" s="25"/>
      <c r="N66" s="14" t="s">
        <v>15</v>
      </c>
      <c r="O66" s="15">
        <v>0.33339999999999997</v>
      </c>
      <c r="P66" s="33">
        <v>0.1666666</v>
      </c>
      <c r="Q66" s="28" t="s">
        <v>29</v>
      </c>
      <c r="R66" s="19" t="s">
        <v>3</v>
      </c>
      <c r="S66" s="19"/>
      <c r="T66" s="16">
        <f>O66</f>
        <v>0.33339999999999997</v>
      </c>
      <c r="U66" s="17">
        <v>1</v>
      </c>
      <c r="V66" s="18" t="s">
        <v>16</v>
      </c>
      <c r="W66" s="22" t="s">
        <v>17</v>
      </c>
      <c r="X66" s="23" t="s">
        <v>18</v>
      </c>
      <c r="Y66" s="23" t="s">
        <v>19</v>
      </c>
      <c r="Z66" s="23" t="s">
        <v>39</v>
      </c>
      <c r="AA66" s="64"/>
      <c r="AB66" s="46"/>
      <c r="AC66" s="46"/>
      <c r="AD66" s="46"/>
    </row>
    <row r="67" spans="1:30" x14ac:dyDescent="0.25">
      <c r="A67" s="47">
        <v>45622</v>
      </c>
      <c r="B67" s="48">
        <v>1</v>
      </c>
      <c r="C67" s="53" t="s">
        <v>56</v>
      </c>
      <c r="D67" s="50" t="s">
        <v>52</v>
      </c>
      <c r="E67" s="48" t="str">
        <f>E24</f>
        <v>CIVIL</v>
      </c>
      <c r="F67" s="48" t="s">
        <v>53</v>
      </c>
      <c r="G67" s="52" t="s">
        <v>54</v>
      </c>
      <c r="H67" s="48" t="s">
        <v>55</v>
      </c>
      <c r="I67" s="52">
        <v>0</v>
      </c>
      <c r="J67" s="53" t="s">
        <v>64</v>
      </c>
      <c r="K67" s="54" t="s">
        <v>23</v>
      </c>
      <c r="L67" s="55">
        <f>I67*L2</f>
        <v>0</v>
      </c>
      <c r="M67" s="55"/>
      <c r="N67" s="56" t="s">
        <v>27</v>
      </c>
      <c r="O67" s="57">
        <f>I67/3</f>
        <v>0</v>
      </c>
      <c r="P67" s="58">
        <f>L67</f>
        <v>0</v>
      </c>
      <c r="Q67" s="59">
        <f>Q2/10</f>
        <v>1.6666666666666666E-2</v>
      </c>
      <c r="R67" s="52">
        <f>I67*Q67</f>
        <v>0</v>
      </c>
      <c r="S67" s="52"/>
      <c r="T67" s="60">
        <f>O67</f>
        <v>0</v>
      </c>
      <c r="U67" s="61">
        <f>L67+O67+P67+T67</f>
        <v>0</v>
      </c>
      <c r="V67" s="52">
        <f>I67-U67</f>
        <v>0</v>
      </c>
      <c r="W67" s="52" t="s">
        <v>58</v>
      </c>
      <c r="X67" s="48" t="s">
        <v>67</v>
      </c>
      <c r="Y67" s="62">
        <v>45627</v>
      </c>
      <c r="Z67" s="48" t="s">
        <v>57</v>
      </c>
      <c r="AA67" s="64"/>
      <c r="AB67" s="46"/>
      <c r="AC67" s="46"/>
      <c r="AD67" s="46"/>
    </row>
    <row r="68" spans="1:30" x14ac:dyDescent="0.25">
      <c r="A68" s="47">
        <v>45639</v>
      </c>
      <c r="B68" s="48">
        <v>2</v>
      </c>
      <c r="C68" s="53" t="s">
        <v>56</v>
      </c>
      <c r="D68" s="50" t="s">
        <v>68</v>
      </c>
      <c r="E68" s="48" t="s">
        <v>43</v>
      </c>
      <c r="F68" s="48" t="s">
        <v>69</v>
      </c>
      <c r="G68" s="52" t="s">
        <v>54</v>
      </c>
      <c r="H68" s="48" t="s">
        <v>55</v>
      </c>
      <c r="I68" s="52">
        <v>0</v>
      </c>
      <c r="J68" s="53" t="s">
        <v>64</v>
      </c>
      <c r="K68" s="56" t="s">
        <v>27</v>
      </c>
      <c r="L68" s="57">
        <f>I68*L66</f>
        <v>0</v>
      </c>
      <c r="M68" s="57"/>
      <c r="N68" s="56" t="s">
        <v>27</v>
      </c>
      <c r="O68" s="57">
        <f>I68/3/2</f>
        <v>0</v>
      </c>
      <c r="P68" s="58">
        <f>I68*P66</f>
        <v>0</v>
      </c>
      <c r="Q68" s="59">
        <f>Q67</f>
        <v>1.6666666666666666E-2</v>
      </c>
      <c r="R68" s="52">
        <f>P68*Q68</f>
        <v>0</v>
      </c>
      <c r="S68" s="52"/>
      <c r="T68" s="60">
        <f>I68*T66</f>
        <v>0</v>
      </c>
      <c r="U68" s="61">
        <f>L68+O68+P68+T68</f>
        <v>0</v>
      </c>
      <c r="V68" s="52">
        <f>I68-U68</f>
        <v>0</v>
      </c>
      <c r="W68" s="52" t="s">
        <v>58</v>
      </c>
      <c r="X68" s="48" t="s">
        <v>67</v>
      </c>
      <c r="Y68" s="62">
        <v>45627</v>
      </c>
      <c r="Z68" s="48" t="s">
        <v>70</v>
      </c>
      <c r="AA68" s="64"/>
      <c r="AB68" s="46"/>
      <c r="AC68" s="46"/>
      <c r="AD68" s="46"/>
    </row>
    <row r="69" spans="1:30" x14ac:dyDescent="0.25">
      <c r="A69" s="46"/>
      <c r="B69" s="64"/>
      <c r="C69" s="64"/>
      <c r="D69" s="45"/>
      <c r="E69" s="64"/>
      <c r="F69" s="64"/>
      <c r="G69" s="101"/>
      <c r="H69" s="64"/>
      <c r="I69" s="101"/>
      <c r="J69" s="64"/>
      <c r="K69" s="46"/>
      <c r="L69" s="64"/>
      <c r="M69" s="64"/>
      <c r="N69" s="111" t="s">
        <v>30</v>
      </c>
      <c r="O69" s="145">
        <f>O68</f>
        <v>0</v>
      </c>
      <c r="P69" s="64"/>
      <c r="Q69" s="102"/>
      <c r="R69" s="64"/>
      <c r="S69" s="64"/>
      <c r="T69" s="64"/>
      <c r="U69" s="64"/>
      <c r="V69" s="64"/>
      <c r="W69" s="101"/>
      <c r="X69" s="64"/>
      <c r="Y69" s="64"/>
      <c r="Z69" s="64"/>
      <c r="AA69" s="64"/>
      <c r="AB69" s="46"/>
      <c r="AC69" s="46"/>
      <c r="AD69" s="46"/>
    </row>
    <row r="70" spans="1:30" x14ac:dyDescent="0.25">
      <c r="A70" s="47">
        <v>45685</v>
      </c>
      <c r="B70" s="48">
        <v>3</v>
      </c>
      <c r="C70" s="53" t="s">
        <v>56</v>
      </c>
      <c r="D70" s="50" t="s">
        <v>108</v>
      </c>
      <c r="E70" s="48" t="s">
        <v>43</v>
      </c>
      <c r="F70" s="48" t="s">
        <v>109</v>
      </c>
      <c r="G70" s="52" t="s">
        <v>54</v>
      </c>
      <c r="H70" s="48" t="s">
        <v>55</v>
      </c>
      <c r="I70" s="52">
        <v>0</v>
      </c>
      <c r="J70" s="53" t="s">
        <v>64</v>
      </c>
      <c r="K70" s="56" t="s">
        <v>27</v>
      </c>
      <c r="L70" s="57">
        <f>I70*L68</f>
        <v>0</v>
      </c>
      <c r="M70" s="57"/>
      <c r="N70" s="56" t="s">
        <v>27</v>
      </c>
      <c r="O70" s="57">
        <f>I70/3/2</f>
        <v>0</v>
      </c>
      <c r="P70" s="58">
        <f>I70*P68</f>
        <v>0</v>
      </c>
      <c r="Q70" s="59">
        <f>Q69</f>
        <v>0</v>
      </c>
      <c r="R70" s="52">
        <f>P70*Q70</f>
        <v>0</v>
      </c>
      <c r="S70" s="52"/>
      <c r="T70" s="60">
        <f>I70*T68</f>
        <v>0</v>
      </c>
      <c r="U70" s="61">
        <f>L70+O70+P70+T70</f>
        <v>0</v>
      </c>
      <c r="V70" s="52">
        <f>I70-U70</f>
        <v>0</v>
      </c>
      <c r="W70" s="52" t="s">
        <v>58</v>
      </c>
      <c r="X70" s="48" t="s">
        <v>67</v>
      </c>
      <c r="Y70" s="62">
        <v>45627</v>
      </c>
      <c r="Z70" s="48" t="s">
        <v>70</v>
      </c>
      <c r="AA70" s="64"/>
      <c r="AB70" s="46"/>
      <c r="AC70" s="46"/>
      <c r="AD70" s="46"/>
    </row>
    <row r="71" spans="1:30" x14ac:dyDescent="0.25">
      <c r="A71" s="46"/>
      <c r="B71" s="64"/>
      <c r="C71" s="64"/>
      <c r="D71" s="45"/>
      <c r="E71" s="64"/>
      <c r="F71" s="64"/>
      <c r="G71" s="101"/>
      <c r="H71" s="64"/>
      <c r="I71" s="101"/>
      <c r="J71" s="64"/>
      <c r="K71" s="46"/>
      <c r="L71" s="64"/>
      <c r="M71" s="64"/>
      <c r="N71" s="126" t="s">
        <v>21</v>
      </c>
      <c r="O71" s="75">
        <v>0</v>
      </c>
      <c r="P71" s="64"/>
      <c r="Q71" s="102"/>
      <c r="R71" s="64"/>
      <c r="S71" s="64"/>
      <c r="T71" s="64"/>
      <c r="U71" s="64"/>
      <c r="V71" s="64"/>
      <c r="W71" s="101"/>
      <c r="X71" s="64"/>
      <c r="Y71" s="64"/>
      <c r="Z71" s="64"/>
      <c r="AA71" s="64"/>
      <c r="AB71" s="46"/>
      <c r="AC71" s="46"/>
      <c r="AD71" s="46"/>
    </row>
    <row r="72" spans="1:30" x14ac:dyDescent="0.25">
      <c r="A72" s="47">
        <v>45712</v>
      </c>
      <c r="B72" s="48">
        <v>4</v>
      </c>
      <c r="C72" s="47" t="s">
        <v>56</v>
      </c>
      <c r="D72" s="50" t="s">
        <v>143</v>
      </c>
      <c r="E72" s="48" t="e">
        <f>#REF!</f>
        <v>#REF!</v>
      </c>
      <c r="F72" s="48" t="s">
        <v>144</v>
      </c>
      <c r="G72" s="245">
        <v>759</v>
      </c>
      <c r="H72" s="244" t="s">
        <v>178</v>
      </c>
      <c r="I72" s="160">
        <v>759</v>
      </c>
      <c r="J72" s="53" t="s">
        <v>120</v>
      </c>
      <c r="K72" s="223" t="s">
        <v>23</v>
      </c>
      <c r="L72" s="224">
        <f>I72*L2</f>
        <v>126.5</v>
      </c>
      <c r="M72" s="225" t="s">
        <v>79</v>
      </c>
      <c r="N72" s="234" t="s">
        <v>27</v>
      </c>
      <c r="O72" s="57">
        <f>I72*O2</f>
        <v>253</v>
      </c>
      <c r="P72" s="72">
        <v>1</v>
      </c>
      <c r="Q72" s="58">
        <f>I72*Q2</f>
        <v>126.5</v>
      </c>
      <c r="R72" s="59">
        <f>Q2/11</f>
        <v>1.515151515151515E-2</v>
      </c>
      <c r="S72" s="52">
        <f t="shared" ref="S72" si="7">Q72/11</f>
        <v>11.5</v>
      </c>
      <c r="T72" s="60">
        <f>I72/3</f>
        <v>253</v>
      </c>
      <c r="U72" s="226">
        <f>L72+O72+Q72+T72</f>
        <v>759</v>
      </c>
      <c r="V72" s="52">
        <f t="shared" ref="V72" si="8">I72-U72</f>
        <v>0</v>
      </c>
      <c r="W72" s="52" t="s">
        <v>145</v>
      </c>
      <c r="X72" s="48" t="s">
        <v>145</v>
      </c>
      <c r="Y72" s="62">
        <f>Y12</f>
        <v>0</v>
      </c>
      <c r="Z72" s="48"/>
      <c r="AA72" s="46"/>
      <c r="AB72" s="46"/>
      <c r="AC72" s="46"/>
      <c r="AD72" s="46"/>
    </row>
    <row r="73" spans="1:30" x14ac:dyDescent="0.25">
      <c r="A73" s="46"/>
      <c r="B73" s="64"/>
      <c r="C73" s="64"/>
      <c r="D73" s="46"/>
      <c r="E73" s="64"/>
      <c r="F73" s="64"/>
      <c r="G73" s="101"/>
      <c r="H73" s="64"/>
      <c r="I73" s="101"/>
      <c r="J73" s="64"/>
      <c r="K73" s="46"/>
      <c r="L73" s="64"/>
      <c r="M73" s="64"/>
      <c r="N73" s="64"/>
      <c r="O73" s="64"/>
      <c r="P73" s="64"/>
      <c r="Q73" s="102"/>
      <c r="R73" s="64"/>
      <c r="S73" s="64"/>
      <c r="T73" s="64"/>
      <c r="U73" s="64"/>
      <c r="V73" s="64"/>
      <c r="W73" s="101"/>
      <c r="X73" s="64"/>
      <c r="Y73" s="64"/>
      <c r="Z73" s="64"/>
      <c r="AA73" s="64"/>
      <c r="AB73" s="46"/>
      <c r="AC73" s="46"/>
      <c r="AD73" s="46"/>
    </row>
    <row r="74" spans="1:30" x14ac:dyDescent="0.25">
      <c r="A74" s="46"/>
      <c r="B74" s="64"/>
      <c r="C74" s="64"/>
      <c r="D74" s="46"/>
      <c r="E74" s="64"/>
      <c r="F74" s="64"/>
      <c r="G74" s="101"/>
      <c r="H74" s="64"/>
      <c r="I74" s="101"/>
      <c r="J74" s="64"/>
      <c r="K74" s="46"/>
      <c r="L74" s="46"/>
      <c r="M74" s="46"/>
      <c r="N74" s="64"/>
      <c r="O74" s="64"/>
      <c r="P74" s="46"/>
      <c r="Q74" s="46"/>
      <c r="R74" s="46"/>
      <c r="S74" s="46"/>
      <c r="T74" s="64"/>
      <c r="U74" s="64"/>
      <c r="V74" s="64"/>
      <c r="W74" s="101"/>
      <c r="X74" s="64"/>
      <c r="Y74" s="64"/>
      <c r="Z74" s="46"/>
      <c r="AA74" s="46"/>
      <c r="AB74" s="46"/>
      <c r="AC74" s="46"/>
      <c r="AD74" s="46"/>
    </row>
    <row r="75" spans="1:30" x14ac:dyDescent="0.25">
      <c r="A75" s="46"/>
      <c r="B75" s="64"/>
      <c r="C75" s="64"/>
      <c r="D75" s="46"/>
      <c r="E75" s="64"/>
      <c r="F75" s="64"/>
      <c r="G75" s="101"/>
      <c r="H75" s="64"/>
      <c r="I75" s="101"/>
      <c r="J75" s="64"/>
      <c r="K75" s="46"/>
      <c r="L75" s="46"/>
      <c r="M75" s="46"/>
      <c r="N75" s="64"/>
      <c r="O75" s="64"/>
      <c r="P75" s="46"/>
      <c r="Q75" s="46"/>
      <c r="R75" s="46"/>
      <c r="S75" s="46"/>
      <c r="T75" s="64"/>
      <c r="U75" s="64"/>
      <c r="V75" s="64"/>
      <c r="W75" s="101"/>
      <c r="X75" s="64"/>
      <c r="Y75" s="64"/>
      <c r="Z75" s="46"/>
      <c r="AA75" s="46"/>
      <c r="AB75" s="46"/>
      <c r="AC75" s="46"/>
      <c r="AD75" s="46"/>
    </row>
    <row r="76" spans="1:30" x14ac:dyDescent="0.25">
      <c r="A76" s="46"/>
      <c r="B76" s="64"/>
      <c r="C76" s="64"/>
      <c r="D76" s="46"/>
      <c r="E76" s="64"/>
      <c r="F76" s="64"/>
      <c r="G76" s="101"/>
      <c r="H76" s="64"/>
      <c r="I76" s="101"/>
      <c r="J76" s="64"/>
      <c r="K76" s="46"/>
      <c r="L76" s="46"/>
      <c r="M76" s="46"/>
      <c r="N76" s="64"/>
      <c r="O76" s="64"/>
      <c r="P76" s="46"/>
      <c r="Q76" s="46"/>
      <c r="R76" s="46"/>
      <c r="S76" s="46"/>
      <c r="T76" s="64"/>
      <c r="U76" s="64"/>
      <c r="V76" s="64"/>
      <c r="W76" s="101"/>
      <c r="X76" s="64"/>
      <c r="Y76" s="64"/>
      <c r="Z76" s="46"/>
      <c r="AA76" s="46"/>
      <c r="AB76" s="46"/>
      <c r="AC76" s="46"/>
      <c r="AD76" s="46"/>
    </row>
  </sheetData>
  <hyperlinks>
    <hyperlink ref="A1" r:id="rId1" xr:uid="{FD99F06D-BC6F-4D85-B17E-0DA00F74EDF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RECEITAS JANEIRO</vt:lpstr>
      <vt:lpstr>RECEITAS FEVEREIRO</vt:lpstr>
      <vt:lpstr>RECEITAS 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2024-11-07T22:35:39Z</dcterms:created>
  <dcterms:modified xsi:type="dcterms:W3CDTF">2025-04-04T13:34:54Z</dcterms:modified>
</cp:coreProperties>
</file>