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firstSheet="1" activeTab="2"/>
  </bookViews>
  <sheets>
    <sheet name="RECEITAS JANEIRO" sheetId="1" r:id="rId1"/>
    <sheet name="RECEITAS FEVEREIRO" sheetId="2" r:id="rId2"/>
    <sheet name="RECEITAS MARÇ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<sst xmlns="http://schemas.openxmlformats.org/spreadsheetml/2006/main" count="1105" uniqueCount="236">
  <si>
    <t>MENU PRINCIPAL</t>
  </si>
  <si>
    <t>RECEBIMENTOS</t>
  </si>
  <si>
    <t>CASH BACK</t>
  </si>
  <si>
    <t>PARCEIROS</t>
  </si>
  <si>
    <t xml:space="preserve">ESCRITÓRIO </t>
  </si>
  <si>
    <t>SOMATÓRIA</t>
  </si>
  <si>
    <t>DATA PAGTO</t>
  </si>
  <si>
    <t>NUM.PAG.</t>
  </si>
  <si>
    <t>POSIÇÃO</t>
  </si>
  <si>
    <t>CLIENTE</t>
  </si>
  <si>
    <t>NÚCLEO DE ATIVIDADE</t>
  </si>
  <si>
    <t xml:space="preserve">DESCRIÇÃO DOS SERVIÇOS </t>
  </si>
  <si>
    <t>VALOR CONTRATO</t>
  </si>
  <si>
    <t>FORMA DE PAGAMENTO</t>
  </si>
  <si>
    <t>VALOR RECEBIDO</t>
  </si>
  <si>
    <t>FORMA PAGTO</t>
  </si>
  <si>
    <t xml:space="preserve">CAPTAÇÃO  </t>
  </si>
  <si>
    <t>EQUIPES</t>
  </si>
  <si>
    <t>ATUAÇÃO TÉCNICA</t>
  </si>
  <si>
    <t>%</t>
  </si>
  <si>
    <t>VALOR</t>
  </si>
  <si>
    <t>CONFERENCIA</t>
  </si>
  <si>
    <t>SALDO A RECEBER</t>
  </si>
  <si>
    <t>PARCELA</t>
  </si>
  <si>
    <t>CONTRATO</t>
  </si>
  <si>
    <t>OBSERVAÇÕES</t>
  </si>
  <si>
    <t>RECEBIDO</t>
  </si>
  <si>
    <t>JAILSON JÚNIOR DOS SANTOS BARBOSA</t>
  </si>
  <si>
    <t>FAMÍLIA E SUCESSÕES</t>
  </si>
  <si>
    <t>DIVÓRCIO CONSENSUAL</t>
  </si>
  <si>
    <t>ENTRADA R$2.000,00 + 6 X R$250,00</t>
  </si>
  <si>
    <t>DR THIAGO</t>
  </si>
  <si>
    <t>DR. JORGE</t>
  </si>
  <si>
    <t>GESTÃO</t>
  </si>
  <si>
    <t>DR. THIAGO</t>
  </si>
  <si>
    <t>ENTRADA</t>
  </si>
  <si>
    <t>ALÍCIA DE SOUZA REICHE</t>
  </si>
  <si>
    <t>CIVIL</t>
  </si>
  <si>
    <t>CONSULTA</t>
  </si>
  <si>
    <t>PARCELA ÚNICA</t>
  </si>
  <si>
    <t>PIX JSPJ</t>
  </si>
  <si>
    <t>AÇÃO ANUL. EXEC. DE IMÓVEL C/C DANOS MORAIS</t>
  </si>
  <si>
    <t>ENTRADA R$1.500,00 + 5 X R$250,00</t>
  </si>
  <si>
    <t>ALMIR CORNELIO DE SOUZA</t>
  </si>
  <si>
    <t>RESC. CONTRATUAL C.C TUTELA URGENCIA</t>
  </si>
  <si>
    <t>8 X R$500,00</t>
  </si>
  <si>
    <t>DR. JÉTER</t>
  </si>
  <si>
    <t>01 DE 08</t>
  </si>
  <si>
    <t>DRA. PAULA</t>
  </si>
  <si>
    <t>GLAUCIA CRISTINA BARROS SANTOS</t>
  </si>
  <si>
    <t xml:space="preserve">TRABALHISTA </t>
  </si>
  <si>
    <t>ACORDO RECLAMAÇÃO TRABALHISTA</t>
  </si>
  <si>
    <t>ÚNICA</t>
  </si>
  <si>
    <t>ATEND. 17/12/2024</t>
  </si>
  <si>
    <t>LÚCIA</t>
  </si>
  <si>
    <t>02 DE 08</t>
  </si>
  <si>
    <t>VANILZA BARRETO</t>
  </si>
  <si>
    <t>EXTRA-JUDICIAL</t>
  </si>
  <si>
    <t>RECURSO ADM. DETRAN/AP -  SUSPENSÃO CNH</t>
  </si>
  <si>
    <t>CARTÃO DÉBITO</t>
  </si>
  <si>
    <t>WANESSA RODRIGUES DE MELO</t>
  </si>
  <si>
    <t>RIQUELME RODRIGUES NERIS SIDONI</t>
  </si>
  <si>
    <t>RECURSO ADM. DETRAN/AP -  MULTA EXCESSO VELOCIDADE</t>
  </si>
  <si>
    <t>JANE CRISTINA LANDI</t>
  </si>
  <si>
    <t>CONSULTA /  BUSCA E APREENSÃO VEÍCULO</t>
  </si>
  <si>
    <t>PAGOU 150 + 450</t>
  </si>
  <si>
    <t>MARIZILDA L. SOUZA / SULAMITA L. S. ROSIGNAL</t>
  </si>
  <si>
    <t xml:space="preserve">FAMÍLIA </t>
  </si>
  <si>
    <t>CONSULTA / DIVÓRCIO</t>
  </si>
  <si>
    <t>DIANA PEREIRA</t>
  </si>
  <si>
    <t>IMOBILIÁRIO</t>
  </si>
  <si>
    <t>LEILA SANTANA</t>
  </si>
  <si>
    <t>SUCESSÕES</t>
  </si>
  <si>
    <t>CONSULTA / INVENTÁRIO</t>
  </si>
  <si>
    <t>BOLETO PJ ITAÚ</t>
  </si>
  <si>
    <t>PARC. 01 DE 06</t>
  </si>
  <si>
    <t>MARCO GAIOLA</t>
  </si>
  <si>
    <t>LUAN GETÚLIO ANDRADE / GABRIELA</t>
  </si>
  <si>
    <t>REPASSES</t>
  </si>
  <si>
    <t>RESULTADOS</t>
  </si>
  <si>
    <t>PERCENTUAIS</t>
  </si>
  <si>
    <t>METAS CAPT.</t>
  </si>
  <si>
    <t>STATUS</t>
  </si>
  <si>
    <t>DR. JOÃO</t>
  </si>
  <si>
    <t>AGUARDANDO</t>
  </si>
  <si>
    <t>REC. R$2.000,00 CLIENTE JAILSON</t>
  </si>
  <si>
    <t>DRA. DANIELA</t>
  </si>
  <si>
    <t>REPASSADO</t>
  </si>
  <si>
    <t>DRA. ISABEL</t>
  </si>
  <si>
    <t>DRA. SANDRA</t>
  </si>
  <si>
    <t>DRA. TAÍZA</t>
  </si>
  <si>
    <t>TOTAL 1</t>
  </si>
  <si>
    <t>TOTAL PARCEIROS</t>
  </si>
  <si>
    <t>TOT. EQUIPES</t>
  </si>
  <si>
    <t>KAMILY</t>
  </si>
  <si>
    <t>AUXILIARES TÉC.</t>
  </si>
  <si>
    <t>SEM REPASSE</t>
  </si>
  <si>
    <t xml:space="preserve">BRUNA </t>
  </si>
  <si>
    <t>TOTAL GERAL</t>
  </si>
  <si>
    <t>PROCESSOS PRÓ-EXITO</t>
  </si>
  <si>
    <t>DATA CONTRATO</t>
  </si>
  <si>
    <t>NAYARA ALANA CAMPOS CAVALARI</t>
  </si>
  <si>
    <t>AÇÃO DECL. NULIDADE NEG. JURÍDICO</t>
  </si>
  <si>
    <t>PRÓ EXITO 30%</t>
  </si>
  <si>
    <t>PRO EXITO</t>
  </si>
  <si>
    <t>PRÓ EXITO</t>
  </si>
  <si>
    <t>ATEND. 26/11/2024</t>
  </si>
  <si>
    <t>LUCILENE AP. VAZ DA SILVA</t>
  </si>
  <si>
    <t>AÇÃO DE IND. DANOS MATERIAIS E MORAIS</t>
  </si>
  <si>
    <t>ATEND. 13/12/2024</t>
  </si>
  <si>
    <t>ALEXANDRO BARBOSA ROCETTI</t>
  </si>
  <si>
    <t>AÇÃO DE IND. DANOS MATERIAIS / NEGATIVA SEGURADORA</t>
  </si>
  <si>
    <t>META ANUAL</t>
  </si>
  <si>
    <t>META MENSAL</t>
  </si>
  <si>
    <t>RESULTADO</t>
  </si>
  <si>
    <t>MARIA NILZA ROMERO</t>
  </si>
  <si>
    <t>CONSULTA INVENTÁRIO</t>
  </si>
  <si>
    <t>PIX  PJ BB</t>
  </si>
  <si>
    <t>SULAMITA LEITE SIQUEIRA ROSIGNAL</t>
  </si>
  <si>
    <t>FAMÍLIA</t>
  </si>
  <si>
    <t xml:space="preserve">AÇÃO DE DIVÓRCIO C.C. GUARDA, VISITAS, ALIMENTOS </t>
  </si>
  <si>
    <t>PARC. 30% PENSÃO ALIM.</t>
  </si>
  <si>
    <t>PIX  PJ ITAÚ</t>
  </si>
  <si>
    <t>JÉTER</t>
  </si>
  <si>
    <t>PARCELA 01</t>
  </si>
  <si>
    <t>MAITANY RODRIGUES HERICHS CHAVES</t>
  </si>
  <si>
    <t>EMPRESARIAL</t>
  </si>
  <si>
    <t>ALTERAÇÃO CONTRATO SOCIAL</t>
  </si>
  <si>
    <t>PAGTO ANDERSON CHAVES</t>
  </si>
  <si>
    <t>MIRIAM CRISTINA DA SILVA</t>
  </si>
  <si>
    <t>TRABALHISTA</t>
  </si>
  <si>
    <t xml:space="preserve">CONSULTA </t>
  </si>
  <si>
    <t>ADEMAR LUIS SCARAZZATTI</t>
  </si>
  <si>
    <t>TRABALHISTA/P.A.D</t>
  </si>
  <si>
    <t>DEFESA PROC. ADM. DISCIPLINAR / DAE SOB</t>
  </si>
  <si>
    <t>12 X R$500,00</t>
  </si>
  <si>
    <t>01 DE 12</t>
  </si>
  <si>
    <t>ELISANGELA INOCÊNCIO ALCÂNTARA</t>
  </si>
  <si>
    <t>CUMPRIMENTO DE SENTENÇA</t>
  </si>
  <si>
    <t>10 X R$100,00</t>
  </si>
  <si>
    <t>01 DE 10</t>
  </si>
  <si>
    <t>LUAN GETÚLIO ANDRADE</t>
  </si>
  <si>
    <t>DEFESA ACIDENTE TRANSITO</t>
  </si>
  <si>
    <t>1/2 S.M ENTRDA + 30% PRÓ-EXITO</t>
  </si>
  <si>
    <t>?</t>
  </si>
  <si>
    <t>VALDICE MACHADO OLIVEIRA SALUSTRIANO</t>
  </si>
  <si>
    <t>DINHEIRO / BRUNA</t>
  </si>
  <si>
    <t>VALDICE MACHADO DE OLIVEIRA SALUSTRIANO</t>
  </si>
  <si>
    <t>03 DE 08</t>
  </si>
  <si>
    <t>MARCO ANTONIO GAIOLA ALVES</t>
  </si>
  <si>
    <t>EXTRAJUDICIAL</t>
  </si>
  <si>
    <t>CONTRATO DE VENDA E COMPRA DE IMÓVEL RURAL</t>
  </si>
  <si>
    <t>S/C</t>
  </si>
  <si>
    <t>VANDERLEI CARLOS</t>
  </si>
  <si>
    <t>PREVIDENCIÁRIO</t>
  </si>
  <si>
    <t>PLANEJAMENTO PREVIDENCIÁRIO</t>
  </si>
  <si>
    <t>6 X R$250,00</t>
  </si>
  <si>
    <t>01 DE 06</t>
  </si>
  <si>
    <t xml:space="preserve"> AGUARDANDO</t>
  </si>
  <si>
    <t>ASSOCIAÇÃO TEMBÉ</t>
  </si>
  <si>
    <t>ASSESSORIA JURÍDICA</t>
  </si>
  <si>
    <t>12 X R$1200,00</t>
  </si>
  <si>
    <t>PARCELA REF. JANEIRO 2025</t>
  </si>
  <si>
    <t>PARC. 01 DE 05</t>
  </si>
  <si>
    <t>MIRIAN CRISTINA DA SILVA</t>
  </si>
  <si>
    <t>ACORDO EM RECLAMAÇÃO TRABALHISTA</t>
  </si>
  <si>
    <t>CRÉDITO MAYRA</t>
  </si>
  <si>
    <t>VALOR REC. MAQ. DRA ISABEL</t>
  </si>
  <si>
    <t>MARCO AURELIO PERINI ARRUDA</t>
  </si>
  <si>
    <t>RECURSO ADM. DETRAN/AP -  EXCESSO PONTUAÇÃO CNH</t>
  </si>
  <si>
    <t>BENEDITO FERREIRA DE ANDRADE</t>
  </si>
  <si>
    <t>DINHEIRO</t>
  </si>
  <si>
    <t>SIMONE DA SILVA DIAS CABRILANA</t>
  </si>
  <si>
    <t>CRIMINAL</t>
  </si>
  <si>
    <t>02 DE 12</t>
  </si>
  <si>
    <t>PARCELA REF. FEVEREIRO 2025</t>
  </si>
  <si>
    <t>PARCELA 02 DE 06</t>
  </si>
  <si>
    <t>OBSERVAÇÃO</t>
  </si>
  <si>
    <t>O.K</t>
  </si>
  <si>
    <t>DESC. R$319,27</t>
  </si>
  <si>
    <t>CLIENTES MENSALISTAS FEVEREIRO 2025</t>
  </si>
  <si>
    <t>VALOR A PAGAR</t>
  </si>
  <si>
    <t>MARÇO</t>
  </si>
  <si>
    <t>ANÍSIA ROSA LOPES / ORODINO</t>
  </si>
  <si>
    <t>ASS. JUR. PROC. DOAÇÃO IMÓVEIS</t>
  </si>
  <si>
    <t>SALDO P/ DESP. CART.</t>
  </si>
  <si>
    <t>MARCOS ADRIANO DIAS</t>
  </si>
  <si>
    <t>DARIANE DOS SANTOS ALVES</t>
  </si>
  <si>
    <t xml:space="preserve">CUMPRIMENTO DE SENTENÇA DE ALIMENTOS </t>
  </si>
  <si>
    <t>DANIEL MARCOS DE SOUZA REIS / BRUNA</t>
  </si>
  <si>
    <t>LUANA THAIS DA SILVA BOTTON</t>
  </si>
  <si>
    <t>QUEIXA CRIME</t>
  </si>
  <si>
    <t>JÉSSICA HELENA DA SILVA FERREIRA</t>
  </si>
  <si>
    <t>AÇÃO INDENIZATÓRIA / EMPREENDIMENTO IMOBILIÁRIO</t>
  </si>
  <si>
    <t>8 X R$300,00 + 30% PRÓ EXITO</t>
  </si>
  <si>
    <t>PARC 01/08</t>
  </si>
  <si>
    <t>PARC. 02/ 10</t>
  </si>
  <si>
    <t xml:space="preserve">ANA CLAÚDIA </t>
  </si>
  <si>
    <t>CONSULTA /ERRO MÉDICO</t>
  </si>
  <si>
    <t>PARC. 02 / 12</t>
  </si>
  <si>
    <t>SANDRO ROGÉRIO DOS SANTOS</t>
  </si>
  <si>
    <t>PEDIDO EXTINÇÃO PUNIBILIDADE / PRESCRIÇÃO PUNITIVA</t>
  </si>
  <si>
    <t>5 X R$1000,00</t>
  </si>
  <si>
    <t>PARC. O1 / 05</t>
  </si>
  <si>
    <t>PARCELA 02</t>
  </si>
  <si>
    <t>DJANIRA FONTELES BEZERRA DE AZEVEDO</t>
  </si>
  <si>
    <t>AÇÃO DE DIVÓRCIO CONSENSUAL</t>
  </si>
  <si>
    <t>2 X R$1.000,00</t>
  </si>
  <si>
    <t>PARCELA 01 / 02</t>
  </si>
  <si>
    <t>PAG. LUIZ ALVES BEZERRA</t>
  </si>
  <si>
    <t>ANGELICA MOREIRA DA SILVA DE ALMEIDA</t>
  </si>
  <si>
    <t>TELMA MOREIRA CAVALCANTI</t>
  </si>
  <si>
    <t>RICHARD FELIPE HENRIQUE</t>
  </si>
  <si>
    <t>AÇÃO INDENIZATÓRIA / ACIDENTE TRANSITO</t>
  </si>
  <si>
    <t>3 X R$756,00 + 30% PRÓ-EXITO</t>
  </si>
  <si>
    <t>PARC. 01/03 R$756,OO</t>
  </si>
  <si>
    <t>VERA LÚCIA BENVENUTE RAMOS</t>
  </si>
  <si>
    <t>RENAN GOMES MOREIRA</t>
  </si>
  <si>
    <t>ELABORAÇÃO CONTRATO COMPRA E VENDA DE IMÓVEL</t>
  </si>
  <si>
    <t>ELIAS INOCENCIO DA SILVA</t>
  </si>
  <si>
    <t>PARCELA 03 DE 06</t>
  </si>
  <si>
    <t>EXECUÇÃO DE ALIMENTOS</t>
  </si>
  <si>
    <t>ROGERIO DA SILVA SANTOS BISPO</t>
  </si>
  <si>
    <t>PARCELA 03 DE 12</t>
  </si>
  <si>
    <t>BRUNO CARLOS SILVA DE ARAÚJO</t>
  </si>
  <si>
    <t>25 X R$200,00</t>
  </si>
  <si>
    <t>PARCELA 01 DE 25</t>
  </si>
  <si>
    <t>ENTRADA R$1.000,00 + 6 X R$250,00</t>
  </si>
  <si>
    <t>GUSTAVO HENRIQUE FOGAGNOLI BOS</t>
  </si>
  <si>
    <t>META PROPOSTA</t>
  </si>
  <si>
    <t>RECEITA RECEBIDA</t>
  </si>
  <si>
    <t>META NÃO CUMPRIDA</t>
  </si>
  <si>
    <t>ACUMULADO</t>
  </si>
  <si>
    <t>VALORES REPASSADOS</t>
  </si>
  <si>
    <t>CLIENTES MENSALISTAS MARÇO 2025</t>
  </si>
  <si>
    <t>INÍCIO PAGTO 10/04/2025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</si>
</sst>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0.0"/>
  </numFmts>
  <fonts count="31">
    <font>
      <sz val="11"/>
      <color theme="1"/>
      <name val="Calibri"/>
      <charset val="134"/>
      <scheme val="minor"/>
    </font>
    <font>
      <b/>
      <u/>
      <sz val="10"/>
      <name val="Calibri"/>
      <charset val="134"/>
    </font>
    <font>
      <sz val="10"/>
      <color theme="0"/>
      <name val="Calibri"/>
      <charset val="134"/>
      <scheme val="minor"/>
    </font>
    <font>
      <b/>
      <sz val="10"/>
      <color theme="0"/>
      <name val="Calibri"/>
      <charset val="134"/>
    </font>
    <font>
      <sz val="10"/>
      <color theme="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D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"/>
        <bgColor rgb="FF3F3151"/>
      </patternFill>
    </fill>
    <fill>
      <patternFill patternType="solid">
        <fgColor theme="1" tint="0.1498458815271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9C65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48EE3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62626"/>
        <bgColor rgb="FF3F3151"/>
      </patternFill>
    </fill>
    <fill>
      <patternFill patternType="solid">
        <fgColor rgb="FF7030A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rgb="FF80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7" tint="0.399975585192419"/>
        <bgColor rgb="FF00B050"/>
      </patternFill>
    </fill>
    <fill>
      <patternFill patternType="solid">
        <fgColor theme="7" tint="0.399975585192419"/>
        <bgColor rgb="FF3F3151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rgb="FF7030A0"/>
        <bgColor rgb="FF7030A0"/>
      </patternFill>
    </fill>
    <fill>
      <patternFill patternType="solid">
        <fgColor theme="8" tint="0.399822992645039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399975585192419"/>
        <bgColor rgb="FF7030A0"/>
      </patternFill>
    </fill>
    <fill>
      <patternFill patternType="solid">
        <fgColor theme="7" tint="0.399975585192419"/>
        <bgColor rgb="FF009900"/>
      </patternFill>
    </fill>
    <fill>
      <patternFill patternType="solid">
        <fgColor theme="9" tint="0.399822992645039"/>
        <bgColor rgb="FF00B050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62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3" borderId="10" applyNumberFormat="0" applyAlignment="0" applyProtection="0">
      <alignment vertical="center"/>
    </xf>
    <xf numFmtId="0" fontId="21" fillId="64" borderId="11" applyNumberFormat="0" applyAlignment="0" applyProtection="0">
      <alignment vertical="center"/>
    </xf>
    <xf numFmtId="0" fontId="22" fillId="64" borderId="10" applyNumberFormat="0" applyAlignment="0" applyProtection="0">
      <alignment vertical="center"/>
    </xf>
    <xf numFmtId="0" fontId="23" fillId="65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0" fontId="27" fillId="67" borderId="0" applyNumberFormat="0" applyBorder="0" applyAlignment="0" applyProtection="0">
      <alignment vertical="center"/>
    </xf>
    <xf numFmtId="0" fontId="28" fillId="6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29" fillId="7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29" fillId="76" borderId="0" applyNumberFormat="0" applyBorder="0" applyAlignment="0" applyProtection="0">
      <alignment vertical="center"/>
    </xf>
    <xf numFmtId="0" fontId="29" fillId="7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29" fillId="80" borderId="0" applyNumberFormat="0" applyBorder="0" applyAlignment="0" applyProtection="0">
      <alignment vertical="center"/>
    </xf>
    <xf numFmtId="0" fontId="29" fillId="8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5" borderId="0" applyNumberFormat="0" applyBorder="0" applyAlignment="0" applyProtection="0">
      <alignment vertical="center"/>
    </xf>
    <xf numFmtId="0" fontId="30" fillId="8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29" fillId="88" borderId="0" applyNumberFormat="0" applyBorder="0" applyAlignment="0" applyProtection="0">
      <alignment vertical="center"/>
    </xf>
    <xf numFmtId="0" fontId="29" fillId="89" borderId="0" applyNumberFormat="0" applyBorder="0" applyAlignment="0" applyProtection="0">
      <alignment vertical="center"/>
    </xf>
    <xf numFmtId="0" fontId="30" fillId="90" borderId="0" applyNumberFormat="0" applyBorder="0" applyAlignment="0" applyProtection="0">
      <alignment vertical="center"/>
    </xf>
    <xf numFmtId="0" fontId="30" fillId="91" borderId="0" applyNumberFormat="0" applyBorder="0" applyAlignment="0" applyProtection="0">
      <alignment vertical="center"/>
    </xf>
    <xf numFmtId="0" fontId="29" fillId="92" borderId="0" applyNumberFormat="0" applyBorder="0" applyAlignment="0" applyProtection="0">
      <alignment vertical="center"/>
    </xf>
  </cellStyleXfs>
  <cellXfs count="285">
    <xf numFmtId="0" fontId="0" fillId="0" borderId="0" xfId="0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58" fontId="1" fillId="2" borderId="1" xfId="6" applyNumberFormat="1" applyFont="1" applyFill="1" applyBorder="1"/>
    <xf numFmtId="180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58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58" fontId="5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80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0" borderId="0" xfId="0" applyFont="1"/>
    <xf numFmtId="0" fontId="6" fillId="9" borderId="1" xfId="0" applyFont="1" applyFill="1" applyBorder="1" applyAlignment="1">
      <alignment horizontal="center"/>
    </xf>
    <xf numFmtId="18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center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180" fontId="5" fillId="1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center"/>
    </xf>
    <xf numFmtId="0" fontId="5" fillId="13" borderId="1" xfId="0" applyFont="1" applyFill="1" applyBorder="1" applyAlignment="1">
      <alignment horizontal="center"/>
    </xf>
    <xf numFmtId="180" fontId="5" fillId="13" borderId="1" xfId="0" applyNumberFormat="1" applyFont="1" applyFill="1" applyBorder="1" applyAlignment="1">
      <alignment horizontal="center"/>
    </xf>
    <xf numFmtId="10" fontId="5" fillId="13" borderId="1" xfId="3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80" fontId="5" fillId="14" borderId="1" xfId="0" applyNumberFormat="1" applyFont="1" applyFill="1" applyBorder="1" applyAlignment="1">
      <alignment horizontal="center"/>
    </xf>
    <xf numFmtId="10" fontId="5" fillId="14" borderId="1" xfId="3" applyNumberFormat="1" applyFont="1" applyFill="1" applyBorder="1" applyAlignment="1">
      <alignment horizontal="center"/>
    </xf>
    <xf numFmtId="180" fontId="5" fillId="8" borderId="1" xfId="0" applyNumberFormat="1" applyFont="1" applyFill="1" applyBorder="1" applyAlignment="1">
      <alignment horizontal="center"/>
    </xf>
    <xf numFmtId="10" fontId="5" fillId="8" borderId="1" xfId="3" applyNumberFormat="1" applyFont="1" applyFill="1" applyBorder="1" applyAlignment="1">
      <alignment horizontal="center"/>
    </xf>
    <xf numFmtId="180" fontId="5" fillId="15" borderId="1" xfId="0" applyNumberFormat="1" applyFont="1" applyFill="1" applyBorder="1" applyAlignment="1">
      <alignment horizontal="center"/>
    </xf>
    <xf numFmtId="10" fontId="5" fillId="15" borderId="1" xfId="3" applyNumberFormat="1" applyFont="1" applyFill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16" borderId="1" xfId="0" applyFont="1" applyFill="1" applyBorder="1" applyAlignment="1">
      <alignment horizontal="center"/>
    </xf>
    <xf numFmtId="180" fontId="5" fillId="9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80" fontId="4" fillId="12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58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80" fontId="6" fillId="5" borderId="1" xfId="0" applyNumberFormat="1" applyFont="1" applyFill="1" applyBorder="1" applyAlignment="1">
      <alignment horizontal="center" vertical="center"/>
    </xf>
    <xf numFmtId="180" fontId="8" fillId="5" borderId="1" xfId="0" applyNumberFormat="1" applyFont="1" applyFill="1" applyBorder="1" applyAlignment="1">
      <alignment horizontal="center" vertical="center"/>
    </xf>
    <xf numFmtId="58" fontId="5" fillId="16" borderId="1" xfId="0" applyNumberFormat="1" applyFont="1" applyFill="1" applyBorder="1" applyAlignment="1">
      <alignment horizontal="center"/>
    </xf>
    <xf numFmtId="58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/>
    <xf numFmtId="180" fontId="5" fillId="1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180" fontId="7" fillId="7" borderId="1" xfId="1" applyNumberFormat="1" applyFont="1" applyFill="1" applyBorder="1" applyAlignment="1">
      <alignment horizontal="center" vertical="center"/>
    </xf>
    <xf numFmtId="180" fontId="8" fillId="17" borderId="1" xfId="0" applyNumberFormat="1" applyFont="1" applyFill="1" applyBorder="1" applyAlignment="1">
      <alignment horizontal="center" vertical="center"/>
    </xf>
    <xf numFmtId="10" fontId="8" fillId="18" borderId="1" xfId="3" applyNumberFormat="1" applyFont="1" applyFill="1" applyBorder="1" applyAlignment="1">
      <alignment horizontal="center" vertical="center"/>
    </xf>
    <xf numFmtId="180" fontId="3" fillId="19" borderId="1" xfId="0" applyNumberFormat="1" applyFont="1" applyFill="1" applyBorder="1" applyAlignment="1">
      <alignment horizontal="center" vertical="center"/>
    </xf>
    <xf numFmtId="10" fontId="3" fillId="20" borderId="1" xfId="3" applyNumberFormat="1" applyFont="1" applyFill="1" applyBorder="1" applyAlignment="1">
      <alignment horizontal="center" vertical="center"/>
    </xf>
    <xf numFmtId="180" fontId="5" fillId="4" borderId="1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180" fontId="5" fillId="21" borderId="1" xfId="0" applyNumberFormat="1" applyFont="1" applyFill="1" applyBorder="1" applyAlignment="1">
      <alignment horizontal="center"/>
    </xf>
    <xf numFmtId="180" fontId="5" fillId="22" borderId="2" xfId="0" applyNumberFormat="1" applyFont="1" applyFill="1" applyBorder="1" applyAlignment="1">
      <alignment horizontal="center"/>
    </xf>
    <xf numFmtId="0" fontId="7" fillId="23" borderId="3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180" fontId="5" fillId="24" borderId="1" xfId="0" applyNumberFormat="1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180" fontId="5" fillId="25" borderId="1" xfId="0" applyNumberFormat="1" applyFont="1" applyFill="1" applyBorder="1" applyAlignment="1">
      <alignment horizontal="center"/>
    </xf>
    <xf numFmtId="180" fontId="6" fillId="25" borderId="1" xfId="0" applyNumberFormat="1" applyFont="1" applyFill="1" applyBorder="1" applyAlignment="1">
      <alignment horizontal="center"/>
    </xf>
    <xf numFmtId="180" fontId="5" fillId="26" borderId="1" xfId="0" applyNumberFormat="1" applyFont="1" applyFill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180" fontId="4" fillId="28" borderId="1" xfId="0" applyNumberFormat="1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  <xf numFmtId="180" fontId="5" fillId="27" borderId="1" xfId="0" applyNumberFormat="1" applyFont="1" applyFill="1" applyBorder="1" applyAlignment="1">
      <alignment horizontal="center"/>
    </xf>
    <xf numFmtId="180" fontId="5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80" fontId="5" fillId="31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6" fillId="31" borderId="1" xfId="0" applyFont="1" applyFill="1" applyBorder="1" applyAlignment="1">
      <alignment horizontal="center"/>
    </xf>
    <xf numFmtId="180" fontId="5" fillId="32" borderId="1" xfId="0" applyNumberFormat="1" applyFont="1" applyFill="1" applyBorder="1" applyAlignment="1">
      <alignment horizontal="center"/>
    </xf>
    <xf numFmtId="180" fontId="7" fillId="7" borderId="0" xfId="0" applyNumberFormat="1" applyFont="1" applyFill="1" applyAlignment="1">
      <alignment horizontal="center"/>
    </xf>
    <xf numFmtId="180" fontId="5" fillId="33" borderId="0" xfId="0" applyNumberFormat="1" applyFont="1" applyFill="1" applyAlignment="1">
      <alignment horizontal="center"/>
    </xf>
    <xf numFmtId="180" fontId="4" fillId="34" borderId="0" xfId="0" applyNumberFormat="1" applyFont="1" applyFill="1" applyAlignment="1">
      <alignment horizontal="center"/>
    </xf>
    <xf numFmtId="180" fontId="7" fillId="5" borderId="1" xfId="3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180" fontId="3" fillId="35" borderId="1" xfId="0" applyNumberFormat="1" applyFont="1" applyFill="1" applyBorder="1" applyAlignment="1">
      <alignment horizontal="center" vertical="center"/>
    </xf>
    <xf numFmtId="180" fontId="3" fillId="36" borderId="1" xfId="0" applyNumberFormat="1" applyFont="1" applyFill="1" applyBorder="1" applyAlignment="1">
      <alignment horizontal="center"/>
    </xf>
    <xf numFmtId="10" fontId="7" fillId="5" borderId="1" xfId="3" applyNumberFormat="1" applyFont="1" applyFill="1" applyBorder="1" applyAlignment="1">
      <alignment horizontal="center"/>
    </xf>
    <xf numFmtId="180" fontId="7" fillId="4" borderId="1" xfId="0" applyNumberFormat="1" applyFont="1" applyFill="1" applyBorder="1" applyAlignment="1">
      <alignment horizontal="center"/>
    </xf>
    <xf numFmtId="180" fontId="7" fillId="28" borderId="1" xfId="0" applyNumberFormat="1" applyFont="1" applyFill="1" applyBorder="1" applyAlignment="1">
      <alignment horizontal="center"/>
    </xf>
    <xf numFmtId="180" fontId="5" fillId="1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80" fontId="4" fillId="37" borderId="1" xfId="0" applyNumberFormat="1" applyFont="1" applyFill="1" applyBorder="1" applyAlignment="1">
      <alignment horizontal="center"/>
    </xf>
    <xf numFmtId="180" fontId="4" fillId="36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80" fontId="3" fillId="28" borderId="1" xfId="0" applyNumberFormat="1" applyFont="1" applyFill="1" applyBorder="1" applyAlignment="1">
      <alignment horizontal="center"/>
    </xf>
    <xf numFmtId="180" fontId="7" fillId="31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80" fontId="3" fillId="31" borderId="1" xfId="0" applyNumberFormat="1" applyFont="1" applyFill="1" applyBorder="1" applyAlignment="1">
      <alignment horizontal="center"/>
    </xf>
    <xf numFmtId="180" fontId="7" fillId="32" borderId="1" xfId="0" applyNumberFormat="1" applyFont="1" applyFill="1" applyBorder="1" applyAlignment="1">
      <alignment horizontal="center"/>
    </xf>
    <xf numFmtId="0" fontId="7" fillId="32" borderId="1" xfId="0" applyFont="1" applyFill="1" applyBorder="1" applyAlignment="1">
      <alignment horizontal="center"/>
    </xf>
    <xf numFmtId="180" fontId="7" fillId="27" borderId="1" xfId="0" applyNumberFormat="1" applyFont="1" applyFill="1" applyBorder="1" applyAlignment="1">
      <alignment horizontal="center"/>
    </xf>
    <xf numFmtId="0" fontId="7" fillId="27" borderId="1" xfId="0" applyFont="1" applyFill="1" applyBorder="1" applyAlignment="1">
      <alignment horizontal="center"/>
    </xf>
    <xf numFmtId="180" fontId="7" fillId="30" borderId="1" xfId="0" applyNumberFormat="1" applyFont="1" applyFill="1" applyBorder="1" applyAlignment="1">
      <alignment horizontal="center"/>
    </xf>
    <xf numFmtId="0" fontId="7" fillId="38" borderId="1" xfId="0" applyFont="1" applyFill="1" applyBorder="1" applyAlignment="1">
      <alignment horizontal="center"/>
    </xf>
    <xf numFmtId="180" fontId="7" fillId="38" borderId="1" xfId="0" applyNumberFormat="1" applyFont="1" applyFill="1" applyBorder="1" applyAlignment="1">
      <alignment horizontal="center"/>
    </xf>
    <xf numFmtId="180" fontId="7" fillId="39" borderId="1" xfId="0" applyNumberFormat="1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180" fontId="7" fillId="26" borderId="1" xfId="0" applyNumberFormat="1" applyFont="1" applyFill="1" applyBorder="1" applyAlignment="1">
      <alignment horizontal="center"/>
    </xf>
    <xf numFmtId="180" fontId="7" fillId="21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180" fontId="7" fillId="24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180" fontId="7" fillId="40" borderId="1" xfId="0" applyNumberFormat="1" applyFont="1" applyFill="1" applyBorder="1" applyAlignment="1">
      <alignment horizontal="center"/>
    </xf>
    <xf numFmtId="0" fontId="7" fillId="40" borderId="1" xfId="0" applyFont="1" applyFill="1" applyBorder="1" applyAlignment="1">
      <alignment horizontal="center"/>
    </xf>
    <xf numFmtId="180" fontId="7" fillId="12" borderId="1" xfId="0" applyNumberFormat="1" applyFont="1" applyFill="1" applyBorder="1" applyAlignment="1">
      <alignment horizontal="center"/>
    </xf>
    <xf numFmtId="0" fontId="7" fillId="41" borderId="1" xfId="0" applyFont="1" applyFill="1" applyBorder="1" applyAlignment="1">
      <alignment horizontal="center"/>
    </xf>
    <xf numFmtId="180" fontId="3" fillId="41" borderId="1" xfId="0" applyNumberFormat="1" applyFont="1" applyFill="1" applyBorder="1" applyAlignment="1">
      <alignment horizontal="center"/>
    </xf>
    <xf numFmtId="180" fontId="7" fillId="25" borderId="1" xfId="0" applyNumberFormat="1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180" fontId="3" fillId="42" borderId="1" xfId="0" applyNumberFormat="1" applyFont="1" applyFill="1" applyBorder="1" applyAlignment="1">
      <alignment horizontal="center" vertical="center"/>
    </xf>
    <xf numFmtId="180" fontId="5" fillId="33" borderId="1" xfId="0" applyNumberFormat="1" applyFont="1" applyFill="1" applyBorder="1" applyAlignment="1">
      <alignment horizontal="center"/>
    </xf>
    <xf numFmtId="180" fontId="3" fillId="43" borderId="1" xfId="0" applyNumberFormat="1" applyFont="1" applyFill="1" applyBorder="1" applyAlignment="1">
      <alignment horizontal="center"/>
    </xf>
    <xf numFmtId="180" fontId="7" fillId="44" borderId="3" xfId="0" applyNumberFormat="1" applyFont="1" applyFill="1" applyBorder="1" applyAlignment="1">
      <alignment horizontal="center"/>
    </xf>
    <xf numFmtId="0" fontId="7" fillId="44" borderId="3" xfId="0" applyFont="1" applyFill="1" applyBorder="1" applyAlignment="1">
      <alignment horizontal="center"/>
    </xf>
    <xf numFmtId="180" fontId="7" fillId="22" borderId="2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180" fontId="3" fillId="45" borderId="1" xfId="0" applyNumberFormat="1" applyFont="1" applyFill="1" applyBorder="1" applyAlignment="1">
      <alignment horizontal="center"/>
    </xf>
    <xf numFmtId="180" fontId="7" fillId="46" borderId="1" xfId="0" applyNumberFormat="1" applyFont="1" applyFill="1" applyBorder="1" applyAlignment="1">
      <alignment horizontal="center"/>
    </xf>
    <xf numFmtId="0" fontId="7" fillId="47" borderId="1" xfId="0" applyFont="1" applyFill="1" applyBorder="1" applyAlignment="1">
      <alignment horizontal="center"/>
    </xf>
    <xf numFmtId="180" fontId="5" fillId="47" borderId="1" xfId="0" applyNumberFormat="1" applyFont="1" applyFill="1" applyBorder="1" applyAlignment="1">
      <alignment horizontal="center"/>
    </xf>
    <xf numFmtId="180" fontId="5" fillId="46" borderId="1" xfId="0" applyNumberFormat="1" applyFont="1" applyFill="1" applyBorder="1" applyAlignment="1">
      <alignment horizontal="center"/>
    </xf>
    <xf numFmtId="180" fontId="8" fillId="5" borderId="1" xfId="1" applyNumberFormat="1" applyFont="1" applyFill="1" applyBorder="1" applyAlignment="1">
      <alignment horizontal="center" vertical="center"/>
    </xf>
    <xf numFmtId="180" fontId="8" fillId="48" borderId="1" xfId="0" applyNumberFormat="1" applyFont="1" applyFill="1" applyBorder="1" applyAlignment="1">
      <alignment horizontal="center" vertical="center"/>
    </xf>
    <xf numFmtId="10" fontId="8" fillId="5" borderId="1" xfId="3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80" fontId="8" fillId="49" borderId="1" xfId="0" applyNumberFormat="1" applyFont="1" applyFill="1" applyBorder="1" applyAlignment="1">
      <alignment horizontal="center" vertical="center"/>
    </xf>
    <xf numFmtId="180" fontId="5" fillId="16" borderId="1" xfId="0" applyNumberFormat="1" applyFont="1" applyFill="1" applyBorder="1" applyAlignment="1">
      <alignment horizontal="center"/>
    </xf>
    <xf numFmtId="180" fontId="7" fillId="7" borderId="1" xfId="0" applyNumberFormat="1" applyFont="1" applyFill="1" applyBorder="1" applyAlignment="1">
      <alignment horizontal="center"/>
    </xf>
    <xf numFmtId="180" fontId="7" fillId="18" borderId="1" xfId="0" applyNumberFormat="1" applyFont="1" applyFill="1" applyBorder="1" applyAlignment="1">
      <alignment horizontal="center"/>
    </xf>
    <xf numFmtId="180" fontId="3" fillId="34" borderId="1" xfId="0" applyNumberFormat="1" applyFont="1" applyFill="1" applyBorder="1" applyAlignment="1">
      <alignment horizontal="center"/>
    </xf>
    <xf numFmtId="180" fontId="3" fillId="50" borderId="1" xfId="0" applyNumberFormat="1" applyFont="1" applyFill="1" applyBorder="1" applyAlignment="1">
      <alignment horizontal="center" vertical="center"/>
    </xf>
    <xf numFmtId="180" fontId="3" fillId="51" borderId="1" xfId="0" applyNumberFormat="1" applyFont="1" applyFill="1" applyBorder="1" applyAlignment="1">
      <alignment horizontal="center" vertical="center"/>
    </xf>
    <xf numFmtId="10" fontId="3" fillId="52" borderId="1" xfId="3" applyNumberFormat="1" applyFont="1" applyFill="1" applyBorder="1" applyAlignment="1">
      <alignment horizontal="center" vertical="center"/>
    </xf>
    <xf numFmtId="10" fontId="8" fillId="29" borderId="1" xfId="3" applyNumberFormat="1" applyFont="1" applyFill="1" applyBorder="1" applyAlignment="1">
      <alignment horizontal="center"/>
    </xf>
    <xf numFmtId="180" fontId="8" fillId="29" borderId="1" xfId="0" applyNumberFormat="1" applyFont="1" applyFill="1" applyBorder="1" applyAlignment="1">
      <alignment horizontal="center"/>
    </xf>
    <xf numFmtId="10" fontId="3" fillId="43" borderId="1" xfId="0" applyNumberFormat="1" applyFont="1" applyFill="1" applyBorder="1" applyAlignment="1">
      <alignment horizontal="center"/>
    </xf>
    <xf numFmtId="10" fontId="3" fillId="4" borderId="1" xfId="3" applyNumberFormat="1" applyFont="1" applyFill="1" applyBorder="1" applyAlignment="1">
      <alignment horizontal="center"/>
    </xf>
    <xf numFmtId="180" fontId="3" fillId="53" borderId="1" xfId="0" applyNumberFormat="1" applyFont="1" applyFill="1" applyBorder="1" applyAlignment="1">
      <alignment horizontal="center" vertical="center"/>
    </xf>
    <xf numFmtId="180" fontId="8" fillId="54" borderId="1" xfId="0" applyNumberFormat="1" applyFont="1" applyFill="1" applyBorder="1" applyAlignment="1">
      <alignment horizontal="center" vertical="center"/>
    </xf>
    <xf numFmtId="180" fontId="8" fillId="55" borderId="1" xfId="0" applyNumberFormat="1" applyFont="1" applyFill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/>
    </xf>
    <xf numFmtId="180" fontId="4" fillId="43" borderId="1" xfId="0" applyNumberFormat="1" applyFont="1" applyFill="1" applyBorder="1" applyAlignment="1">
      <alignment horizontal="center"/>
    </xf>
    <xf numFmtId="180" fontId="6" fillId="4" borderId="1" xfId="0" applyNumberFormat="1" applyFont="1" applyFill="1" applyBorder="1" applyAlignment="1">
      <alignment horizontal="center"/>
    </xf>
    <xf numFmtId="181" fontId="6" fillId="4" borderId="1" xfId="0" applyNumberFormat="1" applyFont="1" applyFill="1" applyBorder="1" applyAlignment="1">
      <alignment horizontal="center"/>
    </xf>
    <xf numFmtId="180" fontId="4" fillId="36" borderId="0" xfId="0" applyNumberFormat="1" applyFont="1" applyFill="1" applyAlignment="1">
      <alignment horizontal="center"/>
    </xf>
    <xf numFmtId="180" fontId="4" fillId="43" borderId="0" xfId="0" applyNumberFormat="1" applyFont="1" applyFill="1" applyAlignment="1">
      <alignment horizontal="center"/>
    </xf>
    <xf numFmtId="180" fontId="5" fillId="4" borderId="0" xfId="0" applyNumberFormat="1" applyFont="1" applyFill="1" applyAlignment="1">
      <alignment horizontal="center"/>
    </xf>
    <xf numFmtId="10" fontId="7" fillId="13" borderId="1" xfId="3" applyNumberFormat="1" applyFont="1" applyFill="1" applyBorder="1" applyAlignment="1">
      <alignment horizontal="center"/>
    </xf>
    <xf numFmtId="0" fontId="4" fillId="56" borderId="1" xfId="0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0" fontId="4" fillId="28" borderId="1" xfId="3" applyNumberFormat="1" applyFont="1" applyFill="1" applyBorder="1" applyAlignment="1">
      <alignment horizontal="center"/>
    </xf>
    <xf numFmtId="180" fontId="5" fillId="38" borderId="1" xfId="0" applyNumberFormat="1" applyFont="1" applyFill="1" applyBorder="1" applyAlignment="1">
      <alignment horizontal="center"/>
    </xf>
    <xf numFmtId="10" fontId="5" fillId="27" borderId="1" xfId="3" applyNumberFormat="1" applyFont="1" applyFill="1" applyBorder="1" applyAlignment="1">
      <alignment horizontal="center"/>
    </xf>
    <xf numFmtId="10" fontId="5" fillId="21" borderId="1" xfId="3" applyNumberFormat="1" applyFont="1" applyFill="1" applyBorder="1" applyAlignment="1">
      <alignment horizontal="center"/>
    </xf>
    <xf numFmtId="10" fontId="4" fillId="12" borderId="1" xfId="3" applyNumberFormat="1" applyFont="1" applyFill="1" applyBorder="1" applyAlignment="1">
      <alignment horizontal="center"/>
    </xf>
    <xf numFmtId="0" fontId="5" fillId="57" borderId="1" xfId="0" applyFont="1" applyFill="1" applyBorder="1" applyAlignment="1">
      <alignment horizontal="center"/>
    </xf>
    <xf numFmtId="10" fontId="5" fillId="25" borderId="1" xfId="3" applyNumberFormat="1" applyFont="1" applyFill="1" applyBorder="1" applyAlignment="1">
      <alignment horizontal="center"/>
    </xf>
    <xf numFmtId="10" fontId="4" fillId="43" borderId="1" xfId="3" applyNumberFormat="1" applyFont="1" applyFill="1" applyBorder="1" applyAlignment="1">
      <alignment horizontal="center"/>
    </xf>
    <xf numFmtId="180" fontId="5" fillId="44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180" fontId="7" fillId="23" borderId="1" xfId="0" applyNumberFormat="1" applyFont="1" applyFill="1" applyBorder="1" applyAlignment="1">
      <alignment horizontal="center"/>
    </xf>
    <xf numFmtId="180" fontId="5" fillId="22" borderId="1" xfId="0" applyNumberFormat="1" applyFont="1" applyFill="1" applyBorder="1" applyAlignment="1">
      <alignment horizontal="center"/>
    </xf>
    <xf numFmtId="10" fontId="5" fillId="23" borderId="1" xfId="3" applyNumberFormat="1" applyFont="1" applyFill="1" applyBorder="1" applyAlignment="1">
      <alignment horizontal="center"/>
    </xf>
    <xf numFmtId="0" fontId="5" fillId="23" borderId="1" xfId="3" applyNumberFormat="1" applyFont="1" applyFill="1" applyBorder="1" applyAlignment="1">
      <alignment horizontal="center"/>
    </xf>
    <xf numFmtId="10" fontId="4" fillId="45" borderId="1" xfId="3" applyNumberFormat="1" applyFont="1" applyFill="1" applyBorder="1" applyAlignment="1">
      <alignment horizontal="center"/>
    </xf>
    <xf numFmtId="0" fontId="4" fillId="45" borderId="1" xfId="0" applyFont="1" applyFill="1" applyBorder="1" applyAlignment="1">
      <alignment horizontal="center"/>
    </xf>
    <xf numFmtId="180" fontId="4" fillId="45" borderId="1" xfId="0" applyNumberFormat="1" applyFont="1" applyFill="1" applyBorder="1" applyAlignment="1">
      <alignment horizontal="center"/>
    </xf>
    <xf numFmtId="180" fontId="5" fillId="0" borderId="1" xfId="3" applyNumberFormat="1" applyFont="1" applyBorder="1" applyAlignment="1">
      <alignment horizontal="center"/>
    </xf>
    <xf numFmtId="10" fontId="8" fillId="58" borderId="4" xfId="3" applyNumberFormat="1" applyFont="1" applyFill="1" applyBorder="1" applyAlignment="1">
      <alignment horizontal="center" vertical="center"/>
    </xf>
    <xf numFmtId="10" fontId="8" fillId="5" borderId="1" xfId="3" applyNumberFormat="1" applyFont="1" applyFill="1" applyBorder="1" applyAlignment="1">
      <alignment horizontal="center"/>
    </xf>
    <xf numFmtId="180" fontId="8" fillId="5" borderId="1" xfId="0" applyNumberFormat="1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180" fontId="8" fillId="59" borderId="1" xfId="0" applyNumberFormat="1" applyFont="1" applyFill="1" applyBorder="1" applyAlignment="1">
      <alignment horizontal="center" vertical="center"/>
    </xf>
    <xf numFmtId="10" fontId="5" fillId="12" borderId="1" xfId="0" applyNumberFormat="1" applyFont="1" applyFill="1" applyBorder="1" applyAlignment="1">
      <alignment horizontal="center"/>
    </xf>
    <xf numFmtId="180" fontId="3" fillId="43" borderId="0" xfId="0" applyNumberFormat="1" applyFont="1" applyFill="1" applyAlignment="1">
      <alignment horizontal="center"/>
    </xf>
    <xf numFmtId="181" fontId="7" fillId="4" borderId="1" xfId="0" applyNumberFormat="1" applyFont="1" applyFill="1" applyBorder="1" applyAlignment="1">
      <alignment horizontal="center"/>
    </xf>
    <xf numFmtId="180" fontId="5" fillId="0" borderId="0" xfId="0" applyNumberFormat="1" applyFont="1"/>
    <xf numFmtId="181" fontId="5" fillId="4" borderId="0" xfId="0" applyNumberFormat="1" applyFont="1" applyFill="1" applyAlignment="1">
      <alignment horizontal="center"/>
    </xf>
    <xf numFmtId="17" fontId="5" fillId="0" borderId="1" xfId="0" applyNumberFormat="1" applyFont="1" applyBorder="1" applyAlignment="1">
      <alignment horizontal="center"/>
    </xf>
    <xf numFmtId="17" fontId="5" fillId="12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58" fontId="8" fillId="16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180" fontId="8" fillId="16" borderId="1" xfId="0" applyNumberFormat="1" applyFont="1" applyFill="1" applyBorder="1" applyAlignment="1">
      <alignment horizontal="center" vertical="center"/>
    </xf>
    <xf numFmtId="0" fontId="7" fillId="0" borderId="0" xfId="0" applyFont="1"/>
    <xf numFmtId="180" fontId="8" fillId="16" borderId="1" xfId="1" applyNumberFormat="1" applyFont="1" applyFill="1" applyBorder="1" applyAlignment="1">
      <alignment horizontal="center" vertical="center"/>
    </xf>
    <xf numFmtId="180" fontId="8" fillId="60" borderId="1" xfId="0" applyNumberFormat="1" applyFont="1" applyFill="1" applyBorder="1" applyAlignment="1">
      <alignment horizontal="center" vertical="center"/>
    </xf>
    <xf numFmtId="0" fontId="7" fillId="57" borderId="1" xfId="0" applyFont="1" applyFill="1" applyBorder="1" applyAlignment="1">
      <alignment horizontal="center"/>
    </xf>
    <xf numFmtId="180" fontId="5" fillId="57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80" fontId="5" fillId="0" borderId="0" xfId="3" applyNumberFormat="1" applyFont="1" applyAlignment="1">
      <alignment horizontal="center"/>
    </xf>
    <xf numFmtId="180" fontId="4" fillId="4" borderId="1" xfId="0" applyNumberFormat="1" applyFont="1" applyFill="1" applyBorder="1" applyAlignment="1">
      <alignment horizontal="center"/>
    </xf>
    <xf numFmtId="10" fontId="5" fillId="0" borderId="0" xfId="3" applyNumberFormat="1" applyFont="1" applyAlignment="1">
      <alignment horizontal="center"/>
    </xf>
    <xf numFmtId="17" fontId="3" fillId="61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5" fillId="0" borderId="1" xfId="0" applyFont="1" applyBorder="1" applyAlignment="1">
      <alignment horizontal="justify" vertical="center"/>
    </xf>
    <xf numFmtId="0" fontId="6" fillId="0" borderId="1" xfId="0" applyFont="1" applyBorder="1"/>
    <xf numFmtId="0" fontId="8" fillId="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5" fillId="16" borderId="1" xfId="0" applyFont="1" applyFill="1" applyBorder="1"/>
    <xf numFmtId="0" fontId="5" fillId="23" borderId="1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80" fontId="4" fillId="43" borderId="1" xfId="0" applyNumberFormat="1" applyFont="1" applyFill="1" applyBorder="1"/>
    <xf numFmtId="180" fontId="4" fillId="36" borderId="4" xfId="0" applyNumberFormat="1" applyFont="1" applyFill="1" applyBorder="1" applyAlignment="1">
      <alignment horizontal="center"/>
    </xf>
    <xf numFmtId="180" fontId="4" fillId="12" borderId="1" xfId="0" applyNumberFormat="1" applyFont="1" applyFill="1" applyBorder="1"/>
    <xf numFmtId="180" fontId="3" fillId="43" borderId="0" xfId="0" applyNumberFormat="1" applyFont="1" applyFill="1"/>
    <xf numFmtId="180" fontId="7" fillId="41" borderId="1" xfId="0" applyNumberFormat="1" applyFont="1" applyFill="1" applyBorder="1" applyAlignment="1">
      <alignment horizontal="center"/>
    </xf>
    <xf numFmtId="180" fontId="7" fillId="23" borderId="3" xfId="0" applyNumberFormat="1" applyFont="1" applyFill="1" applyBorder="1" applyAlignment="1">
      <alignment horizontal="center"/>
    </xf>
    <xf numFmtId="10" fontId="5" fillId="23" borderId="3" xfId="3" applyNumberFormat="1" applyFont="1" applyFill="1" applyBorder="1" applyAlignment="1">
      <alignment horizontal="center"/>
    </xf>
    <xf numFmtId="0" fontId="5" fillId="23" borderId="3" xfId="3" applyNumberFormat="1" applyFont="1" applyFill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28" borderId="5" xfId="0" applyFont="1" applyFill="1" applyBorder="1" applyAlignment="1">
      <alignment horizontal="center"/>
    </xf>
    <xf numFmtId="0" fontId="5" fillId="27" borderId="5" xfId="0" applyFont="1" applyFill="1" applyBorder="1" applyAlignment="1">
      <alignment horizontal="center"/>
    </xf>
    <xf numFmtId="0" fontId="5" fillId="21" borderId="5" xfId="0" applyFont="1" applyFill="1" applyBorder="1" applyAlignment="1">
      <alignment horizontal="center"/>
    </xf>
    <xf numFmtId="0" fontId="5" fillId="57" borderId="5" xfId="0" applyFont="1" applyFill="1" applyBorder="1" applyAlignment="1">
      <alignment horizontal="center"/>
    </xf>
    <xf numFmtId="0" fontId="5" fillId="23" borderId="6" xfId="3" applyNumberFormat="1" applyFont="1" applyFill="1" applyBorder="1" applyAlignment="1">
      <alignment horizontal="center"/>
    </xf>
    <xf numFmtId="0" fontId="4" fillId="45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180" fontId="0" fillId="0" borderId="0" xfId="0" applyNumberFormat="1"/>
    <xf numFmtId="10" fontId="0" fillId="0" borderId="0" xfId="3" applyNumberFormat="1" applyFont="1" applyAlignment="1">
      <alignment horizontal="center"/>
    </xf>
    <xf numFmtId="17" fontId="3" fillId="13" borderId="1" xfId="0" applyNumberFormat="1" applyFont="1" applyFill="1" applyBorder="1" applyAlignment="1">
      <alignment horizontal="center"/>
    </xf>
    <xf numFmtId="0" fontId="4" fillId="0" borderId="1" xfId="0" applyFont="1" applyBorder="1"/>
    <xf numFmtId="180" fontId="5" fillId="0" borderId="1" xfId="0" applyNumberFormat="1" applyFont="1" applyBorder="1"/>
    <xf numFmtId="0" fontId="5" fillId="12" borderId="1" xfId="0" applyFont="1" applyFill="1" applyBorder="1" applyAlignment="1">
      <alignment horizontal="left"/>
    </xf>
    <xf numFmtId="180" fontId="5" fillId="12" borderId="1" xfId="0" applyNumberFormat="1" applyFont="1" applyFill="1" applyBorder="1"/>
    <xf numFmtId="180" fontId="6" fillId="57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80" fontId="5" fillId="40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80" fontId="7" fillId="18" borderId="5" xfId="0" applyNumberFormat="1" applyFont="1" applyFill="1" applyBorder="1" applyAlignment="1">
      <alignment horizontal="center"/>
    </xf>
    <xf numFmtId="0" fontId="5" fillId="0" borderId="4" xfId="0" applyFont="1" applyBorder="1"/>
    <xf numFmtId="0" fontId="7" fillId="30" borderId="1" xfId="0" applyFont="1" applyFill="1" applyBorder="1" applyAlignment="1">
      <alignment horizontal="center"/>
    </xf>
    <xf numFmtId="0" fontId="7" fillId="39" borderId="1" xfId="0" applyFont="1" applyFill="1" applyBorder="1" applyAlignment="1">
      <alignment horizontal="center"/>
    </xf>
    <xf numFmtId="180" fontId="7" fillId="57" borderId="1" xfId="0" applyNumberFormat="1" applyFont="1" applyFill="1" applyBorder="1" applyAlignment="1">
      <alignment horizontal="center"/>
    </xf>
    <xf numFmtId="0" fontId="9" fillId="44" borderId="3" xfId="0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80" fontId="9" fillId="44" borderId="3" xfId="0" applyNumberFormat="1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180" fontId="9" fillId="22" borderId="2" xfId="0" applyNumberFormat="1" applyFont="1" applyFill="1" applyBorder="1" applyAlignment="1">
      <alignment horizontal="center"/>
    </xf>
    <xf numFmtId="0" fontId="7" fillId="46" borderId="1" xfId="0" applyFont="1" applyFill="1" applyBorder="1" applyAlignment="1">
      <alignment horizontal="center"/>
    </xf>
    <xf numFmtId="180" fontId="5" fillId="13" borderId="1" xfId="0" applyNumberFormat="1" applyFont="1" applyFill="1" applyBorder="1"/>
    <xf numFmtId="0" fontId="3" fillId="0" borderId="1" xfId="0" applyFont="1" applyBorder="1"/>
    <xf numFmtId="10" fontId="3" fillId="52" borderId="4" xfId="3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80" fontId="3" fillId="12" borderId="4" xfId="0" applyNumberFormat="1" applyFont="1" applyFill="1" applyBorder="1" applyAlignment="1">
      <alignment horizontal="center"/>
    </xf>
    <xf numFmtId="10" fontId="5" fillId="12" borderId="1" xfId="3" applyNumberFormat="1" applyFont="1" applyFill="1" applyBorder="1" applyAlignment="1">
      <alignment horizontal="center"/>
    </xf>
    <xf numFmtId="180" fontId="3" fillId="12" borderId="1" xfId="0" applyNumberFormat="1" applyFont="1" applyFill="1" applyBorder="1" applyAlignment="1">
      <alignment horizontal="center"/>
    </xf>
    <xf numFmtId="180" fontId="3" fillId="36" borderId="4" xfId="0" applyNumberFormat="1" applyFont="1" applyFill="1" applyBorder="1" applyAlignment="1">
      <alignment horizontal="center"/>
    </xf>
    <xf numFmtId="180" fontId="3" fillId="4" borderId="1" xfId="0" applyNumberFormat="1" applyFont="1" applyFill="1" applyBorder="1" applyAlignment="1">
      <alignment horizontal="center"/>
    </xf>
    <xf numFmtId="0" fontId="5" fillId="31" borderId="1" xfId="0" applyFont="1" applyFill="1" applyBorder="1"/>
    <xf numFmtId="0" fontId="5" fillId="31" borderId="0" xfId="0" applyFont="1" applyFill="1"/>
    <xf numFmtId="0" fontId="5" fillId="32" borderId="1" xfId="0" applyFont="1" applyFill="1" applyBorder="1"/>
    <xf numFmtId="0" fontId="5" fillId="27" borderId="1" xfId="0" applyFont="1" applyFill="1" applyBorder="1"/>
    <xf numFmtId="10" fontId="5" fillId="57" borderId="1" xfId="3" applyNumberFormat="1" applyFont="1" applyFill="1" applyBorder="1" applyAlignment="1">
      <alignment horizontal="center"/>
    </xf>
    <xf numFmtId="180" fontId="9" fillId="23" borderId="3" xfId="0" applyNumberFormat="1" applyFont="1" applyFill="1" applyBorder="1" applyAlignment="1">
      <alignment horizontal="center"/>
    </xf>
    <xf numFmtId="180" fontId="10" fillId="44" borderId="1" xfId="0" applyNumberFormat="1" applyFont="1" applyFill="1" applyBorder="1" applyAlignment="1">
      <alignment horizontal="center"/>
    </xf>
    <xf numFmtId="10" fontId="0" fillId="23" borderId="3" xfId="3" applyNumberFormat="1" applyFont="1" applyFill="1" applyBorder="1" applyAlignment="1">
      <alignment horizontal="center"/>
    </xf>
    <xf numFmtId="0" fontId="0" fillId="23" borderId="3" xfId="3" applyNumberFormat="1" applyFont="1" applyFill="1" applyBorder="1" applyAlignment="1">
      <alignment horizontal="center"/>
    </xf>
    <xf numFmtId="0" fontId="0" fillId="23" borderId="6" xfId="3" applyNumberFormat="1" applyFont="1" applyFill="1" applyBorder="1" applyAlignment="1">
      <alignment horizontal="center"/>
    </xf>
    <xf numFmtId="180" fontId="10" fillId="22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EEB500"/>
      <color rgb="00CC6600"/>
      <color rgb="006DFFFF"/>
      <color rgb="00800000"/>
      <color rgb="0000B0F0"/>
      <color rgb="00E2EFDA"/>
      <color rgb="00CC9900"/>
      <color rgb="0000FFCC"/>
      <color rgb="0048EE32"/>
      <color rgb="00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>
      <xdr:nvSpPr>
        <xdr:cNvPr id="2" name="Estrela: 5 Pontas 1"/>
        <xdr:cNvSpPr/>
      </xdr:nvSpPr>
      <xdr:spPr>
        <a:xfrm>
          <a:off x="266700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>
      <xdr:nvSpPr>
        <xdr:cNvPr id="2" name="Estrela: 5 Pontas 1"/>
        <xdr:cNvSpPr/>
      </xdr:nvSpPr>
      <xdr:spPr>
        <a:xfrm>
          <a:off x="23812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>
      <xdr:nvSpPr>
        <xdr:cNvPr id="2" name="Estrela: 5 Pontas 1"/>
        <xdr:cNvSpPr/>
      </xdr:nvSpPr>
      <xdr:spPr>
        <a:xfrm>
          <a:off x="71691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../js - privado/UNIDADE 2/06 - JUNHO/1 - MENU PRINCIPAL.xlsx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../../js - privado/UNIDADE 2/06 - JUNHO/1 - MENU PRINCIPAL.xlsx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../../js - privado/UNIDADE 2/06 - JUNHO/1 - MENU PRINCIPAL.xlsx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B61"/>
  <sheetViews>
    <sheetView topLeftCell="H22" workbookViewId="0">
      <selection activeCell="X34" sqref="X34"/>
    </sheetView>
  </sheetViews>
  <sheetFormatPr defaultColWidth="9" defaultRowHeight="15"/>
  <cols>
    <col min="1" max="1" width="14.5714285714286" customWidth="1"/>
    <col min="2" max="2" width="11.2857142857143" customWidth="1"/>
    <col min="3" max="3" width="14.1428571428571" customWidth="1"/>
    <col min="4" max="4" width="38.2857142857143" customWidth="1"/>
    <col min="5" max="5" width="20.4285714285714" customWidth="1"/>
    <col min="6" max="6" width="43.2857142857143" style="242" customWidth="1"/>
    <col min="7" max="7" width="15.7142857142857" style="243" customWidth="1"/>
    <col min="8" max="8" width="32.4285714285714" style="1" customWidth="1"/>
    <col min="9" max="9" width="14.5714285714286" style="2" customWidth="1"/>
    <col min="10" max="10" width="15.2857142857143" style="1" customWidth="1"/>
    <col min="11" max="11" width="15.8571428571429" customWidth="1"/>
    <col min="12" max="12" width="15.8571428571429" style="1" customWidth="1"/>
    <col min="13" max="13" width="17" style="1" customWidth="1"/>
    <col min="14" max="14" width="17" customWidth="1"/>
    <col min="15" max="15" width="17" style="1" customWidth="1"/>
    <col min="16" max="16" width="13.7142857142857" style="1" customWidth="1"/>
    <col min="17" max="17" width="15.5714285714286" style="244" customWidth="1"/>
    <col min="18" max="18" width="12.2857142857143" style="1" customWidth="1"/>
    <col min="19" max="19" width="13.1428571428571" style="1" customWidth="1"/>
    <col min="20" max="20" width="12.5714285714286" style="1" customWidth="1"/>
    <col min="21" max="21" width="12.2857142857143" style="1" customWidth="1"/>
    <col min="22" max="22" width="12" customWidth="1"/>
    <col min="23" max="23" width="15" customWidth="1"/>
    <col min="24" max="25" width="12.7142857142857" customWidth="1"/>
    <col min="26" max="26" width="18" style="1" customWidth="1"/>
    <col min="27" max="27" width="12.7142857142857" style="1" customWidth="1"/>
    <col min="28" max="28" width="13.2857142857143" style="1" customWidth="1"/>
    <col min="29" max="29" width="10.4285714285714" style="1" customWidth="1"/>
  </cols>
  <sheetData>
    <row r="1" spans="1:28">
      <c r="A1" s="3" t="s">
        <v>0</v>
      </c>
      <c r="B1" s="245">
        <v>45658</v>
      </c>
      <c r="C1" s="5"/>
      <c r="D1" s="6" t="s">
        <v>1</v>
      </c>
      <c r="E1" s="246"/>
      <c r="F1" s="215"/>
      <c r="G1" s="8"/>
      <c r="H1" s="5"/>
      <c r="I1" s="8"/>
      <c r="J1" s="5"/>
      <c r="K1" s="5"/>
      <c r="L1" s="5"/>
      <c r="M1" s="5"/>
      <c r="N1" s="5"/>
      <c r="O1" s="5"/>
      <c r="P1" s="34"/>
      <c r="Q1" s="95" t="s">
        <v>2</v>
      </c>
      <c r="R1" s="96" t="s">
        <v>3</v>
      </c>
      <c r="S1" s="14"/>
      <c r="T1" s="150" t="s">
        <v>4</v>
      </c>
      <c r="U1" s="151" t="s">
        <v>5</v>
      </c>
      <c r="V1" s="266"/>
      <c r="W1" s="5"/>
      <c r="X1" s="5"/>
      <c r="Y1" s="8"/>
      <c r="Z1" s="8"/>
      <c r="AA1" s="34"/>
      <c r="AB1" s="34"/>
    </row>
    <row r="2" spans="1:28">
      <c r="A2" s="9" t="s">
        <v>6</v>
      </c>
      <c r="B2" s="6" t="s">
        <v>7</v>
      </c>
      <c r="C2" s="6" t="s">
        <v>8</v>
      </c>
      <c r="D2" s="10" t="s">
        <v>9</v>
      </c>
      <c r="E2" s="11" t="s">
        <v>10</v>
      </c>
      <c r="F2" s="216" t="s">
        <v>11</v>
      </c>
      <c r="G2" s="12" t="s">
        <v>12</v>
      </c>
      <c r="H2" s="12" t="s">
        <v>13</v>
      </c>
      <c r="I2" s="63" t="s">
        <v>14</v>
      </c>
      <c r="J2" s="12" t="s">
        <v>15</v>
      </c>
      <c r="K2" s="64" t="s">
        <v>16</v>
      </c>
      <c r="L2" s="65">
        <v>0.1666</v>
      </c>
      <c r="M2" s="36" t="s">
        <v>17</v>
      </c>
      <c r="N2" s="66" t="s">
        <v>18</v>
      </c>
      <c r="O2" s="67">
        <v>0.3334</v>
      </c>
      <c r="P2" s="36" t="s">
        <v>17</v>
      </c>
      <c r="Q2" s="267">
        <v>0.1666666</v>
      </c>
      <c r="R2" s="153" t="s">
        <v>19</v>
      </c>
      <c r="S2" s="154" t="s">
        <v>20</v>
      </c>
      <c r="T2" s="155">
        <f>O2</f>
        <v>0.3334</v>
      </c>
      <c r="U2" s="156">
        <v>1</v>
      </c>
      <c r="V2" s="157" t="s">
        <v>21</v>
      </c>
      <c r="W2" s="158" t="s">
        <v>22</v>
      </c>
      <c r="X2" s="159" t="s">
        <v>23</v>
      </c>
      <c r="Y2" s="159" t="s">
        <v>24</v>
      </c>
      <c r="Z2" s="159" t="s">
        <v>25</v>
      </c>
      <c r="AA2" s="34"/>
      <c r="AB2" s="34"/>
    </row>
    <row r="3" spans="1:28">
      <c r="A3" s="13">
        <v>45639</v>
      </c>
      <c r="B3" s="14">
        <v>1</v>
      </c>
      <c r="C3" s="217" t="s">
        <v>26</v>
      </c>
      <c r="D3" s="16" t="s">
        <v>27</v>
      </c>
      <c r="E3" s="16" t="s">
        <v>28</v>
      </c>
      <c r="F3" s="18" t="s">
        <v>29</v>
      </c>
      <c r="G3" s="19">
        <v>3500</v>
      </c>
      <c r="H3" s="14" t="s">
        <v>30</v>
      </c>
      <c r="I3" s="68">
        <v>2000</v>
      </c>
      <c r="J3" s="15" t="s">
        <v>31</v>
      </c>
      <c r="K3" s="175" t="s">
        <v>32</v>
      </c>
      <c r="L3" s="209">
        <f>I3/3/2</f>
        <v>333.333333333333</v>
      </c>
      <c r="M3" s="250" t="s">
        <v>33</v>
      </c>
      <c r="N3" s="210" t="s">
        <v>34</v>
      </c>
      <c r="O3" s="85">
        <f>I3/3</f>
        <v>666.666666666667</v>
      </c>
      <c r="P3" s="86">
        <v>1</v>
      </c>
      <c r="Q3" s="226">
        <f>L3</f>
        <v>333.333333333333</v>
      </c>
      <c r="R3" s="160">
        <f>Q2/11</f>
        <v>0.0151515090909091</v>
      </c>
      <c r="S3" s="19">
        <f>Q3/11</f>
        <v>30.3030303030303</v>
      </c>
      <c r="T3" s="161">
        <f>O3</f>
        <v>666.666666666667</v>
      </c>
      <c r="U3" s="212">
        <f>L3+O3+Q3+T3</f>
        <v>2000</v>
      </c>
      <c r="V3" s="19">
        <f>I3-U3</f>
        <v>0</v>
      </c>
      <c r="W3" s="19">
        <f>G3-I3</f>
        <v>1500</v>
      </c>
      <c r="X3" s="14" t="s">
        <v>35</v>
      </c>
      <c r="Y3" s="198">
        <v>45627</v>
      </c>
      <c r="Z3" s="14"/>
      <c r="AA3" s="34"/>
      <c r="AB3" s="34"/>
    </row>
    <row r="4" spans="1:28">
      <c r="A4" s="13">
        <v>45639</v>
      </c>
      <c r="B4" s="14">
        <v>2</v>
      </c>
      <c r="C4" s="217" t="str">
        <f>C51</f>
        <v>AGUARDANDO</v>
      </c>
      <c r="D4" s="16" t="s">
        <v>36</v>
      </c>
      <c r="E4" s="16" t="s">
        <v>37</v>
      </c>
      <c r="F4" s="18" t="s">
        <v>38</v>
      </c>
      <c r="G4" s="19">
        <v>150</v>
      </c>
      <c r="H4" s="14" t="s">
        <v>39</v>
      </c>
      <c r="I4" s="68">
        <v>150</v>
      </c>
      <c r="J4" s="15" t="s">
        <v>40</v>
      </c>
      <c r="K4" s="175" t="s">
        <v>32</v>
      </c>
      <c r="L4" s="209">
        <f>I4/3/2</f>
        <v>25</v>
      </c>
      <c r="M4" s="209" t="str">
        <f>M3</f>
        <v>GESTÃO</v>
      </c>
      <c r="N4" s="210" t="s">
        <v>34</v>
      </c>
      <c r="O4" s="85">
        <f>G4/3</f>
        <v>50</v>
      </c>
      <c r="P4" s="86">
        <v>1</v>
      </c>
      <c r="Q4" s="226">
        <f>L4</f>
        <v>25</v>
      </c>
      <c r="R4" s="160">
        <f>R3</f>
        <v>0.0151515090909091</v>
      </c>
      <c r="S4" s="19">
        <f>Q4/11</f>
        <v>2.27272727272727</v>
      </c>
      <c r="T4" s="161">
        <f>O4</f>
        <v>50</v>
      </c>
      <c r="U4" s="212">
        <f>L4+O4+Q4+T4</f>
        <v>150</v>
      </c>
      <c r="V4" s="19">
        <f>I4-U4</f>
        <v>0</v>
      </c>
      <c r="W4" s="19">
        <f>G4-I4</f>
        <v>0</v>
      </c>
      <c r="X4" s="14" t="str">
        <f>X51</f>
        <v>ÚNICA</v>
      </c>
      <c r="Y4" s="198">
        <v>45627</v>
      </c>
      <c r="Z4" s="14"/>
      <c r="AA4" s="34"/>
      <c r="AB4" s="34"/>
    </row>
    <row r="5" spans="1:28">
      <c r="A5" s="13">
        <v>45641</v>
      </c>
      <c r="B5" s="14">
        <v>3</v>
      </c>
      <c r="C5" s="217" t="str">
        <f>C3</f>
        <v>RECEBIDO</v>
      </c>
      <c r="D5" s="16" t="s">
        <v>36</v>
      </c>
      <c r="E5" s="16" t="s">
        <v>37</v>
      </c>
      <c r="F5" s="18" t="s">
        <v>41</v>
      </c>
      <c r="G5" s="19">
        <v>2750</v>
      </c>
      <c r="H5" s="14" t="s">
        <v>42</v>
      </c>
      <c r="I5" s="68">
        <v>1500</v>
      </c>
      <c r="J5" s="15" t="s">
        <v>40</v>
      </c>
      <c r="K5" s="175" t="s">
        <v>32</v>
      </c>
      <c r="L5" s="209">
        <f>I5/3/2</f>
        <v>250</v>
      </c>
      <c r="M5" s="209" t="str">
        <f>M3</f>
        <v>GESTÃO</v>
      </c>
      <c r="N5" s="210" t="s">
        <v>34</v>
      </c>
      <c r="O5" s="85">
        <f>I5/3</f>
        <v>500</v>
      </c>
      <c r="P5" s="86">
        <v>1</v>
      </c>
      <c r="Q5" s="226">
        <f>L5</f>
        <v>250</v>
      </c>
      <c r="R5" s="160">
        <f>R3</f>
        <v>0.0151515090909091</v>
      </c>
      <c r="S5" s="19">
        <f>Q5/11</f>
        <v>22.7272727272727</v>
      </c>
      <c r="T5" s="161">
        <f>O5</f>
        <v>500</v>
      </c>
      <c r="U5" s="212">
        <f>L5+O5+Q5+T5</f>
        <v>1500</v>
      </c>
      <c r="V5" s="19">
        <f>I5-U5</f>
        <v>0</v>
      </c>
      <c r="W5" s="19">
        <f>G5-I5</f>
        <v>1250</v>
      </c>
      <c r="X5" s="14" t="str">
        <f>X3</f>
        <v>ENTRADA</v>
      </c>
      <c r="Y5" s="198">
        <v>45627</v>
      </c>
      <c r="Z5" s="14"/>
      <c r="AA5" s="34"/>
      <c r="AB5" s="34"/>
    </row>
    <row r="6" spans="1:28">
      <c r="A6" s="13">
        <v>45642</v>
      </c>
      <c r="B6" s="14">
        <v>4</v>
      </c>
      <c r="C6" s="217" t="str">
        <f>C3</f>
        <v>RECEBIDO</v>
      </c>
      <c r="D6" s="16" t="s">
        <v>43</v>
      </c>
      <c r="E6" s="16" t="s">
        <v>37</v>
      </c>
      <c r="F6" s="18" t="s">
        <v>44</v>
      </c>
      <c r="G6" s="19">
        <v>4000</v>
      </c>
      <c r="H6" s="14" t="s">
        <v>45</v>
      </c>
      <c r="I6" s="68">
        <v>500</v>
      </c>
      <c r="J6" s="15" t="s">
        <v>40</v>
      </c>
      <c r="K6" s="175" t="s">
        <v>32</v>
      </c>
      <c r="L6" s="209">
        <f>I6/3/2</f>
        <v>83.3333333333333</v>
      </c>
      <c r="M6" s="209" t="str">
        <f>M3</f>
        <v>GESTÃO</v>
      </c>
      <c r="N6" s="69" t="s">
        <v>46</v>
      </c>
      <c r="O6" s="70">
        <f>I6/3/2</f>
        <v>83.3333333333333</v>
      </c>
      <c r="P6" s="69">
        <v>3</v>
      </c>
      <c r="Q6" s="226">
        <f>L6</f>
        <v>83.3333333333333</v>
      </c>
      <c r="R6" s="160">
        <f>R3</f>
        <v>0.0151515090909091</v>
      </c>
      <c r="S6" s="19">
        <f>Q6/11</f>
        <v>7.57575757575758</v>
      </c>
      <c r="T6" s="161">
        <f>I6/3</f>
        <v>166.666666666667</v>
      </c>
      <c r="U6" s="212">
        <v>500</v>
      </c>
      <c r="V6" s="19">
        <f>I6-U6</f>
        <v>0</v>
      </c>
      <c r="W6" s="19">
        <f>G6-I6</f>
        <v>3500</v>
      </c>
      <c r="X6" s="14" t="s">
        <v>47</v>
      </c>
      <c r="Y6" s="198">
        <v>45627</v>
      </c>
      <c r="Z6" s="14"/>
      <c r="AA6" s="34"/>
      <c r="AB6" s="34"/>
    </row>
    <row r="7" spans="1:28">
      <c r="A7" s="16"/>
      <c r="B7" s="16"/>
      <c r="C7" s="16"/>
      <c r="D7" s="16"/>
      <c r="E7" s="16"/>
      <c r="F7" s="18"/>
      <c r="G7" s="247"/>
      <c r="H7" s="14"/>
      <c r="I7" s="19"/>
      <c r="J7" s="14"/>
      <c r="K7" s="16"/>
      <c r="L7" s="14"/>
      <c r="M7" s="14"/>
      <c r="N7" s="73" t="s">
        <v>48</v>
      </c>
      <c r="O7" s="74">
        <f>I6/3/2</f>
        <v>83.3333333333333</v>
      </c>
      <c r="P7" s="69">
        <v>3</v>
      </c>
      <c r="Q7" s="268"/>
      <c r="R7" s="160"/>
      <c r="S7" s="14"/>
      <c r="T7" s="14"/>
      <c r="U7" s="14"/>
      <c r="V7" s="16"/>
      <c r="W7" s="16"/>
      <c r="X7" s="16"/>
      <c r="Y7" s="16"/>
      <c r="Z7" s="14"/>
      <c r="AA7" s="34"/>
      <c r="AB7" s="34"/>
    </row>
    <row r="8" spans="1:28">
      <c r="A8" s="13">
        <v>45646</v>
      </c>
      <c r="B8" s="14">
        <v>5</v>
      </c>
      <c r="C8" s="217" t="s">
        <v>26</v>
      </c>
      <c r="D8" s="16" t="s">
        <v>49</v>
      </c>
      <c r="E8" s="16" t="s">
        <v>50</v>
      </c>
      <c r="F8" s="18" t="s">
        <v>51</v>
      </c>
      <c r="G8" s="19">
        <v>878</v>
      </c>
      <c r="H8" s="14" t="s">
        <v>39</v>
      </c>
      <c r="I8" s="68">
        <v>878</v>
      </c>
      <c r="J8" s="15" t="str">
        <f>J6</f>
        <v>PIX JSPJ</v>
      </c>
      <c r="K8" s="69" t="s">
        <v>46</v>
      </c>
      <c r="L8" s="70">
        <f>I8/3/2</f>
        <v>146.333333333333</v>
      </c>
      <c r="M8" s="69">
        <v>3</v>
      </c>
      <c r="N8" s="73" t="s">
        <v>48</v>
      </c>
      <c r="O8" s="74">
        <f>L8</f>
        <v>146.333333333333</v>
      </c>
      <c r="P8" s="69">
        <v>3</v>
      </c>
      <c r="Q8" s="226">
        <f>L8</f>
        <v>146.333333333333</v>
      </c>
      <c r="R8" s="160">
        <f>R3</f>
        <v>0.0151515090909091</v>
      </c>
      <c r="S8" s="19">
        <f>Q8/11</f>
        <v>13.3030303030303</v>
      </c>
      <c r="T8" s="161">
        <f>I8/3</f>
        <v>292.666666666667</v>
      </c>
      <c r="U8" s="212">
        <f>L8+O8+Q8+O9+T8</f>
        <v>878</v>
      </c>
      <c r="V8" s="19">
        <f>I8-U8</f>
        <v>0</v>
      </c>
      <c r="W8" s="19">
        <v>0</v>
      </c>
      <c r="X8" s="14" t="s">
        <v>52</v>
      </c>
      <c r="Y8" s="198">
        <v>45627</v>
      </c>
      <c r="Z8" s="14" t="s">
        <v>53</v>
      </c>
      <c r="AA8" s="34"/>
      <c r="AB8" s="34"/>
    </row>
    <row r="9" spans="1:28">
      <c r="A9" s="16"/>
      <c r="B9" s="16"/>
      <c r="C9" s="16"/>
      <c r="D9" s="16"/>
      <c r="E9" s="16"/>
      <c r="F9" s="18"/>
      <c r="G9" s="247"/>
      <c r="H9" s="14"/>
      <c r="I9" s="19"/>
      <c r="J9" s="14"/>
      <c r="K9" s="16"/>
      <c r="L9" s="14"/>
      <c r="M9" s="14"/>
      <c r="N9" s="251" t="s">
        <v>54</v>
      </c>
      <c r="O9" s="252">
        <f>L8</f>
        <v>146.333333333333</v>
      </c>
      <c r="P9" s="69">
        <v>3</v>
      </c>
      <c r="Q9" s="34"/>
      <c r="R9" s="160"/>
      <c r="S9" s="14"/>
      <c r="T9" s="14"/>
      <c r="U9" s="14"/>
      <c r="V9" s="16"/>
      <c r="W9" s="16"/>
      <c r="X9" s="16"/>
      <c r="Y9" s="16"/>
      <c r="Z9" s="14"/>
      <c r="AA9" s="34"/>
      <c r="AB9" s="34"/>
    </row>
    <row r="10" spans="1:28">
      <c r="A10" s="13">
        <v>45673</v>
      </c>
      <c r="B10" s="14">
        <v>6</v>
      </c>
      <c r="C10" s="217" t="str">
        <f>C6</f>
        <v>RECEBIDO</v>
      </c>
      <c r="D10" s="16" t="s">
        <v>43</v>
      </c>
      <c r="E10" s="16" t="s">
        <v>37</v>
      </c>
      <c r="F10" s="18" t="s">
        <v>44</v>
      </c>
      <c r="G10" s="19">
        <v>4000</v>
      </c>
      <c r="H10" s="14" t="s">
        <v>45</v>
      </c>
      <c r="I10" s="68">
        <v>500</v>
      </c>
      <c r="J10" s="15" t="s">
        <v>40</v>
      </c>
      <c r="K10" s="175" t="s">
        <v>32</v>
      </c>
      <c r="L10" s="209">
        <f>I10/3/2</f>
        <v>83.3333333333333</v>
      </c>
      <c r="M10" s="209" t="str">
        <f>M3</f>
        <v>GESTÃO</v>
      </c>
      <c r="N10" s="69" t="s">
        <v>46</v>
      </c>
      <c r="O10" s="70">
        <f>I10/3/2</f>
        <v>83.3333333333333</v>
      </c>
      <c r="P10" s="69">
        <v>3</v>
      </c>
      <c r="Q10" s="226">
        <f>L10</f>
        <v>83.3333333333333</v>
      </c>
      <c r="R10" s="160">
        <f>R3</f>
        <v>0.0151515090909091</v>
      </c>
      <c r="S10" s="19">
        <f>Q10/11</f>
        <v>7.57575757575758</v>
      </c>
      <c r="T10" s="161">
        <f>I10/3</f>
        <v>166.666666666667</v>
      </c>
      <c r="U10" s="212">
        <v>500</v>
      </c>
      <c r="V10" s="19">
        <f>I10-U10</f>
        <v>0</v>
      </c>
      <c r="W10" s="19">
        <f>I10*6</f>
        <v>3000</v>
      </c>
      <c r="X10" s="14" t="s">
        <v>55</v>
      </c>
      <c r="Y10" s="198">
        <v>45627</v>
      </c>
      <c r="Z10" s="14"/>
      <c r="AA10" s="34"/>
      <c r="AB10" s="34"/>
    </row>
    <row r="11" spans="1:28">
      <c r="A11" s="16"/>
      <c r="B11" s="16"/>
      <c r="C11" s="16"/>
      <c r="D11" s="16"/>
      <c r="E11" s="16"/>
      <c r="F11" s="18"/>
      <c r="G11" s="247"/>
      <c r="H11" s="14"/>
      <c r="I11" s="19"/>
      <c r="J11" s="14"/>
      <c r="K11" s="16"/>
      <c r="L11" s="14"/>
      <c r="M11" s="14"/>
      <c r="N11" s="73" t="s">
        <v>48</v>
      </c>
      <c r="O11" s="74">
        <f>I10/3/2</f>
        <v>83.3333333333333</v>
      </c>
      <c r="P11" s="69">
        <v>3</v>
      </c>
      <c r="Q11" s="268"/>
      <c r="R11" s="160"/>
      <c r="S11" s="14"/>
      <c r="T11" s="14"/>
      <c r="U11" s="14"/>
      <c r="V11" s="16"/>
      <c r="W11" s="16"/>
      <c r="X11" s="16"/>
      <c r="Y11" s="16"/>
      <c r="Z11" s="14"/>
      <c r="AA11" s="34"/>
      <c r="AB11" s="34"/>
    </row>
    <row r="12" spans="1:28">
      <c r="A12" s="13">
        <v>45674</v>
      </c>
      <c r="B12" s="14">
        <v>7</v>
      </c>
      <c r="C12" s="217" t="s">
        <v>26</v>
      </c>
      <c r="D12" s="16" t="s">
        <v>56</v>
      </c>
      <c r="E12" s="16" t="s">
        <v>57</v>
      </c>
      <c r="F12" s="18" t="s">
        <v>58</v>
      </c>
      <c r="G12" s="19">
        <v>700</v>
      </c>
      <c r="H12" s="14" t="s">
        <v>39</v>
      </c>
      <c r="I12" s="68">
        <v>700</v>
      </c>
      <c r="J12" s="15" t="s">
        <v>59</v>
      </c>
      <c r="K12" s="175" t="s">
        <v>32</v>
      </c>
      <c r="L12" s="209">
        <f>I12/3/2</f>
        <v>116.666666666667</v>
      </c>
      <c r="M12" s="209" t="str">
        <f>M3</f>
        <v>GESTÃO</v>
      </c>
      <c r="N12" s="73" t="s">
        <v>48</v>
      </c>
      <c r="O12" s="74">
        <f>I12/3/2</f>
        <v>116.666666666667</v>
      </c>
      <c r="P12" s="69">
        <v>3</v>
      </c>
      <c r="Q12" s="226">
        <f>I12/3/2</f>
        <v>116.666666666667</v>
      </c>
      <c r="R12" s="160">
        <f>R3</f>
        <v>0.0151515090909091</v>
      </c>
      <c r="S12" s="19">
        <f>Q12/11</f>
        <v>10.6060606060606</v>
      </c>
      <c r="T12" s="161">
        <f>I12/3</f>
        <v>233.333333333333</v>
      </c>
      <c r="U12" s="212">
        <f>L12+O12+Q12+O13+T12</f>
        <v>700</v>
      </c>
      <c r="V12" s="19">
        <f>I12-U12</f>
        <v>0</v>
      </c>
      <c r="W12" s="19">
        <v>0</v>
      </c>
      <c r="X12" s="14" t="s">
        <v>52</v>
      </c>
      <c r="Y12" s="198">
        <v>45658</v>
      </c>
      <c r="Z12" s="14"/>
      <c r="AA12" s="34"/>
      <c r="AB12" s="34"/>
    </row>
    <row r="13" spans="1:28">
      <c r="A13" s="16"/>
      <c r="B13" s="16"/>
      <c r="C13" s="16"/>
      <c r="D13" s="16"/>
      <c r="E13" s="16"/>
      <c r="F13" s="18"/>
      <c r="G13" s="247"/>
      <c r="H13" s="14"/>
      <c r="I13" s="19"/>
      <c r="J13" s="14"/>
      <c r="K13" s="16"/>
      <c r="L13" s="14"/>
      <c r="M13" s="14"/>
      <c r="N13" s="251" t="s">
        <v>54</v>
      </c>
      <c r="O13" s="252">
        <f>L12</f>
        <v>116.666666666667</v>
      </c>
      <c r="P13" s="69">
        <v>3</v>
      </c>
      <c r="Q13" s="34"/>
      <c r="R13" s="160"/>
      <c r="S13" s="14"/>
      <c r="T13" s="14"/>
      <c r="U13" s="14"/>
      <c r="V13" s="16"/>
      <c r="W13" s="16"/>
      <c r="X13" s="16"/>
      <c r="Y13" s="16"/>
      <c r="Z13" s="14"/>
      <c r="AA13" s="34"/>
      <c r="AB13" s="34"/>
    </row>
    <row r="14" spans="1:28">
      <c r="A14" s="13">
        <v>44216</v>
      </c>
      <c r="B14" s="14">
        <v>8</v>
      </c>
      <c r="C14" s="217" t="str">
        <f>C12</f>
        <v>RECEBIDO</v>
      </c>
      <c r="D14" s="16" t="s">
        <v>36</v>
      </c>
      <c r="E14" s="16" t="s">
        <v>37</v>
      </c>
      <c r="F14" s="18" t="s">
        <v>41</v>
      </c>
      <c r="G14" s="19">
        <v>2750</v>
      </c>
      <c r="H14" s="14" t="s">
        <v>42</v>
      </c>
      <c r="I14" s="68">
        <v>250</v>
      </c>
      <c r="J14" s="15" t="s">
        <v>40</v>
      </c>
      <c r="K14" s="175" t="s">
        <v>32</v>
      </c>
      <c r="L14" s="209">
        <f>I14/3/2</f>
        <v>41.6666666666667</v>
      </c>
      <c r="M14" s="209" t="str">
        <f>M12</f>
        <v>GESTÃO</v>
      </c>
      <c r="N14" s="210" t="s">
        <v>34</v>
      </c>
      <c r="O14" s="85">
        <f>I14/3</f>
        <v>83.3333333333333</v>
      </c>
      <c r="P14" s="86">
        <v>1</v>
      </c>
      <c r="Q14" s="226">
        <f>L14</f>
        <v>41.6666666666667</v>
      </c>
      <c r="R14" s="160">
        <f>R3</f>
        <v>0.0151515090909091</v>
      </c>
      <c r="S14" s="19">
        <f>Q14/11</f>
        <v>3.78787878787879</v>
      </c>
      <c r="T14" s="161">
        <f>O14</f>
        <v>83.3333333333333</v>
      </c>
      <c r="U14" s="212">
        <f>L14+O14+Q14+T14</f>
        <v>250</v>
      </c>
      <c r="V14" s="19">
        <f>I14-U14</f>
        <v>0</v>
      </c>
      <c r="W14" s="19">
        <f>G14-I14</f>
        <v>2500</v>
      </c>
      <c r="X14" s="14" t="str">
        <f>X12</f>
        <v>ÚNICA</v>
      </c>
      <c r="Y14" s="198">
        <v>45627</v>
      </c>
      <c r="Z14" s="14"/>
      <c r="AA14" s="34"/>
      <c r="AB14" s="34"/>
    </row>
    <row r="15" spans="1:28">
      <c r="A15" s="13">
        <v>45678</v>
      </c>
      <c r="B15" s="14">
        <v>9</v>
      </c>
      <c r="C15" s="217" t="s">
        <v>26</v>
      </c>
      <c r="D15" s="24" t="s">
        <v>60</v>
      </c>
      <c r="E15" s="16" t="s">
        <v>57</v>
      </c>
      <c r="F15" s="18" t="s">
        <v>58</v>
      </c>
      <c r="G15" s="19">
        <v>750</v>
      </c>
      <c r="H15" s="14" t="s">
        <v>39</v>
      </c>
      <c r="I15" s="68">
        <v>750</v>
      </c>
      <c r="J15" s="15" t="s">
        <v>59</v>
      </c>
      <c r="K15" s="175" t="s">
        <v>32</v>
      </c>
      <c r="L15" s="209">
        <f>I15/3/2</f>
        <v>125</v>
      </c>
      <c r="M15" s="209" t="str">
        <f>M6</f>
        <v>GESTÃO</v>
      </c>
      <c r="N15" s="73" t="s">
        <v>48</v>
      </c>
      <c r="O15" s="74">
        <f>I15/3/2</f>
        <v>125</v>
      </c>
      <c r="P15" s="69">
        <v>3</v>
      </c>
      <c r="Q15" s="226">
        <f>I15/3/2</f>
        <v>125</v>
      </c>
      <c r="R15" s="160">
        <f>R3</f>
        <v>0.0151515090909091</v>
      </c>
      <c r="S15" s="19">
        <f>Q15/11</f>
        <v>11.3636363636364</v>
      </c>
      <c r="T15" s="161">
        <f>I15/3</f>
        <v>250</v>
      </c>
      <c r="U15" s="212">
        <f>L15+O15+Q15+O16+T15</f>
        <v>750</v>
      </c>
      <c r="V15" s="19">
        <f>I15-U15</f>
        <v>0</v>
      </c>
      <c r="W15" s="19">
        <v>0</v>
      </c>
      <c r="X15" s="14" t="s">
        <v>52</v>
      </c>
      <c r="Y15" s="198">
        <v>45658</v>
      </c>
      <c r="Z15" s="14"/>
      <c r="AA15" s="34"/>
      <c r="AB15" s="34"/>
    </row>
    <row r="16" spans="1:28">
      <c r="A16" s="16"/>
      <c r="B16" s="16"/>
      <c r="C16" s="16"/>
      <c r="D16" s="16"/>
      <c r="E16" s="16"/>
      <c r="F16" s="18"/>
      <c r="G16" s="247"/>
      <c r="H16" s="14"/>
      <c r="I16" s="19"/>
      <c r="J16" s="14"/>
      <c r="K16" s="16"/>
      <c r="L16" s="14"/>
      <c r="M16" s="14"/>
      <c r="N16" s="251" t="s">
        <v>54</v>
      </c>
      <c r="O16" s="252">
        <f>L15</f>
        <v>125</v>
      </c>
      <c r="P16" s="69">
        <v>3</v>
      </c>
      <c r="Q16" s="34"/>
      <c r="R16" s="160"/>
      <c r="S16" s="14"/>
      <c r="T16" s="14"/>
      <c r="U16" s="14"/>
      <c r="V16" s="16"/>
      <c r="W16" s="16"/>
      <c r="X16" s="16"/>
      <c r="Y16" s="16"/>
      <c r="Z16" s="14"/>
      <c r="AA16" s="34"/>
      <c r="AB16" s="34"/>
    </row>
    <row r="17" spans="1:28">
      <c r="A17" s="13">
        <v>45679</v>
      </c>
      <c r="B17" s="14">
        <v>10</v>
      </c>
      <c r="C17" s="217" t="s">
        <v>26</v>
      </c>
      <c r="D17" s="24" t="s">
        <v>61</v>
      </c>
      <c r="E17" s="16" t="s">
        <v>57</v>
      </c>
      <c r="F17" s="18" t="s">
        <v>62</v>
      </c>
      <c r="G17" s="19">
        <v>750</v>
      </c>
      <c r="H17" s="14" t="s">
        <v>39</v>
      </c>
      <c r="I17" s="68">
        <v>750</v>
      </c>
      <c r="J17" s="15" t="s">
        <v>59</v>
      </c>
      <c r="K17" s="175" t="s">
        <v>32</v>
      </c>
      <c r="L17" s="209">
        <f>I17/3/2</f>
        <v>125</v>
      </c>
      <c r="M17" s="209" t="str">
        <f>M15</f>
        <v>GESTÃO</v>
      </c>
      <c r="N17" s="73" t="s">
        <v>48</v>
      </c>
      <c r="O17" s="74">
        <f>I17/3/2</f>
        <v>125</v>
      </c>
      <c r="P17" s="69">
        <v>3</v>
      </c>
      <c r="Q17" s="226">
        <f>I17/3/2</f>
        <v>125</v>
      </c>
      <c r="R17" s="160">
        <f>R3</f>
        <v>0.0151515090909091</v>
      </c>
      <c r="S17" s="19">
        <f>Q17/11</f>
        <v>11.3636363636364</v>
      </c>
      <c r="T17" s="161">
        <f>I17/3</f>
        <v>250</v>
      </c>
      <c r="U17" s="212">
        <f>L17+O17+Q17+O18+T17</f>
        <v>750</v>
      </c>
      <c r="V17" s="19">
        <f>I17-U17</f>
        <v>0</v>
      </c>
      <c r="W17" s="19">
        <v>0</v>
      </c>
      <c r="X17" s="14" t="s">
        <v>52</v>
      </c>
      <c r="Y17" s="198">
        <v>45658</v>
      </c>
      <c r="Z17" s="14"/>
      <c r="AA17" s="34"/>
      <c r="AB17" s="34"/>
    </row>
    <row r="18" spans="1:28">
      <c r="A18" s="16"/>
      <c r="B18" s="16"/>
      <c r="C18" s="16"/>
      <c r="D18" s="16"/>
      <c r="E18" s="16"/>
      <c r="F18" s="18"/>
      <c r="G18" s="247"/>
      <c r="H18" s="14"/>
      <c r="I18" s="19"/>
      <c r="J18" s="14"/>
      <c r="K18" s="16"/>
      <c r="L18" s="14"/>
      <c r="M18" s="14"/>
      <c r="N18" s="251" t="s">
        <v>54</v>
      </c>
      <c r="O18" s="252">
        <f>L17</f>
        <v>125</v>
      </c>
      <c r="P18" s="69">
        <v>3</v>
      </c>
      <c r="Q18" s="34"/>
      <c r="R18" s="160"/>
      <c r="S18" s="14"/>
      <c r="T18" s="14"/>
      <c r="U18" s="14"/>
      <c r="V18" s="16"/>
      <c r="W18" s="16"/>
      <c r="X18" s="16"/>
      <c r="Y18" s="16"/>
      <c r="Z18" s="14"/>
      <c r="AA18" s="34"/>
      <c r="AB18" s="34"/>
    </row>
    <row r="19" spans="1:28">
      <c r="A19" s="13">
        <v>45680</v>
      </c>
      <c r="B19" s="14">
        <v>11</v>
      </c>
      <c r="C19" s="217" t="s">
        <v>26</v>
      </c>
      <c r="D19" s="16" t="s">
        <v>63</v>
      </c>
      <c r="E19" s="14" t="s">
        <v>37</v>
      </c>
      <c r="F19" s="18" t="s">
        <v>64</v>
      </c>
      <c r="G19" s="19">
        <f>(150+450)</f>
        <v>600</v>
      </c>
      <c r="H19" s="14" t="str">
        <f>H17</f>
        <v>PARCELA ÚNICA</v>
      </c>
      <c r="I19" s="68">
        <v>600</v>
      </c>
      <c r="J19" s="15" t="s">
        <v>40</v>
      </c>
      <c r="K19" s="69" t="s">
        <v>46</v>
      </c>
      <c r="L19" s="70">
        <f t="shared" ref="L19:L24" si="0">I19/3/2</f>
        <v>100</v>
      </c>
      <c r="M19" s="69">
        <v>3</v>
      </c>
      <c r="N19" s="69" t="s">
        <v>46</v>
      </c>
      <c r="O19" s="70">
        <f t="shared" ref="O19:O24" si="1">I19/3</f>
        <v>200</v>
      </c>
      <c r="P19" s="69">
        <v>3</v>
      </c>
      <c r="Q19" s="226">
        <f t="shared" ref="Q19:Q24" si="2">L19</f>
        <v>100</v>
      </c>
      <c r="R19" s="160">
        <f>R3</f>
        <v>0.0151515090909091</v>
      </c>
      <c r="S19" s="19">
        <f t="shared" ref="S19:S24" si="3">Q19/11</f>
        <v>9.09090909090909</v>
      </c>
      <c r="T19" s="161">
        <f>I19/3</f>
        <v>200</v>
      </c>
      <c r="U19" s="212">
        <f t="shared" ref="U19:U24" si="4">L19+O19+Q19+T19</f>
        <v>600</v>
      </c>
      <c r="V19" s="19">
        <f t="shared" ref="V19:V24" si="5">I19-U19</f>
        <v>0</v>
      </c>
      <c r="W19" s="19">
        <f>G19-I19</f>
        <v>0</v>
      </c>
      <c r="X19" s="14" t="str">
        <f>X17</f>
        <v>ÚNICA</v>
      </c>
      <c r="Y19" s="198">
        <f>Y17</f>
        <v>45658</v>
      </c>
      <c r="Z19" s="14" t="s">
        <v>65</v>
      </c>
      <c r="AA19" s="34"/>
      <c r="AB19" s="34"/>
    </row>
    <row r="20" spans="1:28">
      <c r="A20" s="13">
        <v>45680</v>
      </c>
      <c r="B20" s="14">
        <v>12</v>
      </c>
      <c r="C20" s="217" t="s">
        <v>26</v>
      </c>
      <c r="D20" s="16" t="s">
        <v>66</v>
      </c>
      <c r="E20" s="14" t="s">
        <v>67</v>
      </c>
      <c r="F20" s="18" t="s">
        <v>68</v>
      </c>
      <c r="G20" s="19">
        <v>150</v>
      </c>
      <c r="H20" s="14" t="str">
        <f>H19</f>
        <v>PARCELA ÚNICA</v>
      </c>
      <c r="I20" s="68">
        <v>150</v>
      </c>
      <c r="J20" s="15" t="s">
        <v>40</v>
      </c>
      <c r="K20" s="69" t="s">
        <v>46</v>
      </c>
      <c r="L20" s="70">
        <f t="shared" si="0"/>
        <v>25</v>
      </c>
      <c r="M20" s="69">
        <v>3</v>
      </c>
      <c r="N20" s="69" t="s">
        <v>46</v>
      </c>
      <c r="O20" s="70">
        <f t="shared" si="1"/>
        <v>50</v>
      </c>
      <c r="P20" s="69">
        <v>3</v>
      </c>
      <c r="Q20" s="226">
        <f t="shared" si="2"/>
        <v>25</v>
      </c>
      <c r="R20" s="160">
        <f>R4</f>
        <v>0.0151515090909091</v>
      </c>
      <c r="S20" s="19">
        <f t="shared" si="3"/>
        <v>2.27272727272727</v>
      </c>
      <c r="T20" s="161">
        <f>I20/3</f>
        <v>50</v>
      </c>
      <c r="U20" s="212">
        <f t="shared" si="4"/>
        <v>150</v>
      </c>
      <c r="V20" s="19">
        <f t="shared" si="5"/>
        <v>0</v>
      </c>
      <c r="W20" s="19">
        <v>0</v>
      </c>
      <c r="X20" s="14" t="str">
        <f>X19</f>
        <v>ÚNICA</v>
      </c>
      <c r="Y20" s="198">
        <f>Y19</f>
        <v>45658</v>
      </c>
      <c r="Z20" s="14"/>
      <c r="AA20" s="34"/>
      <c r="AB20" s="34"/>
    </row>
    <row r="21" spans="1:28">
      <c r="A21" s="13">
        <v>45681</v>
      </c>
      <c r="B21" s="14">
        <v>13</v>
      </c>
      <c r="C21" s="217" t="s">
        <v>26</v>
      </c>
      <c r="D21" s="16" t="s">
        <v>69</v>
      </c>
      <c r="E21" s="14" t="s">
        <v>70</v>
      </c>
      <c r="F21" s="18" t="s">
        <v>38</v>
      </c>
      <c r="G21" s="19">
        <v>300</v>
      </c>
      <c r="H21" s="14" t="str">
        <f>H20</f>
        <v>PARCELA ÚNICA</v>
      </c>
      <c r="I21" s="68">
        <v>300</v>
      </c>
      <c r="J21" s="15" t="s">
        <v>40</v>
      </c>
      <c r="K21" s="175" t="s">
        <v>32</v>
      </c>
      <c r="L21" s="209">
        <f t="shared" si="0"/>
        <v>50</v>
      </c>
      <c r="M21" s="250" t="s">
        <v>33</v>
      </c>
      <c r="N21" s="210" t="s">
        <v>34</v>
      </c>
      <c r="O21" s="85">
        <f t="shared" si="1"/>
        <v>100</v>
      </c>
      <c r="P21" s="86">
        <v>1</v>
      </c>
      <c r="Q21" s="226">
        <f t="shared" si="2"/>
        <v>50</v>
      </c>
      <c r="R21" s="160">
        <f>R5</f>
        <v>0.0151515090909091</v>
      </c>
      <c r="S21" s="19">
        <f t="shared" si="3"/>
        <v>4.54545454545455</v>
      </c>
      <c r="T21" s="161">
        <f>I21/3</f>
        <v>100</v>
      </c>
      <c r="U21" s="212">
        <f t="shared" si="4"/>
        <v>300</v>
      </c>
      <c r="V21" s="19">
        <f t="shared" si="5"/>
        <v>0</v>
      </c>
      <c r="W21" s="19">
        <v>0</v>
      </c>
      <c r="X21" s="14" t="str">
        <f>X20</f>
        <v>ÚNICA</v>
      </c>
      <c r="Y21" s="198">
        <f>Y19</f>
        <v>45658</v>
      </c>
      <c r="Z21" s="14"/>
      <c r="AA21" s="34"/>
      <c r="AB21" s="34"/>
    </row>
    <row r="22" spans="1:28">
      <c r="A22" s="13">
        <v>45684</v>
      </c>
      <c r="B22" s="14">
        <v>14</v>
      </c>
      <c r="C22" s="217" t="s">
        <v>26</v>
      </c>
      <c r="D22" s="16" t="s">
        <v>71</v>
      </c>
      <c r="E22" s="14" t="s">
        <v>72</v>
      </c>
      <c r="F22" s="18" t="s">
        <v>73</v>
      </c>
      <c r="G22" s="19">
        <v>150</v>
      </c>
      <c r="H22" s="14" t="str">
        <f>H21</f>
        <v>PARCELA ÚNICA</v>
      </c>
      <c r="I22" s="68">
        <v>150</v>
      </c>
      <c r="J22" s="15" t="s">
        <v>40</v>
      </c>
      <c r="K22" s="175" t="s">
        <v>32</v>
      </c>
      <c r="L22" s="209">
        <f t="shared" si="0"/>
        <v>25</v>
      </c>
      <c r="M22" s="209" t="str">
        <f>M17</f>
        <v>GESTÃO</v>
      </c>
      <c r="N22" s="175" t="s">
        <v>32</v>
      </c>
      <c r="O22" s="209">
        <f t="shared" si="1"/>
        <v>50</v>
      </c>
      <c r="P22" s="209" t="str">
        <f>M17</f>
        <v>GESTÃO</v>
      </c>
      <c r="Q22" s="226">
        <f t="shared" si="2"/>
        <v>25</v>
      </c>
      <c r="R22" s="160">
        <f>R6</f>
        <v>0.0151515090909091</v>
      </c>
      <c r="S22" s="19">
        <f t="shared" si="3"/>
        <v>2.27272727272727</v>
      </c>
      <c r="T22" s="161">
        <f>I22/3</f>
        <v>50</v>
      </c>
      <c r="U22" s="212">
        <f t="shared" si="4"/>
        <v>150</v>
      </c>
      <c r="V22" s="19">
        <f t="shared" si="5"/>
        <v>0</v>
      </c>
      <c r="W22" s="19">
        <v>0</v>
      </c>
      <c r="X22" s="14" t="str">
        <f>X21</f>
        <v>ÚNICA</v>
      </c>
      <c r="Y22" s="198">
        <f>Y20</f>
        <v>45658</v>
      </c>
      <c r="Z22" s="14"/>
      <c r="AA22" s="34"/>
      <c r="AB22" s="34"/>
    </row>
    <row r="23" spans="1:28">
      <c r="A23" s="13">
        <v>45684</v>
      </c>
      <c r="B23" s="14">
        <v>15</v>
      </c>
      <c r="C23" s="217" t="s">
        <v>26</v>
      </c>
      <c r="D23" s="16" t="s">
        <v>27</v>
      </c>
      <c r="E23" s="16" t="s">
        <v>28</v>
      </c>
      <c r="F23" s="18" t="s">
        <v>29</v>
      </c>
      <c r="G23" s="19">
        <v>3500</v>
      </c>
      <c r="H23" s="14" t="s">
        <v>30</v>
      </c>
      <c r="I23" s="68">
        <v>250</v>
      </c>
      <c r="J23" s="15" t="s">
        <v>74</v>
      </c>
      <c r="K23" s="175" t="s">
        <v>32</v>
      </c>
      <c r="L23" s="209">
        <f t="shared" si="0"/>
        <v>41.6666666666667</v>
      </c>
      <c r="M23" s="250" t="s">
        <v>33</v>
      </c>
      <c r="N23" s="210" t="s">
        <v>34</v>
      </c>
      <c r="O23" s="85">
        <f t="shared" si="1"/>
        <v>83.3333333333333</v>
      </c>
      <c r="P23" s="86">
        <v>1</v>
      </c>
      <c r="Q23" s="226">
        <f t="shared" si="2"/>
        <v>41.6666666666667</v>
      </c>
      <c r="R23" s="160">
        <f>R22</f>
        <v>0.0151515090909091</v>
      </c>
      <c r="S23" s="19">
        <f t="shared" si="3"/>
        <v>3.78787878787879</v>
      </c>
      <c r="T23" s="161">
        <f>O23</f>
        <v>83.3333333333333</v>
      </c>
      <c r="U23" s="212">
        <f t="shared" si="4"/>
        <v>250</v>
      </c>
      <c r="V23" s="19">
        <f t="shared" si="5"/>
        <v>0</v>
      </c>
      <c r="W23" s="19">
        <f>I23*5</f>
        <v>1250</v>
      </c>
      <c r="X23" s="14" t="s">
        <v>75</v>
      </c>
      <c r="Y23" s="198">
        <v>45627</v>
      </c>
      <c r="Z23" s="14"/>
      <c r="AA23" s="34"/>
      <c r="AB23" s="34"/>
    </row>
    <row r="24" spans="1:28">
      <c r="A24" s="13">
        <v>45685</v>
      </c>
      <c r="B24" s="14">
        <v>16</v>
      </c>
      <c r="C24" s="217" t="s">
        <v>26</v>
      </c>
      <c r="D24" s="16" t="s">
        <v>76</v>
      </c>
      <c r="E24" s="14" t="s">
        <v>70</v>
      </c>
      <c r="F24" s="18" t="s">
        <v>38</v>
      </c>
      <c r="G24" s="19">
        <v>150</v>
      </c>
      <c r="H24" s="14" t="str">
        <f>H22</f>
        <v>PARCELA ÚNICA</v>
      </c>
      <c r="I24" s="68">
        <v>150</v>
      </c>
      <c r="J24" s="15" t="str">
        <f>J17</f>
        <v>CARTÃO DÉBITO</v>
      </c>
      <c r="K24" s="69" t="s">
        <v>46</v>
      </c>
      <c r="L24" s="70">
        <f t="shared" si="0"/>
        <v>25</v>
      </c>
      <c r="M24" s="69">
        <v>3</v>
      </c>
      <c r="N24" s="69" t="s">
        <v>46</v>
      </c>
      <c r="O24" s="70">
        <f t="shared" si="1"/>
        <v>50</v>
      </c>
      <c r="P24" s="69">
        <v>3</v>
      </c>
      <c r="Q24" s="226">
        <f t="shared" si="2"/>
        <v>25</v>
      </c>
      <c r="R24" s="160">
        <f>R8</f>
        <v>0.0151515090909091</v>
      </c>
      <c r="S24" s="19">
        <f t="shared" si="3"/>
        <v>2.27272727272727</v>
      </c>
      <c r="T24" s="161">
        <f>I24/3</f>
        <v>50</v>
      </c>
      <c r="U24" s="212">
        <f t="shared" si="4"/>
        <v>150</v>
      </c>
      <c r="V24" s="19">
        <f t="shared" si="5"/>
        <v>0</v>
      </c>
      <c r="W24" s="19">
        <v>0</v>
      </c>
      <c r="X24" s="14" t="str">
        <f>X22</f>
        <v>ÚNICA</v>
      </c>
      <c r="Y24" s="198">
        <f>Y23</f>
        <v>45627</v>
      </c>
      <c r="Z24" s="14"/>
      <c r="AA24" s="34"/>
      <c r="AB24" s="34"/>
    </row>
    <row r="25" spans="1:28">
      <c r="A25" s="13">
        <v>45687</v>
      </c>
      <c r="B25" s="14">
        <v>17</v>
      </c>
      <c r="C25" s="217" t="s">
        <v>26</v>
      </c>
      <c r="D25" s="16" t="s">
        <v>77</v>
      </c>
      <c r="E25" s="14" t="s">
        <v>37</v>
      </c>
      <c r="F25" s="18" t="s">
        <v>38</v>
      </c>
      <c r="G25" s="19">
        <v>150</v>
      </c>
      <c r="H25" s="14" t="str">
        <f>H24</f>
        <v>PARCELA ÚNICA</v>
      </c>
      <c r="I25" s="68">
        <v>150</v>
      </c>
      <c r="J25" s="15" t="s">
        <v>40</v>
      </c>
      <c r="K25" s="175" t="s">
        <v>32</v>
      </c>
      <c r="L25" s="209">
        <f t="shared" ref="L25" si="6">I25/3/2</f>
        <v>25</v>
      </c>
      <c r="M25" s="250" t="s">
        <v>33</v>
      </c>
      <c r="N25" s="210" t="s">
        <v>34</v>
      </c>
      <c r="O25" s="85">
        <f t="shared" ref="O25" si="7">I25/3</f>
        <v>50</v>
      </c>
      <c r="P25" s="86">
        <v>1</v>
      </c>
      <c r="Q25" s="226">
        <f t="shared" ref="Q25" si="8">L25</f>
        <v>25</v>
      </c>
      <c r="R25" s="160">
        <f>R24</f>
        <v>0.0151515090909091</v>
      </c>
      <c r="S25" s="19">
        <f t="shared" ref="S25" si="9">Q25/11</f>
        <v>2.27272727272727</v>
      </c>
      <c r="T25" s="161">
        <f>I25/3</f>
        <v>50</v>
      </c>
      <c r="U25" s="212">
        <f t="shared" ref="U25" si="10">L25+O25+Q25+T25</f>
        <v>150</v>
      </c>
      <c r="V25" s="19">
        <f t="shared" ref="V25" si="11">I25-U25</f>
        <v>0</v>
      </c>
      <c r="W25" s="19">
        <v>0</v>
      </c>
      <c r="X25" s="14" t="str">
        <f>X24</f>
        <v>ÚNICA</v>
      </c>
      <c r="Y25" s="198">
        <f>Y23</f>
        <v>45627</v>
      </c>
      <c r="Z25" s="14"/>
      <c r="AA25" s="34"/>
      <c r="AB25" s="34"/>
    </row>
    <row r="26" spans="1:28">
      <c r="A26" s="60"/>
      <c r="B26" s="60"/>
      <c r="C26" s="60"/>
      <c r="D26" s="60"/>
      <c r="E26" s="60"/>
      <c r="F26" s="248"/>
      <c r="G26" s="249"/>
      <c r="H26" s="59"/>
      <c r="I26" s="61"/>
      <c r="J26" s="59"/>
      <c r="K26" s="60"/>
      <c r="L26" s="59"/>
      <c r="M26" s="14"/>
      <c r="N26" s="253"/>
      <c r="O26" s="61"/>
      <c r="P26" s="14"/>
      <c r="Q26" s="269"/>
      <c r="R26" s="270"/>
      <c r="S26" s="124"/>
      <c r="T26" s="271"/>
      <c r="U26" s="271"/>
      <c r="V26" s="61"/>
      <c r="W26" s="61"/>
      <c r="X26" s="60"/>
      <c r="Y26" s="60"/>
      <c r="Z26" s="59"/>
      <c r="AA26" s="34"/>
      <c r="AB26" s="34"/>
    </row>
    <row r="27" spans="1:28">
      <c r="A27" s="16"/>
      <c r="B27" s="16"/>
      <c r="C27" s="16"/>
      <c r="D27" s="16"/>
      <c r="E27" s="16"/>
      <c r="F27" s="18"/>
      <c r="G27" s="196"/>
      <c r="H27" s="14"/>
      <c r="I27" s="147">
        <f>SUM(I3:I25)</f>
        <v>9728</v>
      </c>
      <c r="J27" s="14"/>
      <c r="K27" s="16"/>
      <c r="L27" s="254">
        <f>SUM(L3:L25)</f>
        <v>1621.33333333333</v>
      </c>
      <c r="M27" s="14"/>
      <c r="N27" s="255"/>
      <c r="O27" s="149">
        <f>SUM(O3:O25)</f>
        <v>3242.66666666667</v>
      </c>
      <c r="P27" s="14"/>
      <c r="Q27" s="272">
        <f>SUM(Q3:Q25)</f>
        <v>1621.33333333333</v>
      </c>
      <c r="R27" s="160"/>
      <c r="S27" s="95">
        <f>SUM(S3:S25)</f>
        <v>147.393939393939</v>
      </c>
      <c r="T27" s="131">
        <f>SUM(T3:T25)</f>
        <v>3242.66666666667</v>
      </c>
      <c r="U27" s="273">
        <f>SUM(U3:U25)</f>
        <v>9728</v>
      </c>
      <c r="V27" s="19">
        <f>SUM(V3:V25)</f>
        <v>0</v>
      </c>
      <c r="W27" s="130">
        <f>SUM(W3:W25)</f>
        <v>13000</v>
      </c>
      <c r="X27" s="16"/>
      <c r="Y27" s="16"/>
      <c r="Z27" s="14"/>
      <c r="AA27" s="34"/>
      <c r="AB27" s="34"/>
    </row>
    <row r="28" spans="1:28">
      <c r="A28" s="16"/>
      <c r="B28" s="16"/>
      <c r="C28" s="16"/>
      <c r="D28" s="16"/>
      <c r="E28" s="16"/>
      <c r="F28" s="18"/>
      <c r="G28" s="247"/>
      <c r="H28" s="14"/>
      <c r="I28" s="19"/>
      <c r="J28" s="14"/>
      <c r="K28" s="16"/>
      <c r="L28" s="235"/>
      <c r="M28" s="14"/>
      <c r="N28" s="255"/>
      <c r="O28" s="14"/>
      <c r="P28" s="14"/>
      <c r="Q28" s="268"/>
      <c r="R28" s="160"/>
      <c r="S28" s="19">
        <f>L27+O27+Q27</f>
        <v>6485.33333333333</v>
      </c>
      <c r="T28" s="14"/>
      <c r="U28" s="19">
        <f>S28+T27</f>
        <v>9728</v>
      </c>
      <c r="V28" s="16"/>
      <c r="W28" s="19"/>
      <c r="X28" s="16"/>
      <c r="Y28" s="16"/>
      <c r="Z28" s="14"/>
      <c r="AA28" s="34"/>
      <c r="AB28" s="34"/>
    </row>
    <row r="29" spans="1:28">
      <c r="A29" s="24"/>
      <c r="B29" s="24"/>
      <c r="C29" s="24"/>
      <c r="D29" s="24"/>
      <c r="E29" s="24"/>
      <c r="F29" s="22"/>
      <c r="G29" s="196"/>
      <c r="H29" s="34"/>
      <c r="I29" s="35"/>
      <c r="J29" s="34"/>
      <c r="K29" s="24"/>
      <c r="L29" s="34"/>
      <c r="M29" s="24"/>
      <c r="N29" s="24"/>
      <c r="O29" s="34"/>
      <c r="P29" s="34"/>
      <c r="Q29" s="213"/>
      <c r="R29" s="34"/>
      <c r="S29" s="34"/>
      <c r="T29" s="34"/>
      <c r="U29" s="34"/>
      <c r="V29" s="24"/>
      <c r="W29" s="35"/>
      <c r="X29" s="24"/>
      <c r="Y29" s="24"/>
      <c r="Z29" s="34"/>
      <c r="AA29" s="34"/>
      <c r="AB29" s="34"/>
    </row>
    <row r="30" spans="1:28">
      <c r="A30" s="24"/>
      <c r="B30" s="24"/>
      <c r="C30" s="24"/>
      <c r="D30" s="24"/>
      <c r="E30" s="24"/>
      <c r="F30" s="22"/>
      <c r="G30" s="196"/>
      <c r="H30" s="34"/>
      <c r="I30" s="35"/>
      <c r="J30" s="34"/>
      <c r="K30" s="24"/>
      <c r="L30" s="34"/>
      <c r="M30" s="34"/>
      <c r="N30" s="24"/>
      <c r="O30" s="34"/>
      <c r="P30" s="34"/>
      <c r="Q30" s="213"/>
      <c r="R30" s="34"/>
      <c r="S30" s="34"/>
      <c r="T30" s="34"/>
      <c r="U30" s="34"/>
      <c r="V30" s="24"/>
      <c r="W30" s="24"/>
      <c r="X30" s="24"/>
      <c r="Y30" s="24"/>
      <c r="Z30" s="34"/>
      <c r="AA30" s="34"/>
      <c r="AB30" s="34"/>
    </row>
    <row r="31" spans="1:28">
      <c r="A31" s="24"/>
      <c r="B31" s="24"/>
      <c r="C31" s="24"/>
      <c r="D31" s="24"/>
      <c r="E31" s="24"/>
      <c r="F31" s="22"/>
      <c r="G31" s="196"/>
      <c r="H31" s="34"/>
      <c r="I31" s="96" t="s">
        <v>3</v>
      </c>
      <c r="J31" s="64" t="s">
        <v>16</v>
      </c>
      <c r="K31" s="93" t="s">
        <v>17</v>
      </c>
      <c r="L31" s="94" t="s">
        <v>18</v>
      </c>
      <c r="M31" s="93" t="s">
        <v>17</v>
      </c>
      <c r="N31" s="95" t="s">
        <v>2</v>
      </c>
      <c r="O31" s="96" t="s">
        <v>3</v>
      </c>
      <c r="P31" s="97" t="s">
        <v>78</v>
      </c>
      <c r="Q31" s="93" t="s">
        <v>17</v>
      </c>
      <c r="R31" s="93" t="s">
        <v>79</v>
      </c>
      <c r="S31" s="167" t="s">
        <v>80</v>
      </c>
      <c r="T31" s="93" t="s">
        <v>81</v>
      </c>
      <c r="U31" s="234" t="s">
        <v>79</v>
      </c>
      <c r="V31" s="93" t="s">
        <v>82</v>
      </c>
      <c r="W31" s="24"/>
      <c r="X31" s="24"/>
      <c r="Y31" s="24"/>
      <c r="Z31" s="34"/>
      <c r="AA31" s="34"/>
      <c r="AB31" s="34"/>
    </row>
    <row r="32" spans="1:28">
      <c r="A32" s="24"/>
      <c r="B32" s="24"/>
      <c r="C32" s="24"/>
      <c r="D32" s="24"/>
      <c r="E32" s="24"/>
      <c r="F32" s="22"/>
      <c r="G32" s="196"/>
      <c r="H32" s="34"/>
      <c r="I32" s="103" t="s">
        <v>83</v>
      </c>
      <c r="J32" s="99">
        <v>0</v>
      </c>
      <c r="K32" s="100">
        <v>1</v>
      </c>
      <c r="L32" s="101">
        <v>0</v>
      </c>
      <c r="M32" s="100">
        <v>1</v>
      </c>
      <c r="N32" s="102">
        <f>N42</f>
        <v>147.393939393939</v>
      </c>
      <c r="O32" s="103" t="s">
        <v>83</v>
      </c>
      <c r="P32" s="104">
        <f t="shared" ref="P32:P40" si="12">J32+L32+N32</f>
        <v>147.393939393939</v>
      </c>
      <c r="Q32" s="100">
        <v>1</v>
      </c>
      <c r="R32" s="14"/>
      <c r="S32" s="160"/>
      <c r="T32" s="14"/>
      <c r="U32" s="235"/>
      <c r="V32" s="16" t="s">
        <v>84</v>
      </c>
      <c r="W32" s="24"/>
      <c r="X32" s="24"/>
      <c r="Y32" s="24"/>
      <c r="Z32" s="34"/>
      <c r="AA32" s="34"/>
      <c r="AB32" s="34"/>
    </row>
    <row r="33" spans="1:28">
      <c r="A33" s="24"/>
      <c r="B33" s="24"/>
      <c r="C33" s="24"/>
      <c r="D33" s="24"/>
      <c r="E33" s="24"/>
      <c r="F33" s="22"/>
      <c r="G33" s="196"/>
      <c r="H33" s="34"/>
      <c r="I33" s="106" t="s">
        <v>34</v>
      </c>
      <c r="J33" s="99">
        <v>0</v>
      </c>
      <c r="K33" s="100">
        <v>1</v>
      </c>
      <c r="L33" s="101">
        <f>O51+O3+O4+O5+O14+O21+O23+O25</f>
        <v>1533.33333333333</v>
      </c>
      <c r="M33" s="100">
        <v>1</v>
      </c>
      <c r="N33" s="102">
        <f>N42</f>
        <v>147.393939393939</v>
      </c>
      <c r="O33" s="106" t="s">
        <v>34</v>
      </c>
      <c r="P33" s="107">
        <f t="shared" si="12"/>
        <v>1680.72727272727</v>
      </c>
      <c r="Q33" s="100">
        <v>1</v>
      </c>
      <c r="R33" s="14"/>
      <c r="S33" s="160"/>
      <c r="T33" s="14"/>
      <c r="U33" s="235"/>
      <c r="V33" s="274" t="s">
        <v>85</v>
      </c>
      <c r="W33" s="275"/>
      <c r="X33" s="196">
        <f>2000-P33</f>
        <v>319.272727272727</v>
      </c>
      <c r="Y33" s="24"/>
      <c r="Z33" s="34"/>
      <c r="AA33" s="34"/>
      <c r="AB33" s="34"/>
    </row>
    <row r="34" spans="1:28">
      <c r="A34" s="24"/>
      <c r="B34" s="24"/>
      <c r="C34" s="24"/>
      <c r="D34" s="24"/>
      <c r="E34" s="24"/>
      <c r="F34" s="22"/>
      <c r="G34" s="196"/>
      <c r="H34" s="34"/>
      <c r="I34" s="109" t="s">
        <v>86</v>
      </c>
      <c r="J34" s="99">
        <v>0</v>
      </c>
      <c r="K34" s="100">
        <v>1</v>
      </c>
      <c r="L34" s="101">
        <v>0</v>
      </c>
      <c r="M34" s="100">
        <v>1</v>
      </c>
      <c r="N34" s="102">
        <f>N42</f>
        <v>147.393939393939</v>
      </c>
      <c r="O34" s="109" t="s">
        <v>86</v>
      </c>
      <c r="P34" s="108">
        <f t="shared" si="12"/>
        <v>147.393939393939</v>
      </c>
      <c r="Q34" s="100">
        <v>1</v>
      </c>
      <c r="R34" s="80">
        <f>P32+P33+P34</f>
        <v>1975.51515151515</v>
      </c>
      <c r="S34" s="170">
        <f>R34/R46</f>
        <v>0.203075159489633</v>
      </c>
      <c r="T34" s="100">
        <v>3</v>
      </c>
      <c r="U34" s="236">
        <v>0</v>
      </c>
      <c r="V34" s="276" t="s">
        <v>87</v>
      </c>
      <c r="W34" s="24"/>
      <c r="X34" s="24"/>
      <c r="Y34" s="24"/>
      <c r="Z34" s="34"/>
      <c r="AA34" s="34"/>
      <c r="AB34" s="34"/>
    </row>
    <row r="35" spans="1:28">
      <c r="A35" s="24"/>
      <c r="B35" s="24"/>
      <c r="C35" s="24"/>
      <c r="D35" s="24"/>
      <c r="E35" s="24"/>
      <c r="F35" s="22"/>
      <c r="G35" s="196"/>
      <c r="H35" s="34"/>
      <c r="I35" s="111" t="s">
        <v>88</v>
      </c>
      <c r="J35" s="99">
        <v>0</v>
      </c>
      <c r="K35" s="79">
        <v>2</v>
      </c>
      <c r="L35" s="101">
        <v>0</v>
      </c>
      <c r="M35" s="79">
        <v>2</v>
      </c>
      <c r="N35" s="102">
        <f>N42</f>
        <v>147.393939393939</v>
      </c>
      <c r="O35" s="111" t="s">
        <v>88</v>
      </c>
      <c r="P35" s="110">
        <f t="shared" si="12"/>
        <v>147.393939393939</v>
      </c>
      <c r="Q35" s="79">
        <v>2</v>
      </c>
      <c r="R35" s="14"/>
      <c r="S35" s="160"/>
      <c r="T35" s="14"/>
      <c r="U35" s="235"/>
      <c r="V35" s="277" t="s">
        <v>87</v>
      </c>
      <c r="W35" s="24"/>
      <c r="X35" s="24"/>
      <c r="Y35" s="24"/>
      <c r="Z35" s="34"/>
      <c r="AA35" s="34"/>
      <c r="AB35" s="34"/>
    </row>
    <row r="36" spans="1:28">
      <c r="A36" s="24"/>
      <c r="B36" s="24"/>
      <c r="C36" s="24"/>
      <c r="D36" s="24"/>
      <c r="E36" s="24"/>
      <c r="F36" s="22"/>
      <c r="G36" s="196"/>
      <c r="H36" s="34"/>
      <c r="I36" s="256" t="s">
        <v>89</v>
      </c>
      <c r="J36" s="99">
        <v>0</v>
      </c>
      <c r="K36" s="79">
        <v>2</v>
      </c>
      <c r="L36" s="101">
        <v>0</v>
      </c>
      <c r="M36" s="79">
        <v>2</v>
      </c>
      <c r="N36" s="102">
        <f>N42</f>
        <v>147.393939393939</v>
      </c>
      <c r="O36" s="113" t="s">
        <v>89</v>
      </c>
      <c r="P36" s="114">
        <f t="shared" si="12"/>
        <v>147.393939393939</v>
      </c>
      <c r="Q36" s="79">
        <v>2</v>
      </c>
      <c r="R36" s="14"/>
      <c r="S36" s="160"/>
      <c r="T36" s="14"/>
      <c r="U36" s="235"/>
      <c r="V36" s="171" t="s">
        <v>87</v>
      </c>
      <c r="W36" s="24"/>
      <c r="X36" s="24"/>
      <c r="Y36" s="24"/>
      <c r="Z36" s="34"/>
      <c r="AA36" s="34"/>
      <c r="AB36" s="34"/>
    </row>
    <row r="37" spans="1:28">
      <c r="A37" s="24"/>
      <c r="B37" s="24"/>
      <c r="C37" s="24"/>
      <c r="D37" s="24"/>
      <c r="E37" s="24"/>
      <c r="F37" s="22"/>
      <c r="G37" s="196"/>
      <c r="H37" s="34"/>
      <c r="I37" s="257" t="s">
        <v>90</v>
      </c>
      <c r="J37" s="99">
        <v>0</v>
      </c>
      <c r="K37" s="79">
        <v>2</v>
      </c>
      <c r="L37" s="101">
        <v>0</v>
      </c>
      <c r="M37" s="79">
        <v>2</v>
      </c>
      <c r="N37" s="102">
        <f>N42</f>
        <v>147.393939393939</v>
      </c>
      <c r="O37" s="116" t="s">
        <v>90</v>
      </c>
      <c r="P37" s="117">
        <f t="shared" si="12"/>
        <v>147.393939393939</v>
      </c>
      <c r="Q37" s="79">
        <v>2</v>
      </c>
      <c r="R37" s="82">
        <f>P35+P36+P37</f>
        <v>442.181818181818</v>
      </c>
      <c r="S37" s="172">
        <f>R37/R46</f>
        <v>0.0454545454545455</v>
      </c>
      <c r="T37" s="79">
        <v>3</v>
      </c>
      <c r="U37" s="237">
        <v>0</v>
      </c>
      <c r="V37" s="16" t="s">
        <v>84</v>
      </c>
      <c r="W37" s="24"/>
      <c r="X37" s="24"/>
      <c r="Y37" s="24"/>
      <c r="Z37" s="34"/>
      <c r="AA37" s="34"/>
      <c r="AB37" s="34"/>
    </row>
    <row r="38" spans="1:28">
      <c r="A38" s="24"/>
      <c r="B38" s="24"/>
      <c r="C38" s="24"/>
      <c r="D38" s="24"/>
      <c r="E38" s="24"/>
      <c r="F38" s="22"/>
      <c r="G38" s="196"/>
      <c r="H38" s="34"/>
      <c r="I38" s="119" t="s">
        <v>46</v>
      </c>
      <c r="J38" s="99">
        <f>L8+L19+L20+L24</f>
        <v>296.333333333333</v>
      </c>
      <c r="K38" s="69">
        <v>3</v>
      </c>
      <c r="L38" s="101">
        <f>O6+O10+O19+O20+O24</f>
        <v>466.666666666667</v>
      </c>
      <c r="M38" s="69">
        <v>3</v>
      </c>
      <c r="N38" s="102">
        <f>N42</f>
        <v>147.393939393939</v>
      </c>
      <c r="O38" s="119" t="s">
        <v>46</v>
      </c>
      <c r="P38" s="118">
        <f t="shared" si="12"/>
        <v>910.393939393939</v>
      </c>
      <c r="Q38" s="69">
        <v>3</v>
      </c>
      <c r="R38" s="14"/>
      <c r="S38" s="160"/>
      <c r="T38" s="14"/>
      <c r="U38" s="235"/>
      <c r="V38" s="70" t="s">
        <v>87</v>
      </c>
      <c r="W38" s="24"/>
      <c r="X38" s="24"/>
      <c r="Y38" s="24"/>
      <c r="Z38" s="34"/>
      <c r="AA38" s="34"/>
      <c r="AB38" s="34"/>
    </row>
    <row r="39" spans="1:28">
      <c r="A39" s="24"/>
      <c r="B39" s="24"/>
      <c r="C39" s="24"/>
      <c r="D39" s="24"/>
      <c r="E39" s="24"/>
      <c r="F39" s="22"/>
      <c r="G39" s="196"/>
      <c r="H39" s="34"/>
      <c r="I39" s="121" t="s">
        <v>48</v>
      </c>
      <c r="J39" s="99">
        <v>0</v>
      </c>
      <c r="K39" s="69">
        <v>3</v>
      </c>
      <c r="L39" s="101">
        <f>O7+O8+O11+O12+O15+O17</f>
        <v>679.666666666667</v>
      </c>
      <c r="M39" s="69">
        <v>3</v>
      </c>
      <c r="N39" s="102">
        <f>N42</f>
        <v>147.393939393939</v>
      </c>
      <c r="O39" s="121" t="s">
        <v>48</v>
      </c>
      <c r="P39" s="120">
        <f t="shared" si="12"/>
        <v>827.060606060606</v>
      </c>
      <c r="Q39" s="69">
        <v>3</v>
      </c>
      <c r="R39" s="14"/>
      <c r="S39" s="160"/>
      <c r="T39" s="14"/>
      <c r="U39" s="235"/>
      <c r="V39" s="74" t="s">
        <v>87</v>
      </c>
      <c r="W39" s="24"/>
      <c r="X39" s="24"/>
      <c r="Y39" s="24"/>
      <c r="Z39" s="34"/>
      <c r="AA39" s="34"/>
      <c r="AB39" s="34"/>
    </row>
    <row r="40" spans="1:28">
      <c r="A40" s="24"/>
      <c r="B40" s="24"/>
      <c r="C40" s="24"/>
      <c r="D40" s="24"/>
      <c r="E40" s="24"/>
      <c r="F40" s="22"/>
      <c r="G40" s="196"/>
      <c r="H40" s="34"/>
      <c r="I40" s="123" t="s">
        <v>54</v>
      </c>
      <c r="J40" s="99">
        <v>0</v>
      </c>
      <c r="K40" s="69">
        <v>3</v>
      </c>
      <c r="L40" s="101">
        <f>O9+O13+O16+O18</f>
        <v>513</v>
      </c>
      <c r="M40" s="69">
        <v>3</v>
      </c>
      <c r="N40" s="102">
        <f>N42</f>
        <v>147.393939393939</v>
      </c>
      <c r="O40" s="123" t="s">
        <v>54</v>
      </c>
      <c r="P40" s="122">
        <f t="shared" si="12"/>
        <v>660.393939393939</v>
      </c>
      <c r="Q40" s="69">
        <v>3</v>
      </c>
      <c r="R40" s="70">
        <f>P38+P39+P40</f>
        <v>2397.84848484848</v>
      </c>
      <c r="S40" s="173">
        <f>R40/R46</f>
        <v>0.246489359051037</v>
      </c>
      <c r="T40" s="69">
        <v>3</v>
      </c>
      <c r="U40" s="238">
        <v>4</v>
      </c>
      <c r="V40" s="16" t="s">
        <v>84</v>
      </c>
      <c r="W40" s="24"/>
      <c r="X40" s="24"/>
      <c r="Y40" s="24"/>
      <c r="Z40" s="34"/>
      <c r="AA40" s="34"/>
      <c r="AB40" s="34"/>
    </row>
    <row r="41" spans="1:28">
      <c r="A41" s="24"/>
      <c r="B41" s="24"/>
      <c r="C41" s="24"/>
      <c r="D41" s="24"/>
      <c r="E41" s="24"/>
      <c r="F41" s="22"/>
      <c r="G41" s="196"/>
      <c r="H41" s="34"/>
      <c r="I41" s="253" t="s">
        <v>91</v>
      </c>
      <c r="J41" s="99">
        <f>SUM(J32:J40)</f>
        <v>296.333333333333</v>
      </c>
      <c r="K41" s="14"/>
      <c r="L41" s="101">
        <f>SUM(L32:L40)</f>
        <v>3192.66666666667</v>
      </c>
      <c r="M41" s="14"/>
      <c r="N41" s="102">
        <f>SUM(N32:N40)</f>
        <v>1326.54545454545</v>
      </c>
      <c r="O41" s="125" t="s">
        <v>92</v>
      </c>
      <c r="P41" s="229">
        <f>SUM(P32:P40)</f>
        <v>4815.54545454545</v>
      </c>
      <c r="Q41" s="59" t="s">
        <v>93</v>
      </c>
      <c r="R41" s="61">
        <f>R34+R37+R40</f>
        <v>4815.54545454545</v>
      </c>
      <c r="S41" s="160"/>
      <c r="T41" s="14"/>
      <c r="U41" s="235"/>
      <c r="V41" s="16"/>
      <c r="W41" s="24"/>
      <c r="X41" s="24"/>
      <c r="Y41" s="24"/>
      <c r="Z41" s="34"/>
      <c r="AA41" s="34"/>
      <c r="AB41" s="34"/>
    </row>
    <row r="42" spans="1:28">
      <c r="A42" s="24"/>
      <c r="B42" s="24"/>
      <c r="C42" s="24"/>
      <c r="D42" s="24"/>
      <c r="E42" s="24"/>
      <c r="F42" s="22"/>
      <c r="G42" s="196"/>
      <c r="H42" s="34"/>
      <c r="I42" s="208" t="s">
        <v>32</v>
      </c>
      <c r="J42" s="99">
        <f>L3+L4+L5+L6+L10+L12+L14+L15+L17+L21+L22+L23+L25</f>
        <v>1325</v>
      </c>
      <c r="K42" s="175" t="s">
        <v>33</v>
      </c>
      <c r="L42" s="101">
        <f>O22</f>
        <v>50</v>
      </c>
      <c r="M42" s="175" t="s">
        <v>33</v>
      </c>
      <c r="N42" s="102">
        <f>S27</f>
        <v>147.393939393939</v>
      </c>
      <c r="O42" s="208" t="s">
        <v>32</v>
      </c>
      <c r="P42" s="258">
        <f>J42+L42+N42</f>
        <v>1522.39393939394</v>
      </c>
      <c r="Q42" s="175" t="s">
        <v>33</v>
      </c>
      <c r="R42" s="209">
        <f>P42</f>
        <v>1522.39393939394</v>
      </c>
      <c r="S42" s="278">
        <f>R42/R46</f>
        <v>0.156496087519936</v>
      </c>
      <c r="T42" s="175">
        <v>3</v>
      </c>
      <c r="U42" s="239">
        <v>13</v>
      </c>
      <c r="V42" s="175" t="s">
        <v>87</v>
      </c>
      <c r="W42" s="24"/>
      <c r="X42" s="24"/>
      <c r="Y42" s="24"/>
      <c r="Z42" s="34"/>
      <c r="AA42" s="34"/>
      <c r="AB42" s="34"/>
    </row>
    <row r="43" ht="15.75" spans="1:28">
      <c r="A43" s="24"/>
      <c r="B43" s="24"/>
      <c r="C43" s="24"/>
      <c r="D43" s="24"/>
      <c r="E43" s="24"/>
      <c r="F43" s="22"/>
      <c r="G43" s="196"/>
      <c r="H43" s="34"/>
      <c r="I43" s="129" t="s">
        <v>4</v>
      </c>
      <c r="J43" s="130">
        <v>0</v>
      </c>
      <c r="K43" s="129" t="s">
        <v>4</v>
      </c>
      <c r="L43" s="101">
        <v>0</v>
      </c>
      <c r="M43" s="129" t="s">
        <v>4</v>
      </c>
      <c r="N43" s="102">
        <f>S27</f>
        <v>147.393939393939</v>
      </c>
      <c r="O43" s="129" t="s">
        <v>4</v>
      </c>
      <c r="P43" s="131">
        <f>J43+L43+N43+T27</f>
        <v>3390.06060606061</v>
      </c>
      <c r="Q43" s="129" t="s">
        <v>4</v>
      </c>
      <c r="R43" s="131">
        <f>P43</f>
        <v>3390.06060606061</v>
      </c>
      <c r="S43" s="177">
        <f>R43/R46</f>
        <v>0.348484848484849</v>
      </c>
      <c r="T43" s="14"/>
      <c r="U43" s="235"/>
      <c r="V43" s="161" t="s">
        <v>87</v>
      </c>
      <c r="W43" s="24"/>
      <c r="X43" s="24"/>
      <c r="Y43" s="24"/>
      <c r="Z43" s="34"/>
      <c r="AA43" s="34"/>
      <c r="AB43" s="34"/>
    </row>
    <row r="44" ht="15.75" spans="1:28">
      <c r="A44" s="24"/>
      <c r="B44" s="24"/>
      <c r="C44" s="24"/>
      <c r="D44" s="24"/>
      <c r="E44" s="24"/>
      <c r="F44" s="22"/>
      <c r="G44" s="196"/>
      <c r="H44" s="34"/>
      <c r="I44" s="259" t="s">
        <v>94</v>
      </c>
      <c r="J44" s="130">
        <v>0</v>
      </c>
      <c r="K44" s="260" t="s">
        <v>95</v>
      </c>
      <c r="L44" s="101">
        <v>0</v>
      </c>
      <c r="M44" s="260" t="s">
        <v>95</v>
      </c>
      <c r="N44" s="102">
        <v>0</v>
      </c>
      <c r="O44" s="259" t="s">
        <v>94</v>
      </c>
      <c r="P44" s="261">
        <f>J44+L44+N44</f>
        <v>0</v>
      </c>
      <c r="Q44" s="260" t="s">
        <v>95</v>
      </c>
      <c r="R44" s="279">
        <f>P44</f>
        <v>0</v>
      </c>
      <c r="S44" s="14"/>
      <c r="T44" s="14"/>
      <c r="U44" s="235"/>
      <c r="V44" s="280" t="s">
        <v>96</v>
      </c>
      <c r="W44" s="24"/>
      <c r="X44" s="24"/>
      <c r="Y44" s="24"/>
      <c r="Z44" s="34"/>
      <c r="AA44" s="34"/>
      <c r="AB44" s="34"/>
    </row>
    <row r="45" ht="15.75" spans="1:28">
      <c r="A45" s="24"/>
      <c r="B45" s="24"/>
      <c r="C45" s="24"/>
      <c r="D45" s="24"/>
      <c r="E45" s="24"/>
      <c r="F45" s="22"/>
      <c r="G45" s="196"/>
      <c r="H45" s="34"/>
      <c r="I45" s="262" t="s">
        <v>97</v>
      </c>
      <c r="J45" s="130">
        <v>0</v>
      </c>
      <c r="K45" s="260" t="s">
        <v>95</v>
      </c>
      <c r="L45" s="101">
        <v>0</v>
      </c>
      <c r="M45" s="260" t="s">
        <v>95</v>
      </c>
      <c r="N45" s="102">
        <v>0</v>
      </c>
      <c r="O45" s="262" t="s">
        <v>97</v>
      </c>
      <c r="P45" s="263">
        <f>J45+L45+N45</f>
        <v>0</v>
      </c>
      <c r="Q45" s="260" t="s">
        <v>95</v>
      </c>
      <c r="R45" s="279">
        <f>P45</f>
        <v>0</v>
      </c>
      <c r="S45" s="281">
        <f>R45/R46</f>
        <v>0</v>
      </c>
      <c r="T45" s="282">
        <v>3</v>
      </c>
      <c r="U45" s="283">
        <v>0</v>
      </c>
      <c r="V45" s="284" t="s">
        <v>96</v>
      </c>
      <c r="W45" s="24"/>
      <c r="X45" s="24"/>
      <c r="Y45" s="24"/>
      <c r="Z45" s="34"/>
      <c r="AA45" s="34"/>
      <c r="AB45" s="34"/>
    </row>
    <row r="46" spans="1:28">
      <c r="A46" s="24"/>
      <c r="B46" s="24"/>
      <c r="C46" s="24"/>
      <c r="D46" s="24"/>
      <c r="E46" s="24"/>
      <c r="F46" s="22"/>
      <c r="G46" s="196"/>
      <c r="H46" s="34"/>
      <c r="I46" s="136" t="s">
        <v>98</v>
      </c>
      <c r="J46" s="99">
        <f>J41+J42+J43+J44+J45</f>
        <v>1621.33333333333</v>
      </c>
      <c r="K46" s="16"/>
      <c r="L46" s="101">
        <f>L41+L42+L43+L44+L45</f>
        <v>3242.66666666667</v>
      </c>
      <c r="M46" s="14"/>
      <c r="N46" s="102">
        <f>N41+N42+N43</f>
        <v>1621.33333333333</v>
      </c>
      <c r="O46" s="136" t="s">
        <v>98</v>
      </c>
      <c r="P46" s="136">
        <f>P41+P42+P43+P44+P45</f>
        <v>9728</v>
      </c>
      <c r="Q46" s="136" t="s">
        <v>98</v>
      </c>
      <c r="R46" s="136">
        <f>R41+R42+R43+R44+R45</f>
        <v>9728</v>
      </c>
      <c r="S46" s="184">
        <f>S34+S37+S40+S42+S43+S45</f>
        <v>1</v>
      </c>
      <c r="T46" s="185">
        <f>SUM(T32:T45)</f>
        <v>15</v>
      </c>
      <c r="U46" s="241">
        <f>SUM(U32:U42)</f>
        <v>17</v>
      </c>
      <c r="V46" s="16"/>
      <c r="W46" s="24"/>
      <c r="X46" s="24"/>
      <c r="Y46" s="24"/>
      <c r="Z46" s="34"/>
      <c r="AA46" s="34"/>
      <c r="AB46" s="34"/>
    </row>
    <row r="47" spans="1:28">
      <c r="A47" s="24"/>
      <c r="B47" s="24"/>
      <c r="C47" s="24"/>
      <c r="D47" s="24"/>
      <c r="E47" s="24"/>
      <c r="F47" s="22"/>
      <c r="G47" s="196"/>
      <c r="H47" s="34"/>
      <c r="I47" s="264" t="s">
        <v>21</v>
      </c>
      <c r="J47" s="99">
        <f>L27-J46</f>
        <v>0</v>
      </c>
      <c r="K47" s="16"/>
      <c r="L47" s="101">
        <f>O27-L46</f>
        <v>0</v>
      </c>
      <c r="M47" s="14"/>
      <c r="N47" s="102">
        <f>Q27-N46</f>
        <v>0</v>
      </c>
      <c r="O47" s="138" t="s">
        <v>21</v>
      </c>
      <c r="P47" s="139">
        <f>I27-P46</f>
        <v>0</v>
      </c>
      <c r="Q47" s="138" t="s">
        <v>21</v>
      </c>
      <c r="R47" s="139">
        <f>I27-R46</f>
        <v>0</v>
      </c>
      <c r="S47" s="139">
        <f>R47</f>
        <v>0</v>
      </c>
      <c r="T47" s="14"/>
      <c r="U47" s="235"/>
      <c r="V47" s="16"/>
      <c r="W47" s="24"/>
      <c r="X47" s="24"/>
      <c r="Y47" s="24"/>
      <c r="Z47" s="34"/>
      <c r="AA47" s="34"/>
      <c r="AB47" s="34"/>
    </row>
    <row r="48" spans="1:28">
      <c r="A48" s="24"/>
      <c r="B48" s="24"/>
      <c r="C48" s="24"/>
      <c r="D48" s="24"/>
      <c r="E48" s="24"/>
      <c r="F48" s="22"/>
      <c r="G48" s="196"/>
      <c r="H48" s="34"/>
      <c r="I48" s="35"/>
      <c r="J48" s="34"/>
      <c r="K48" s="24"/>
      <c r="L48" s="34"/>
      <c r="M48" s="34"/>
      <c r="N48" s="24"/>
      <c r="O48" s="34"/>
      <c r="P48" s="34"/>
      <c r="Q48" s="213"/>
      <c r="R48" s="34"/>
      <c r="S48" s="34"/>
      <c r="T48" s="34"/>
      <c r="U48" s="34"/>
      <c r="V48" s="24"/>
      <c r="W48" s="24"/>
      <c r="X48" s="24"/>
      <c r="Y48" s="24"/>
      <c r="Z48" s="34"/>
      <c r="AA48" s="34"/>
      <c r="AB48" s="34"/>
    </row>
    <row r="49" spans="1:28">
      <c r="A49" s="24"/>
      <c r="B49" s="24"/>
      <c r="C49" s="24"/>
      <c r="D49" s="200" t="s">
        <v>99</v>
      </c>
      <c r="E49" s="24"/>
      <c r="F49" s="22"/>
      <c r="G49" s="196"/>
      <c r="H49" s="34"/>
      <c r="I49" s="35"/>
      <c r="J49" s="34"/>
      <c r="K49" s="24"/>
      <c r="L49" s="34"/>
      <c r="M49" s="34"/>
      <c r="N49" s="24"/>
      <c r="O49" s="34"/>
      <c r="P49" s="34"/>
      <c r="Q49" s="213"/>
      <c r="R49" s="34"/>
      <c r="S49" s="34"/>
      <c r="T49" s="34"/>
      <c r="U49" s="34"/>
      <c r="V49" s="24"/>
      <c r="W49" s="24"/>
      <c r="X49" s="24"/>
      <c r="Y49" s="24"/>
      <c r="Z49" s="34"/>
      <c r="AA49" s="34"/>
      <c r="AB49" s="34"/>
    </row>
    <row r="50" spans="1:28">
      <c r="A50" s="201" t="s">
        <v>100</v>
      </c>
      <c r="B50" s="202" t="s">
        <v>7</v>
      </c>
      <c r="C50" s="202" t="s">
        <v>8</v>
      </c>
      <c r="D50" s="203" t="s">
        <v>9</v>
      </c>
      <c r="E50" s="204" t="s">
        <v>10</v>
      </c>
      <c r="F50" s="221" t="s">
        <v>11</v>
      </c>
      <c r="G50" s="204" t="s">
        <v>12</v>
      </c>
      <c r="H50" s="204" t="s">
        <v>13</v>
      </c>
      <c r="I50" s="206" t="s">
        <v>14</v>
      </c>
      <c r="J50" s="204" t="s">
        <v>15</v>
      </c>
      <c r="K50" s="207" t="s">
        <v>16</v>
      </c>
      <c r="L50" s="65">
        <v>0.1666</v>
      </c>
      <c r="M50" s="65"/>
      <c r="N50" s="66" t="s">
        <v>18</v>
      </c>
      <c r="O50" s="67">
        <v>0.3334</v>
      </c>
      <c r="P50" s="152">
        <v>0.1666666</v>
      </c>
      <c r="Q50" s="153" t="s">
        <v>19</v>
      </c>
      <c r="R50" s="154" t="s">
        <v>20</v>
      </c>
      <c r="S50" s="154"/>
      <c r="T50" s="155">
        <f>O50</f>
        <v>0.3334</v>
      </c>
      <c r="U50" s="156">
        <v>1</v>
      </c>
      <c r="V50" s="157" t="s">
        <v>21</v>
      </c>
      <c r="W50" s="158" t="s">
        <v>22</v>
      </c>
      <c r="X50" s="159" t="s">
        <v>23</v>
      </c>
      <c r="Y50" s="159" t="s">
        <v>24</v>
      </c>
      <c r="Z50" s="159" t="s">
        <v>25</v>
      </c>
      <c r="AA50" s="34"/>
      <c r="AB50" s="34"/>
    </row>
    <row r="51" spans="1:28">
      <c r="A51" s="57">
        <v>45622</v>
      </c>
      <c r="B51" s="14">
        <v>1</v>
      </c>
      <c r="C51" s="222" t="s">
        <v>84</v>
      </c>
      <c r="D51" s="16" t="s">
        <v>101</v>
      </c>
      <c r="E51" s="16" t="str">
        <f>E5</f>
        <v>CIVIL</v>
      </c>
      <c r="F51" s="18" t="s">
        <v>102</v>
      </c>
      <c r="G51" s="19" t="s">
        <v>103</v>
      </c>
      <c r="H51" s="14" t="s">
        <v>39</v>
      </c>
      <c r="I51" s="19">
        <v>0</v>
      </c>
      <c r="J51" s="47" t="s">
        <v>104</v>
      </c>
      <c r="K51" s="208" t="s">
        <v>32</v>
      </c>
      <c r="L51" s="209">
        <f>I51*L2</f>
        <v>0</v>
      </c>
      <c r="M51" s="209"/>
      <c r="N51" s="210" t="s">
        <v>34</v>
      </c>
      <c r="O51" s="85">
        <f>I51/3</f>
        <v>0</v>
      </c>
      <c r="P51" s="102">
        <f>L51</f>
        <v>0</v>
      </c>
      <c r="Q51" s="160">
        <f>Q2/10</f>
        <v>0.01666666</v>
      </c>
      <c r="R51" s="19">
        <f>I51*Q51</f>
        <v>0</v>
      </c>
      <c r="S51" s="19"/>
      <c r="T51" s="161">
        <f>O51</f>
        <v>0</v>
      </c>
      <c r="U51" s="212">
        <f>L51+O51+P51+T51</f>
        <v>0</v>
      </c>
      <c r="V51" s="19">
        <f>I51-U51</f>
        <v>0</v>
      </c>
      <c r="W51" s="19" t="s">
        <v>105</v>
      </c>
      <c r="X51" s="14" t="s">
        <v>52</v>
      </c>
      <c r="Y51" s="198">
        <v>45627</v>
      </c>
      <c r="Z51" s="14" t="s">
        <v>106</v>
      </c>
      <c r="AA51" s="34"/>
      <c r="AB51" s="34"/>
    </row>
    <row r="52" spans="1:28">
      <c r="A52" s="57">
        <v>45639</v>
      </c>
      <c r="B52" s="14">
        <v>2</v>
      </c>
      <c r="C52" s="222" t="s">
        <v>84</v>
      </c>
      <c r="D52" s="16" t="s">
        <v>107</v>
      </c>
      <c r="E52" s="16" t="s">
        <v>37</v>
      </c>
      <c r="F52" s="18" t="s">
        <v>108</v>
      </c>
      <c r="G52" s="247" t="s">
        <v>103</v>
      </c>
      <c r="H52" s="14" t="s">
        <v>39</v>
      </c>
      <c r="I52" s="19">
        <v>0</v>
      </c>
      <c r="J52" s="47" t="s">
        <v>104</v>
      </c>
      <c r="K52" s="210" t="s">
        <v>34</v>
      </c>
      <c r="L52" s="85">
        <f>I52*L50</f>
        <v>0</v>
      </c>
      <c r="M52" s="85"/>
      <c r="N52" s="210" t="s">
        <v>34</v>
      </c>
      <c r="O52" s="85">
        <f>I52/3/2</f>
        <v>0</v>
      </c>
      <c r="P52" s="102">
        <f>I52*P50</f>
        <v>0</v>
      </c>
      <c r="Q52" s="160">
        <f>Q51</f>
        <v>0.01666666</v>
      </c>
      <c r="R52" s="19">
        <f>P52*Q52</f>
        <v>0</v>
      </c>
      <c r="S52" s="19"/>
      <c r="T52" s="161">
        <f>I52*T50</f>
        <v>0</v>
      </c>
      <c r="U52" s="212">
        <f>L52+O52+P52+T52</f>
        <v>0</v>
      </c>
      <c r="V52" s="19">
        <f>I52-U52</f>
        <v>0</v>
      </c>
      <c r="W52" s="14" t="s">
        <v>105</v>
      </c>
      <c r="X52" s="14" t="s">
        <v>52</v>
      </c>
      <c r="Y52" s="198">
        <v>45627</v>
      </c>
      <c r="Z52" s="14" t="s">
        <v>109</v>
      </c>
      <c r="AA52" s="34"/>
      <c r="AB52" s="34"/>
    </row>
    <row r="53" spans="1:28">
      <c r="A53" s="24"/>
      <c r="B53" s="24"/>
      <c r="C53" s="24"/>
      <c r="D53" s="205"/>
      <c r="E53" s="24"/>
      <c r="F53" s="22"/>
      <c r="G53" s="196"/>
      <c r="H53" s="34"/>
      <c r="I53" s="35"/>
      <c r="J53" s="34"/>
      <c r="K53" s="24"/>
      <c r="L53" s="34"/>
      <c r="M53" s="34"/>
      <c r="N53" s="109" t="s">
        <v>86</v>
      </c>
      <c r="O53" s="88">
        <f>O52</f>
        <v>0</v>
      </c>
      <c r="P53" s="34"/>
      <c r="Q53" s="213"/>
      <c r="R53" s="34"/>
      <c r="S53" s="34"/>
      <c r="T53" s="34"/>
      <c r="U53" s="34"/>
      <c r="V53" s="24"/>
      <c r="W53" s="24"/>
      <c r="X53" s="24"/>
      <c r="Y53" s="24"/>
      <c r="Z53" s="34"/>
      <c r="AA53" s="34"/>
      <c r="AB53" s="34"/>
    </row>
    <row r="54" spans="1:28">
      <c r="A54" s="57">
        <v>45685</v>
      </c>
      <c r="B54" s="14">
        <v>3</v>
      </c>
      <c r="C54" s="222" t="s">
        <v>84</v>
      </c>
      <c r="D54" s="16" t="s">
        <v>110</v>
      </c>
      <c r="E54" s="16" t="s">
        <v>37</v>
      </c>
      <c r="F54" s="18" t="s">
        <v>111</v>
      </c>
      <c r="G54" s="247" t="s">
        <v>103</v>
      </c>
      <c r="H54" s="14" t="s">
        <v>39</v>
      </c>
      <c r="I54" s="19">
        <v>0</v>
      </c>
      <c r="J54" s="47" t="s">
        <v>104</v>
      </c>
      <c r="K54" s="210" t="s">
        <v>34</v>
      </c>
      <c r="L54" s="85">
        <f>I54*L52</f>
        <v>0</v>
      </c>
      <c r="M54" s="85"/>
      <c r="N54" s="210" t="s">
        <v>34</v>
      </c>
      <c r="O54" s="85">
        <f>I54/3/2</f>
        <v>0</v>
      </c>
      <c r="P54" s="102">
        <f>I54*P52</f>
        <v>0</v>
      </c>
      <c r="Q54" s="160">
        <f>Q53</f>
        <v>0</v>
      </c>
      <c r="R54" s="19">
        <f>P54*Q54</f>
        <v>0</v>
      </c>
      <c r="S54" s="19"/>
      <c r="T54" s="161">
        <f>I54*T52</f>
        <v>0</v>
      </c>
      <c r="U54" s="212">
        <f>L54+O54+P54+T54</f>
        <v>0</v>
      </c>
      <c r="V54" s="19">
        <f>I54-U54</f>
        <v>0</v>
      </c>
      <c r="W54" s="14" t="s">
        <v>105</v>
      </c>
      <c r="X54" s="14" t="s">
        <v>52</v>
      </c>
      <c r="Y54" s="198">
        <v>45627</v>
      </c>
      <c r="Z54" s="14" t="s">
        <v>109</v>
      </c>
      <c r="AA54" s="34"/>
      <c r="AB54" s="34"/>
    </row>
    <row r="55" spans="1:28">
      <c r="A55" s="24"/>
      <c r="B55" s="24"/>
      <c r="C55" s="24"/>
      <c r="D55" s="205"/>
      <c r="E55" s="24"/>
      <c r="F55" s="22"/>
      <c r="G55" s="196"/>
      <c r="H55" s="34"/>
      <c r="I55" s="35"/>
      <c r="J55" s="34"/>
      <c r="K55" s="24"/>
      <c r="L55" s="34"/>
      <c r="M55" s="34"/>
      <c r="N55" s="119" t="s">
        <v>46</v>
      </c>
      <c r="O55" s="70">
        <v>0</v>
      </c>
      <c r="P55" s="34"/>
      <c r="Q55" s="213"/>
      <c r="R55" s="34"/>
      <c r="S55" s="34"/>
      <c r="T55" s="34"/>
      <c r="U55" s="34"/>
      <c r="V55" s="24"/>
      <c r="W55" s="24"/>
      <c r="X55" s="24"/>
      <c r="Y55" s="24"/>
      <c r="Z55" s="34"/>
      <c r="AA55" s="34"/>
      <c r="AB55" s="34"/>
    </row>
    <row r="56" spans="1:28">
      <c r="A56" s="24"/>
      <c r="B56" s="24"/>
      <c r="C56" s="24"/>
      <c r="D56" s="24"/>
      <c r="E56" s="24"/>
      <c r="F56" s="22"/>
      <c r="G56" s="196"/>
      <c r="H56" s="34"/>
      <c r="I56" s="35"/>
      <c r="J56" s="34"/>
      <c r="K56" s="24"/>
      <c r="L56" s="34"/>
      <c r="M56" s="34"/>
      <c r="N56" s="24"/>
      <c r="O56" s="34"/>
      <c r="P56" s="34"/>
      <c r="Q56" s="213"/>
      <c r="R56" s="34"/>
      <c r="S56" s="34"/>
      <c r="T56" s="34"/>
      <c r="U56" s="34"/>
      <c r="V56" s="24"/>
      <c r="W56" s="24"/>
      <c r="X56" s="24"/>
      <c r="Y56" s="24"/>
      <c r="Z56" s="34"/>
      <c r="AA56" s="34"/>
      <c r="AB56" s="34"/>
    </row>
    <row r="58" spans="9:11">
      <c r="I58" s="265">
        <v>1000000</v>
      </c>
      <c r="J58" s="36" t="s">
        <v>112</v>
      </c>
      <c r="K58" s="38">
        <v>1</v>
      </c>
    </row>
    <row r="59" spans="9:11">
      <c r="I59" s="40">
        <f>I58/12</f>
        <v>83333.3333333333</v>
      </c>
      <c r="J59" s="39" t="s">
        <v>113</v>
      </c>
      <c r="K59" s="41">
        <v>1</v>
      </c>
    </row>
    <row r="60" spans="9:11">
      <c r="I60" s="44">
        <f>I27</f>
        <v>9728</v>
      </c>
      <c r="J60" s="44" t="s">
        <v>26</v>
      </c>
      <c r="K60" s="45">
        <f>I60/I59</f>
        <v>0.116736</v>
      </c>
    </row>
    <row r="61" spans="9:11">
      <c r="I61" s="146">
        <f>I60-I59</f>
        <v>-73605.3333333333</v>
      </c>
      <c r="J61" s="47" t="s">
        <v>114</v>
      </c>
      <c r="K61" s="47" t="s">
        <v>84</v>
      </c>
    </row>
  </sheetData>
  <hyperlinks>
    <hyperlink ref="A1" r:id="rId2" display="MENU PRINCIPAL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CC"/>
  </sheetPr>
  <dimension ref="A1:AC61"/>
  <sheetViews>
    <sheetView zoomScale="85" zoomScaleNormal="85" topLeftCell="E7" workbookViewId="0">
      <selection activeCell="G27" sqref="G27"/>
    </sheetView>
  </sheetViews>
  <sheetFormatPr defaultColWidth="9" defaultRowHeight="15"/>
  <cols>
    <col min="1" max="1" width="14.5714285714286" customWidth="1"/>
    <col min="2" max="2" width="9.14285714285714" style="1"/>
    <col min="3" max="3" width="12" customWidth="1"/>
    <col min="4" max="4" width="38.2857142857143" customWidth="1"/>
    <col min="5" max="5" width="18.8571428571429" style="1" customWidth="1"/>
    <col min="6" max="6" width="47.4285714285714" customWidth="1"/>
    <col min="7" max="7" width="15.7142857142857" style="2" customWidth="1"/>
    <col min="8" max="8" width="30" style="1" customWidth="1"/>
    <col min="9" max="9" width="14.5714285714286" style="2" customWidth="1"/>
    <col min="10" max="10" width="13.4285714285714" style="1" customWidth="1"/>
    <col min="11" max="11" width="15.5714285714286" customWidth="1"/>
    <col min="12" max="12" width="15.8571428571429" customWidth="1"/>
    <col min="13" max="13" width="15.5714285714286" customWidth="1"/>
    <col min="14" max="14" width="15.8571428571429" style="1" customWidth="1"/>
    <col min="15" max="15" width="15.1428571428571" customWidth="1"/>
    <col min="16" max="16" width="10.2857142857143" customWidth="1"/>
    <col min="17" max="17" width="15.5714285714286" customWidth="1"/>
    <col min="18" max="18" width="11" customWidth="1"/>
    <col min="19" max="19" width="27.1428571428571" customWidth="1"/>
    <col min="20" max="20" width="13.5714285714286" customWidth="1"/>
    <col min="21" max="21" width="13.5714285714286" style="1" customWidth="1"/>
    <col min="22" max="22" width="27.1428571428571" style="1" customWidth="1"/>
    <col min="23" max="23" width="15" style="2" customWidth="1"/>
    <col min="24" max="24" width="27.1428571428571" style="1" customWidth="1"/>
    <col min="25" max="25" width="12.4285714285714" style="1" customWidth="1"/>
    <col min="26" max="26" width="25.5714285714286" customWidth="1"/>
  </cols>
  <sheetData>
    <row r="1" spans="1:29">
      <c r="A1" s="3" t="s">
        <v>0</v>
      </c>
      <c r="B1" s="214">
        <v>45689</v>
      </c>
      <c r="C1" s="5"/>
      <c r="D1" s="6" t="s">
        <v>1</v>
      </c>
      <c r="E1" s="7"/>
      <c r="F1" s="215"/>
      <c r="G1" s="8"/>
      <c r="H1" s="5"/>
      <c r="I1" s="8"/>
      <c r="J1" s="5"/>
      <c r="K1" s="5"/>
      <c r="L1" s="5"/>
      <c r="M1" s="5"/>
      <c r="N1" s="5"/>
      <c r="O1" s="5"/>
      <c r="P1" s="34"/>
      <c r="Q1" s="95" t="s">
        <v>2</v>
      </c>
      <c r="R1" s="96" t="s">
        <v>3</v>
      </c>
      <c r="S1" s="14"/>
      <c r="T1" s="150" t="s">
        <v>4</v>
      </c>
      <c r="U1" s="151" t="s">
        <v>5</v>
      </c>
      <c r="V1" s="5"/>
      <c r="W1" s="8"/>
      <c r="X1" s="5"/>
      <c r="Y1" s="8"/>
      <c r="Z1" s="8"/>
      <c r="AA1" s="34"/>
      <c r="AB1" s="34"/>
      <c r="AC1" s="1"/>
    </row>
    <row r="2" spans="1:28">
      <c r="A2" s="9" t="s">
        <v>6</v>
      </c>
      <c r="B2" s="6" t="s">
        <v>7</v>
      </c>
      <c r="C2" s="6" t="s">
        <v>8</v>
      </c>
      <c r="D2" s="10" t="s">
        <v>9</v>
      </c>
      <c r="E2" s="11" t="s">
        <v>10</v>
      </c>
      <c r="F2" s="216" t="s">
        <v>11</v>
      </c>
      <c r="G2" s="12" t="s">
        <v>12</v>
      </c>
      <c r="H2" s="12" t="s">
        <v>13</v>
      </c>
      <c r="I2" s="63" t="s">
        <v>14</v>
      </c>
      <c r="J2" s="12" t="s">
        <v>15</v>
      </c>
      <c r="K2" s="64" t="s">
        <v>16</v>
      </c>
      <c r="L2" s="65">
        <v>0.166666</v>
      </c>
      <c r="M2" s="36" t="s">
        <v>17</v>
      </c>
      <c r="N2" s="66" t="s">
        <v>18</v>
      </c>
      <c r="O2" s="67">
        <v>0.33333</v>
      </c>
      <c r="P2" s="36" t="s">
        <v>17</v>
      </c>
      <c r="Q2" s="152">
        <v>0.1666666</v>
      </c>
      <c r="R2" s="153" t="s">
        <v>19</v>
      </c>
      <c r="S2" s="154" t="s">
        <v>20</v>
      </c>
      <c r="T2" s="155">
        <v>0.333333</v>
      </c>
      <c r="U2" s="156">
        <v>1</v>
      </c>
      <c r="V2" s="157" t="s">
        <v>21</v>
      </c>
      <c r="W2" s="158" t="s">
        <v>22</v>
      </c>
      <c r="X2" s="159" t="s">
        <v>23</v>
      </c>
      <c r="Y2" s="159" t="s">
        <v>24</v>
      </c>
      <c r="Z2" s="159" t="s">
        <v>25</v>
      </c>
      <c r="AA2" s="34"/>
      <c r="AB2" s="24"/>
    </row>
    <row r="3" spans="1:28">
      <c r="A3" s="13">
        <v>45692</v>
      </c>
      <c r="B3" s="14">
        <v>1</v>
      </c>
      <c r="C3" s="217" t="s">
        <v>26</v>
      </c>
      <c r="D3" s="16" t="s">
        <v>115</v>
      </c>
      <c r="E3" s="14" t="s">
        <v>72</v>
      </c>
      <c r="F3" s="16" t="s">
        <v>116</v>
      </c>
      <c r="G3" s="19">
        <v>150</v>
      </c>
      <c r="H3" s="14" t="s">
        <v>39</v>
      </c>
      <c r="I3" s="68">
        <v>150</v>
      </c>
      <c r="J3" s="15" t="s">
        <v>117</v>
      </c>
      <c r="K3" s="75" t="s">
        <v>32</v>
      </c>
      <c r="L3" s="76">
        <f>I3/3/2</f>
        <v>25</v>
      </c>
      <c r="M3" s="77" t="s">
        <v>33</v>
      </c>
      <c r="N3" s="82" t="s">
        <v>88</v>
      </c>
      <c r="O3" s="82">
        <f>I3*O2</f>
        <v>49.9995</v>
      </c>
      <c r="P3" s="79">
        <v>2</v>
      </c>
      <c r="Q3" s="19">
        <f>I3*Q2</f>
        <v>24.99999</v>
      </c>
      <c r="R3" s="160">
        <f>Q2/11</f>
        <v>0.0151515090909091</v>
      </c>
      <c r="S3" s="19">
        <f>Q3/11</f>
        <v>2.27272636363636</v>
      </c>
      <c r="T3" s="161">
        <f>O3</f>
        <v>49.9995</v>
      </c>
      <c r="U3" s="162">
        <f>L3+O3+Q3+T3</f>
        <v>149.99899</v>
      </c>
      <c r="V3" s="19">
        <f>I3-U3</f>
        <v>0.00100999999997953</v>
      </c>
      <c r="W3" s="19">
        <v>0</v>
      </c>
      <c r="X3" s="14" t="s">
        <v>52</v>
      </c>
      <c r="Y3" s="14"/>
      <c r="Z3" s="16"/>
      <c r="AA3" s="24"/>
      <c r="AB3" s="24"/>
    </row>
    <row r="4" spans="1:28">
      <c r="A4" s="13">
        <v>45694</v>
      </c>
      <c r="B4" s="14">
        <v>2</v>
      </c>
      <c r="C4" s="217" t="s">
        <v>26</v>
      </c>
      <c r="D4" s="16" t="s">
        <v>118</v>
      </c>
      <c r="E4" s="14" t="s">
        <v>119</v>
      </c>
      <c r="F4" s="218" t="s">
        <v>120</v>
      </c>
      <c r="G4" s="19">
        <v>4236</v>
      </c>
      <c r="H4" s="14" t="s">
        <v>121</v>
      </c>
      <c r="I4" s="68">
        <v>114</v>
      </c>
      <c r="J4" s="15" t="s">
        <v>122</v>
      </c>
      <c r="K4" s="69" t="s">
        <v>123</v>
      </c>
      <c r="L4" s="70">
        <f>I4*L2</f>
        <v>18.999924</v>
      </c>
      <c r="M4" s="69">
        <v>3</v>
      </c>
      <c r="N4" s="69" t="s">
        <v>123</v>
      </c>
      <c r="O4" s="70">
        <f>I4*O2</f>
        <v>37.99962</v>
      </c>
      <c r="P4" s="69">
        <v>3</v>
      </c>
      <c r="Q4" s="19">
        <f>I4*Q2</f>
        <v>18.9999924</v>
      </c>
      <c r="R4" s="160">
        <f>Q2/11</f>
        <v>0.0151515090909091</v>
      </c>
      <c r="S4" s="19">
        <f>Q4/11</f>
        <v>1.72727203636364</v>
      </c>
      <c r="T4" s="161">
        <f>I4*O2</f>
        <v>37.99962</v>
      </c>
      <c r="U4" s="162">
        <f>L4+O4+Q4+T4</f>
        <v>113.9991564</v>
      </c>
      <c r="V4" s="19">
        <f>I4-U4</f>
        <v>0.000843599999996059</v>
      </c>
      <c r="W4" s="19">
        <f>G4-I4</f>
        <v>4122</v>
      </c>
      <c r="X4" s="14" t="s">
        <v>124</v>
      </c>
      <c r="Y4" s="198">
        <v>45658</v>
      </c>
      <c r="Z4" s="16"/>
      <c r="AA4" s="24"/>
      <c r="AB4" s="24"/>
    </row>
    <row r="5" spans="1:28">
      <c r="A5" s="13">
        <v>45694</v>
      </c>
      <c r="B5" s="14">
        <v>3</v>
      </c>
      <c r="C5" s="217" t="s">
        <v>26</v>
      </c>
      <c r="D5" s="16" t="s">
        <v>125</v>
      </c>
      <c r="E5" s="14" t="s">
        <v>126</v>
      </c>
      <c r="F5" s="16" t="s">
        <v>127</v>
      </c>
      <c r="G5" s="19">
        <v>500</v>
      </c>
      <c r="H5" s="14" t="s">
        <v>39</v>
      </c>
      <c r="I5" s="68">
        <v>500</v>
      </c>
      <c r="J5" s="15" t="str">
        <f>J4</f>
        <v>PIX  PJ ITAÚ</v>
      </c>
      <c r="K5" s="70" t="str">
        <f>K4</f>
        <v>JÉTER</v>
      </c>
      <c r="L5" s="70">
        <f>I5*L2</f>
        <v>83.333</v>
      </c>
      <c r="M5" s="69">
        <f>M4</f>
        <v>3</v>
      </c>
      <c r="N5" s="69" t="str">
        <f>N4</f>
        <v>JÉTER</v>
      </c>
      <c r="O5" s="70">
        <f>I5*O2</f>
        <v>166.665</v>
      </c>
      <c r="P5" s="69">
        <f>P4</f>
        <v>3</v>
      </c>
      <c r="Q5" s="19">
        <f>I5*Q2</f>
        <v>83.3333</v>
      </c>
      <c r="R5" s="224">
        <f>R4</f>
        <v>0.0151515090909091</v>
      </c>
      <c r="S5" s="19">
        <f>Q5/11</f>
        <v>7.57575454545454</v>
      </c>
      <c r="T5" s="225">
        <f>I5*O2</f>
        <v>166.665</v>
      </c>
      <c r="U5" s="162">
        <f>L5+O5+Q5+T5</f>
        <v>499.9963</v>
      </c>
      <c r="V5" s="19">
        <f>I5-U5</f>
        <v>0.00369999999998072</v>
      </c>
      <c r="W5" s="19">
        <v>0</v>
      </c>
      <c r="X5" s="14" t="s">
        <v>52</v>
      </c>
      <c r="Y5" s="198">
        <v>45689</v>
      </c>
      <c r="Z5" s="14" t="s">
        <v>128</v>
      </c>
      <c r="AA5" s="24"/>
      <c r="AB5" s="24"/>
    </row>
    <row r="6" spans="1:29">
      <c r="A6" s="13">
        <v>45698</v>
      </c>
      <c r="B6" s="14">
        <v>4</v>
      </c>
      <c r="C6" s="217" t="s">
        <v>26</v>
      </c>
      <c r="D6" s="16" t="s">
        <v>129</v>
      </c>
      <c r="E6" s="14" t="s">
        <v>130</v>
      </c>
      <c r="F6" s="18" t="s">
        <v>131</v>
      </c>
      <c r="G6" s="19">
        <v>150</v>
      </c>
      <c r="H6" s="14" t="str">
        <f>H5</f>
        <v>PARCELA ÚNICA</v>
      </c>
      <c r="I6" s="68">
        <v>150</v>
      </c>
      <c r="J6" s="15" t="str">
        <f>J5</f>
        <v>PIX  PJ ITAÚ</v>
      </c>
      <c r="K6" s="181" t="s">
        <v>97</v>
      </c>
      <c r="L6" s="181">
        <f>I6*L2</f>
        <v>24.9999</v>
      </c>
      <c r="M6" s="223" t="s">
        <v>95</v>
      </c>
      <c r="N6" s="88" t="s">
        <v>86</v>
      </c>
      <c r="O6" s="88">
        <f t="shared" ref="O6" si="0">I6/3</f>
        <v>50</v>
      </c>
      <c r="P6" s="86">
        <v>1</v>
      </c>
      <c r="Q6" s="102">
        <f t="shared" ref="Q6" si="1">L6</f>
        <v>24.9999</v>
      </c>
      <c r="R6" s="160">
        <f>Q2/11</f>
        <v>0.0151515090909091</v>
      </c>
      <c r="S6" s="19">
        <f t="shared" ref="S6:S7" si="2">Q6/11</f>
        <v>2.27271818181818</v>
      </c>
      <c r="T6" s="161">
        <f>I6/3</f>
        <v>50</v>
      </c>
      <c r="U6" s="162">
        <f t="shared" ref="U6" si="3">L6+O6+Q6+T6</f>
        <v>149.9998</v>
      </c>
      <c r="V6" s="19">
        <f t="shared" ref="V6:V7" si="4">I6-U6</f>
        <v>0.000200000000006639</v>
      </c>
      <c r="W6" s="19">
        <v>0</v>
      </c>
      <c r="X6" s="14" t="str">
        <f>X5</f>
        <v>ÚNICA</v>
      </c>
      <c r="Y6" s="198">
        <f>Y5</f>
        <v>45689</v>
      </c>
      <c r="Z6" s="14"/>
      <c r="AA6" s="34"/>
      <c r="AB6" s="34"/>
      <c r="AC6" s="1"/>
    </row>
    <row r="7" spans="1:29">
      <c r="A7" s="13">
        <v>45699</v>
      </c>
      <c r="B7" s="14">
        <v>5</v>
      </c>
      <c r="C7" s="217" t="s">
        <v>26</v>
      </c>
      <c r="D7" s="16" t="s">
        <v>132</v>
      </c>
      <c r="E7" s="14" t="s">
        <v>133</v>
      </c>
      <c r="F7" s="18" t="s">
        <v>134</v>
      </c>
      <c r="G7" s="19">
        <v>6000</v>
      </c>
      <c r="H7" s="14" t="s">
        <v>135</v>
      </c>
      <c r="I7" s="68">
        <v>500</v>
      </c>
      <c r="J7" s="15" t="str">
        <f>J5</f>
        <v>PIX  PJ ITAÚ</v>
      </c>
      <c r="K7" s="75" t="s">
        <v>32</v>
      </c>
      <c r="L7" s="76">
        <f>I7*L2</f>
        <v>83.333</v>
      </c>
      <c r="M7" s="77" t="s">
        <v>33</v>
      </c>
      <c r="N7" s="75" t="s">
        <v>32</v>
      </c>
      <c r="O7" s="76">
        <f>I7*O2/2</f>
        <v>83.3325</v>
      </c>
      <c r="P7" s="77" t="s">
        <v>33</v>
      </c>
      <c r="Q7" s="102">
        <f>I7*Q2</f>
        <v>83.3333</v>
      </c>
      <c r="R7" s="160">
        <f>Q2/11</f>
        <v>0.0151515090909091</v>
      </c>
      <c r="S7" s="19">
        <f t="shared" si="2"/>
        <v>7.57575454545454</v>
      </c>
      <c r="T7" s="161">
        <f>I7/3</f>
        <v>166.666666666667</v>
      </c>
      <c r="U7" s="162">
        <f>L7+O8+Q7+O7+T7</f>
        <v>499.997966666667</v>
      </c>
      <c r="V7" s="19">
        <f t="shared" si="4"/>
        <v>0.00203333333331557</v>
      </c>
      <c r="W7" s="19">
        <f>I7*11</f>
        <v>5500</v>
      </c>
      <c r="X7" s="14" t="s">
        <v>136</v>
      </c>
      <c r="Y7" s="198">
        <f>Y5</f>
        <v>45689</v>
      </c>
      <c r="Z7" s="14"/>
      <c r="AA7" s="34"/>
      <c r="AB7" s="34"/>
      <c r="AC7" s="1"/>
    </row>
    <row r="8" spans="1:28">
      <c r="A8" s="16"/>
      <c r="B8" s="14"/>
      <c r="C8" s="16"/>
      <c r="D8" s="16"/>
      <c r="E8" s="14"/>
      <c r="F8" s="16"/>
      <c r="G8" s="19"/>
      <c r="H8" s="14"/>
      <c r="I8" s="19"/>
      <c r="J8" s="14"/>
      <c r="K8" s="16"/>
      <c r="L8" s="16"/>
      <c r="M8" s="16"/>
      <c r="N8" s="80" t="s">
        <v>83</v>
      </c>
      <c r="O8" s="80">
        <f>O7</f>
        <v>83.3325</v>
      </c>
      <c r="P8" s="69">
        <v>3</v>
      </c>
      <c r="Q8" s="16"/>
      <c r="R8" s="16"/>
      <c r="S8" s="16"/>
      <c r="T8" s="16"/>
      <c r="U8" s="14"/>
      <c r="V8" s="14"/>
      <c r="W8" s="19"/>
      <c r="X8" s="14"/>
      <c r="Y8" s="14"/>
      <c r="Z8" s="16"/>
      <c r="AA8" s="24"/>
      <c r="AB8" s="24"/>
    </row>
    <row r="9" spans="1:28">
      <c r="A9" s="13">
        <v>45699</v>
      </c>
      <c r="B9" s="14">
        <v>6</v>
      </c>
      <c r="C9" s="217" t="s">
        <v>26</v>
      </c>
      <c r="D9" s="16" t="s">
        <v>137</v>
      </c>
      <c r="E9" s="14" t="str">
        <f>E19</f>
        <v>CIVIL</v>
      </c>
      <c r="F9" s="16" t="s">
        <v>138</v>
      </c>
      <c r="G9" s="19">
        <v>1000</v>
      </c>
      <c r="H9" s="14" t="s">
        <v>139</v>
      </c>
      <c r="I9" s="68">
        <v>100</v>
      </c>
      <c r="J9" s="15" t="str">
        <f>J7</f>
        <v>PIX  PJ ITAÚ</v>
      </c>
      <c r="K9" s="69" t="s">
        <v>123</v>
      </c>
      <c r="L9" s="70">
        <f>I9*L2</f>
        <v>16.6666</v>
      </c>
      <c r="M9" s="69">
        <v>3</v>
      </c>
      <c r="N9" s="69" t="s">
        <v>123</v>
      </c>
      <c r="O9" s="70">
        <f>I9*O2</f>
        <v>33.333</v>
      </c>
      <c r="P9" s="69">
        <v>3</v>
      </c>
      <c r="Q9" s="102">
        <f>I9*Q2</f>
        <v>16.66666</v>
      </c>
      <c r="R9" s="160">
        <f>Q2/11</f>
        <v>0.0151515090909091</v>
      </c>
      <c r="S9" s="19">
        <f t="shared" ref="S9" si="5">Q9/11</f>
        <v>1.51515090909091</v>
      </c>
      <c r="T9" s="161">
        <f>I9/3</f>
        <v>33.3333333333333</v>
      </c>
      <c r="U9" s="162">
        <f>L9+O26+Q9+O9+T9</f>
        <v>99.9995933333333</v>
      </c>
      <c r="V9" s="19">
        <f t="shared" ref="V9" si="6">I9-U9</f>
        <v>0.000406666666663114</v>
      </c>
      <c r="W9" s="19">
        <f>I9*9</f>
        <v>900</v>
      </c>
      <c r="X9" s="14" t="s">
        <v>140</v>
      </c>
      <c r="Y9" s="198">
        <f>Y7</f>
        <v>45689</v>
      </c>
      <c r="Z9" s="14"/>
      <c r="AA9" s="24"/>
      <c r="AB9" s="24"/>
    </row>
    <row r="10" spans="1:28">
      <c r="A10" s="13">
        <v>45699</v>
      </c>
      <c r="B10" s="14">
        <v>7</v>
      </c>
      <c r="C10" s="217" t="s">
        <v>26</v>
      </c>
      <c r="D10" s="16" t="s">
        <v>141</v>
      </c>
      <c r="E10" s="14" t="str">
        <f>E13</f>
        <v>CIVIL</v>
      </c>
      <c r="F10" s="16" t="s">
        <v>142</v>
      </c>
      <c r="G10" s="26">
        <v>759</v>
      </c>
      <c r="H10" s="27" t="s">
        <v>143</v>
      </c>
      <c r="I10" s="68">
        <v>759</v>
      </c>
      <c r="J10" s="15" t="str">
        <f>J9</f>
        <v>PIX  PJ ITAÚ</v>
      </c>
      <c r="K10" s="75" t="s">
        <v>32</v>
      </c>
      <c r="L10" s="76">
        <f>I10*L2</f>
        <v>126.499494</v>
      </c>
      <c r="M10" s="77" t="s">
        <v>33</v>
      </c>
      <c r="N10" s="84" t="s">
        <v>34</v>
      </c>
      <c r="O10" s="85">
        <f>I10*O2</f>
        <v>252.99747</v>
      </c>
      <c r="P10" s="86">
        <v>1</v>
      </c>
      <c r="Q10" s="102">
        <f>I10*Q2</f>
        <v>126.4999494</v>
      </c>
      <c r="R10" s="160">
        <f>Q2/11</f>
        <v>0.0151515090909091</v>
      </c>
      <c r="S10" s="19">
        <f t="shared" ref="S10:S11" si="7">Q10/11</f>
        <v>11.4999954</v>
      </c>
      <c r="T10" s="161">
        <f>I10/3</f>
        <v>253</v>
      </c>
      <c r="U10" s="162">
        <f>L10+O10+Q10+T10</f>
        <v>758.9969134</v>
      </c>
      <c r="V10" s="19">
        <f t="shared" ref="V10:V11" si="8">I10-U10</f>
        <v>0.00308659999996053</v>
      </c>
      <c r="W10" s="19" t="s">
        <v>144</v>
      </c>
      <c r="X10" s="14" t="s">
        <v>144</v>
      </c>
      <c r="Y10" s="198">
        <f>Y8</f>
        <v>0</v>
      </c>
      <c r="Z10" s="14"/>
      <c r="AA10" s="24"/>
      <c r="AB10" s="24"/>
    </row>
    <row r="11" spans="1:29">
      <c r="A11" s="13">
        <v>45700</v>
      </c>
      <c r="B11" s="14">
        <v>8</v>
      </c>
      <c r="C11" s="217" t="s">
        <v>26</v>
      </c>
      <c r="D11" s="16" t="s">
        <v>145</v>
      </c>
      <c r="E11" s="14" t="s">
        <v>130</v>
      </c>
      <c r="F11" s="18" t="s">
        <v>131</v>
      </c>
      <c r="G11" s="19">
        <v>150</v>
      </c>
      <c r="H11" s="14" t="s">
        <v>146</v>
      </c>
      <c r="I11" s="68">
        <v>150</v>
      </c>
      <c r="J11" s="15" t="str">
        <f>J10</f>
        <v>PIX  PJ ITAÚ</v>
      </c>
      <c r="K11" s="69" t="s">
        <v>123</v>
      </c>
      <c r="L11" s="70">
        <f>I11*L2</f>
        <v>24.9999</v>
      </c>
      <c r="M11" s="69">
        <v>3</v>
      </c>
      <c r="N11" s="88" t="s">
        <v>86</v>
      </c>
      <c r="O11" s="88">
        <f t="shared" ref="O11" si="9">I11/3</f>
        <v>50</v>
      </c>
      <c r="P11" s="86">
        <v>1</v>
      </c>
      <c r="Q11" s="102">
        <f t="shared" ref="Q11" si="10">L11</f>
        <v>24.9999</v>
      </c>
      <c r="R11" s="160">
        <f>Q2/11</f>
        <v>0.0151515090909091</v>
      </c>
      <c r="S11" s="19">
        <f t="shared" si="7"/>
        <v>2.27271818181818</v>
      </c>
      <c r="T11" s="161">
        <f>I11/3</f>
        <v>50</v>
      </c>
      <c r="U11" s="162">
        <f t="shared" ref="U11" si="11">L11+O11+Q11+T11</f>
        <v>149.9998</v>
      </c>
      <c r="V11" s="19">
        <f t="shared" si="8"/>
        <v>0.000200000000006639</v>
      </c>
      <c r="W11" s="19">
        <v>0</v>
      </c>
      <c r="X11" s="14" t="str">
        <f>X10</f>
        <v>?</v>
      </c>
      <c r="Y11" s="198">
        <f>Y10</f>
        <v>0</v>
      </c>
      <c r="Z11" s="14"/>
      <c r="AA11" s="34"/>
      <c r="AB11" s="34"/>
      <c r="AC11" s="1"/>
    </row>
    <row r="12" spans="1:29">
      <c r="A12" s="13">
        <v>45700</v>
      </c>
      <c r="B12" s="14">
        <v>9</v>
      </c>
      <c r="C12" s="217" t="s">
        <v>26</v>
      </c>
      <c r="D12" s="16" t="s">
        <v>147</v>
      </c>
      <c r="E12" s="27" t="str">
        <f>E11</f>
        <v>TRABALHISTA</v>
      </c>
      <c r="F12" s="18" t="s">
        <v>131</v>
      </c>
      <c r="G12" s="19">
        <v>150</v>
      </c>
      <c r="H12" s="14" t="s">
        <v>146</v>
      </c>
      <c r="I12" s="68">
        <v>150</v>
      </c>
      <c r="J12" s="15" t="str">
        <f>J11</f>
        <v>PIX  PJ ITAÚ</v>
      </c>
      <c r="K12" s="75" t="s">
        <v>32</v>
      </c>
      <c r="L12" s="76">
        <f>I12*L2</f>
        <v>24.9999</v>
      </c>
      <c r="M12" s="77" t="s">
        <v>33</v>
      </c>
      <c r="N12" s="82" t="s">
        <v>88</v>
      </c>
      <c r="O12" s="82">
        <f>G12*O2</f>
        <v>49.9995</v>
      </c>
      <c r="P12" s="79">
        <v>2</v>
      </c>
      <c r="Q12" s="102">
        <f>I12*Q2</f>
        <v>24.99999</v>
      </c>
      <c r="R12" s="160">
        <f>Q2/11</f>
        <v>0.0151515090909091</v>
      </c>
      <c r="S12" s="19">
        <f t="shared" ref="S12:S13" si="12">Q12/11</f>
        <v>2.27272636363636</v>
      </c>
      <c r="T12" s="161">
        <f>I12/3</f>
        <v>50</v>
      </c>
      <c r="U12" s="162">
        <f t="shared" ref="U12" si="13">L12+O12+Q12+T12</f>
        <v>149.99939</v>
      </c>
      <c r="V12" s="19">
        <f t="shared" ref="V12:V13" si="14">I12-U12</f>
        <v>0.00060999999999467</v>
      </c>
      <c r="W12" s="19">
        <v>0</v>
      </c>
      <c r="X12" s="14" t="str">
        <f>X11</f>
        <v>?</v>
      </c>
      <c r="Y12" s="198">
        <f>Y11</f>
        <v>0</v>
      </c>
      <c r="Z12" s="14"/>
      <c r="AA12" s="34"/>
      <c r="AB12" s="34"/>
      <c r="AC12" s="1"/>
    </row>
    <row r="13" spans="1:28">
      <c r="A13" s="13">
        <v>45707</v>
      </c>
      <c r="B13" s="14">
        <v>10</v>
      </c>
      <c r="C13" s="217" t="s">
        <v>26</v>
      </c>
      <c r="D13" s="16" t="s">
        <v>43</v>
      </c>
      <c r="E13" s="14" t="s">
        <v>37</v>
      </c>
      <c r="F13" s="18" t="s">
        <v>44</v>
      </c>
      <c r="G13" s="19">
        <v>4000</v>
      </c>
      <c r="H13" s="14" t="s">
        <v>45</v>
      </c>
      <c r="I13" s="68">
        <v>500</v>
      </c>
      <c r="J13" s="15" t="str">
        <f>J12</f>
        <v>PIX  PJ ITAÚ</v>
      </c>
      <c r="K13" s="75" t="s">
        <v>32</v>
      </c>
      <c r="L13" s="76">
        <f>I13/3/2</f>
        <v>83.3333333333333</v>
      </c>
      <c r="M13" s="76" t="str">
        <f>M25</f>
        <v>GESTÃO</v>
      </c>
      <c r="N13" s="69" t="s">
        <v>46</v>
      </c>
      <c r="O13" s="70">
        <f>I13/3/2</f>
        <v>83.3333333333333</v>
      </c>
      <c r="P13" s="69">
        <v>3</v>
      </c>
      <c r="Q13" s="102">
        <f>L13</f>
        <v>83.3333333333333</v>
      </c>
      <c r="R13" s="160">
        <f>R25</f>
        <v>0.0151515090909091</v>
      </c>
      <c r="S13" s="19">
        <f t="shared" si="12"/>
        <v>7.57575757575758</v>
      </c>
      <c r="T13" s="161">
        <f>I13/3</f>
        <v>166.666666666667</v>
      </c>
      <c r="U13" s="68">
        <v>500</v>
      </c>
      <c r="V13" s="19">
        <f t="shared" si="14"/>
        <v>0</v>
      </c>
      <c r="W13" s="19">
        <f>I13*5</f>
        <v>2500</v>
      </c>
      <c r="X13" s="14" t="s">
        <v>148</v>
      </c>
      <c r="Y13" s="198">
        <v>45627</v>
      </c>
      <c r="Z13" s="14"/>
      <c r="AA13" s="34"/>
      <c r="AB13" s="24"/>
    </row>
    <row r="14" spans="1:28">
      <c r="A14" s="16"/>
      <c r="B14" s="14"/>
      <c r="C14" s="16"/>
      <c r="D14" s="16"/>
      <c r="E14" s="14"/>
      <c r="F14" s="18"/>
      <c r="G14" s="19"/>
      <c r="H14" s="14"/>
      <c r="I14" s="19"/>
      <c r="J14" s="14"/>
      <c r="K14" s="16"/>
      <c r="L14" s="14"/>
      <c r="M14" s="14"/>
      <c r="N14" s="73" t="s">
        <v>48</v>
      </c>
      <c r="O14" s="74">
        <f>I13/3/2</f>
        <v>83.3333333333333</v>
      </c>
      <c r="P14" s="69">
        <v>3</v>
      </c>
      <c r="Q14" s="14"/>
      <c r="R14" s="160"/>
      <c r="S14" s="14"/>
      <c r="T14" s="14"/>
      <c r="U14" s="14"/>
      <c r="V14" s="14"/>
      <c r="W14" s="19"/>
      <c r="X14" s="14"/>
      <c r="Y14" s="14"/>
      <c r="Z14" s="14"/>
      <c r="AA14" s="34"/>
      <c r="AB14" s="24"/>
    </row>
    <row r="15" spans="1:28">
      <c r="A15" s="13">
        <v>45707</v>
      </c>
      <c r="B15" s="14">
        <v>11</v>
      </c>
      <c r="C15" s="217" t="s">
        <v>26</v>
      </c>
      <c r="D15" s="16" t="s">
        <v>149</v>
      </c>
      <c r="E15" s="14" t="s">
        <v>150</v>
      </c>
      <c r="F15" s="18" t="s">
        <v>151</v>
      </c>
      <c r="G15" s="19">
        <v>800</v>
      </c>
      <c r="H15" s="14" t="s">
        <v>39</v>
      </c>
      <c r="I15" s="68">
        <v>800</v>
      </c>
      <c r="J15" s="15" t="str">
        <f>J12</f>
        <v>PIX  PJ ITAÚ</v>
      </c>
      <c r="K15" s="69" t="s">
        <v>123</v>
      </c>
      <c r="L15" s="70">
        <f>I15*L2</f>
        <v>133.3328</v>
      </c>
      <c r="M15" s="69">
        <v>3</v>
      </c>
      <c r="N15" s="69" t="s">
        <v>123</v>
      </c>
      <c r="O15" s="70">
        <f>I15*O2</f>
        <v>266.664</v>
      </c>
      <c r="P15" s="69">
        <v>3</v>
      </c>
      <c r="Q15" s="102">
        <f>L15</f>
        <v>133.3328</v>
      </c>
      <c r="R15" s="160">
        <f>Q2/11</f>
        <v>0.0151515090909091</v>
      </c>
      <c r="S15" s="19">
        <f>Q15/11</f>
        <v>12.1211636363636</v>
      </c>
      <c r="T15" s="161">
        <f>I15/3</f>
        <v>266.666666666667</v>
      </c>
      <c r="U15" s="68">
        <f>L15+O15+Q15+T15</f>
        <v>799.996266666667</v>
      </c>
      <c r="V15" s="19">
        <f>I15-U15</f>
        <v>0.00373333333322989</v>
      </c>
      <c r="W15" s="19">
        <v>0</v>
      </c>
      <c r="X15" s="14" t="s">
        <v>52</v>
      </c>
      <c r="Y15" s="14" t="s">
        <v>152</v>
      </c>
      <c r="Z15" s="14"/>
      <c r="AA15" s="34"/>
      <c r="AB15" s="24"/>
    </row>
    <row r="16" spans="1:28">
      <c r="A16" s="13">
        <v>45707</v>
      </c>
      <c r="B16" s="14">
        <v>12</v>
      </c>
      <c r="C16" s="217" t="s">
        <v>26</v>
      </c>
      <c r="D16" s="16" t="s">
        <v>153</v>
      </c>
      <c r="E16" s="14" t="s">
        <v>154</v>
      </c>
      <c r="F16" s="18" t="s">
        <v>155</v>
      </c>
      <c r="G16" s="19">
        <v>1500</v>
      </c>
      <c r="H16" s="14" t="s">
        <v>156</v>
      </c>
      <c r="I16" s="68">
        <v>250</v>
      </c>
      <c r="J16" s="15" t="str">
        <f>J15</f>
        <v>PIX  PJ ITAÚ</v>
      </c>
      <c r="K16" s="82" t="s">
        <v>88</v>
      </c>
      <c r="L16" s="82">
        <f>I16*L2/2</f>
        <v>20.83325</v>
      </c>
      <c r="M16" s="79">
        <v>2</v>
      </c>
      <c r="N16" s="82" t="s">
        <v>88</v>
      </c>
      <c r="O16" s="82">
        <f>I16*O2/2</f>
        <v>41.66625</v>
      </c>
      <c r="P16" s="79">
        <v>2</v>
      </c>
      <c r="Q16" s="102">
        <f>I16*Q2</f>
        <v>41.66665</v>
      </c>
      <c r="R16" s="160">
        <f>Q2/11</f>
        <v>0.0151515090909091</v>
      </c>
      <c r="S16" s="19">
        <f>Q16/11</f>
        <v>3.78787727272727</v>
      </c>
      <c r="T16" s="161">
        <f>I16/3</f>
        <v>83.3333333333333</v>
      </c>
      <c r="U16" s="68">
        <f>L16+L17+O16+O17+Q16+T16</f>
        <v>249.998983333333</v>
      </c>
      <c r="V16" s="19">
        <f>I16-U16</f>
        <v>0.00101666666665778</v>
      </c>
      <c r="W16" s="19">
        <f>I16*5</f>
        <v>1250</v>
      </c>
      <c r="X16" s="14" t="s">
        <v>157</v>
      </c>
      <c r="Y16" s="14" t="s">
        <v>158</v>
      </c>
      <c r="Z16" s="14"/>
      <c r="AA16" s="34"/>
      <c r="AB16" s="24"/>
    </row>
    <row r="17" spans="1:28">
      <c r="A17" s="16"/>
      <c r="B17" s="14"/>
      <c r="C17" s="16"/>
      <c r="D17" s="16"/>
      <c r="E17" s="14"/>
      <c r="F17" s="16"/>
      <c r="G17" s="19"/>
      <c r="H17" s="14"/>
      <c r="I17" s="19"/>
      <c r="J17" s="14"/>
      <c r="K17" s="83" t="s">
        <v>89</v>
      </c>
      <c r="L17" s="83">
        <f>L16</f>
        <v>20.83325</v>
      </c>
      <c r="M17" s="16"/>
      <c r="N17" s="83" t="s">
        <v>89</v>
      </c>
      <c r="O17" s="83">
        <f>O16</f>
        <v>41.66625</v>
      </c>
      <c r="P17" s="16"/>
      <c r="Q17" s="16"/>
      <c r="R17" s="16"/>
      <c r="S17" s="16"/>
      <c r="T17" s="16"/>
      <c r="U17" s="14"/>
      <c r="V17" s="14"/>
      <c r="W17" s="19"/>
      <c r="X17" s="14"/>
      <c r="Y17" s="14"/>
      <c r="Z17" s="16"/>
      <c r="AA17" s="24"/>
      <c r="AB17" s="24"/>
    </row>
    <row r="18" spans="1:28">
      <c r="A18" s="13">
        <v>45708</v>
      </c>
      <c r="B18" s="14">
        <v>13</v>
      </c>
      <c r="C18" s="217" t="s">
        <v>26</v>
      </c>
      <c r="D18" s="16" t="s">
        <v>159</v>
      </c>
      <c r="E18" s="14" t="str">
        <f>E15</f>
        <v>EXTRAJUDICIAL</v>
      </c>
      <c r="F18" s="18" t="s">
        <v>160</v>
      </c>
      <c r="G18" s="19">
        <v>14400</v>
      </c>
      <c r="H18" s="14" t="s">
        <v>161</v>
      </c>
      <c r="I18" s="68">
        <v>1200</v>
      </c>
      <c r="J18" s="15" t="s">
        <v>74</v>
      </c>
      <c r="K18" s="75" t="s">
        <v>32</v>
      </c>
      <c r="L18" s="76">
        <f>I18*L2</f>
        <v>199.9992</v>
      </c>
      <c r="M18" s="77" t="s">
        <v>33</v>
      </c>
      <c r="N18" s="75" t="s">
        <v>32</v>
      </c>
      <c r="O18" s="76">
        <f>I18*O2</f>
        <v>399.996</v>
      </c>
      <c r="P18" s="77" t="s">
        <v>33</v>
      </c>
      <c r="Q18" s="102">
        <f>I18*Q2</f>
        <v>199.99992</v>
      </c>
      <c r="R18" s="160">
        <f>R16</f>
        <v>0.0151515090909091</v>
      </c>
      <c r="S18" s="19">
        <f>Q18/11</f>
        <v>18.1818109090909</v>
      </c>
      <c r="T18" s="161">
        <f>I18*T2</f>
        <v>399.9996</v>
      </c>
      <c r="U18" s="163">
        <v>1200</v>
      </c>
      <c r="V18" s="19">
        <f t="shared" ref="V18:V19" si="15">I18-U18</f>
        <v>0</v>
      </c>
      <c r="W18" s="19">
        <f>I18*11</f>
        <v>13200</v>
      </c>
      <c r="X18" s="14" t="s">
        <v>136</v>
      </c>
      <c r="Y18" s="198" t="str">
        <f>Y16</f>
        <v> AGUARDANDO</v>
      </c>
      <c r="Z18" s="14" t="s">
        <v>162</v>
      </c>
      <c r="AA18" s="24"/>
      <c r="AB18" s="24"/>
    </row>
    <row r="19" spans="1:28">
      <c r="A19" s="13">
        <v>45708</v>
      </c>
      <c r="B19" s="14">
        <v>14</v>
      </c>
      <c r="C19" s="217" t="s">
        <v>26</v>
      </c>
      <c r="D19" s="16" t="s">
        <v>36</v>
      </c>
      <c r="E19" s="14" t="s">
        <v>37</v>
      </c>
      <c r="F19" s="18" t="s">
        <v>41</v>
      </c>
      <c r="G19" s="19">
        <v>2750</v>
      </c>
      <c r="H19" s="14" t="s">
        <v>42</v>
      </c>
      <c r="I19" s="68">
        <v>250</v>
      </c>
      <c r="J19" s="15" t="str">
        <f>J15</f>
        <v>PIX  PJ ITAÚ</v>
      </c>
      <c r="K19" s="75" t="s">
        <v>32</v>
      </c>
      <c r="L19" s="76">
        <f>I19/3/2</f>
        <v>41.6666666666667</v>
      </c>
      <c r="M19" s="76" t="str">
        <f>M25</f>
        <v>GESTÃO</v>
      </c>
      <c r="N19" s="210" t="s">
        <v>34</v>
      </c>
      <c r="O19" s="85">
        <f>I19/3</f>
        <v>83.3333333333333</v>
      </c>
      <c r="P19" s="86">
        <v>1</v>
      </c>
      <c r="Q19" s="102">
        <f>L19</f>
        <v>41.6666666666667</v>
      </c>
      <c r="R19" s="160">
        <f>R25</f>
        <v>0.0151515090909091</v>
      </c>
      <c r="S19" s="19">
        <f>Q19/11</f>
        <v>3.78787878787879</v>
      </c>
      <c r="T19" s="161">
        <f>O19</f>
        <v>83.3333333333333</v>
      </c>
      <c r="U19" s="162">
        <f>L19+O19+Q19+T19</f>
        <v>250</v>
      </c>
      <c r="V19" s="19">
        <f t="shared" si="15"/>
        <v>0</v>
      </c>
      <c r="W19" s="19">
        <f>I19*4</f>
        <v>1000</v>
      </c>
      <c r="X19" s="14" t="s">
        <v>163</v>
      </c>
      <c r="Y19" s="198">
        <v>45627</v>
      </c>
      <c r="Z19" s="14"/>
      <c r="AA19" s="34"/>
      <c r="AB19" s="24"/>
    </row>
    <row r="20" spans="1:29">
      <c r="A20" s="13">
        <v>45709</v>
      </c>
      <c r="B20" s="14">
        <v>15</v>
      </c>
      <c r="C20" s="217" t="s">
        <v>26</v>
      </c>
      <c r="D20" s="16" t="s">
        <v>164</v>
      </c>
      <c r="E20" s="14" t="s">
        <v>130</v>
      </c>
      <c r="F20" s="18" t="s">
        <v>165</v>
      </c>
      <c r="G20" s="19">
        <v>6000</v>
      </c>
      <c r="H20" s="14" t="s">
        <v>103</v>
      </c>
      <c r="I20" s="68">
        <v>1000</v>
      </c>
      <c r="J20" s="15" t="s">
        <v>166</v>
      </c>
      <c r="K20" s="75" t="s">
        <v>32</v>
      </c>
      <c r="L20" s="76">
        <f>I20*L2</f>
        <v>166.666</v>
      </c>
      <c r="M20" s="77" t="s">
        <v>33</v>
      </c>
      <c r="N20" s="88" t="s">
        <v>86</v>
      </c>
      <c r="O20" s="88">
        <f t="shared" ref="O20" si="16">I20/3</f>
        <v>333.333333333333</v>
      </c>
      <c r="P20" s="86">
        <v>1</v>
      </c>
      <c r="Q20" s="102">
        <f t="shared" ref="Q20" si="17">L20</f>
        <v>166.666</v>
      </c>
      <c r="R20" s="160">
        <f>R19</f>
        <v>0.0151515090909091</v>
      </c>
      <c r="S20" s="19">
        <f>Q20/11</f>
        <v>15.1514545454545</v>
      </c>
      <c r="T20" s="161">
        <f>I20/3</f>
        <v>333.333333333333</v>
      </c>
      <c r="U20" s="162">
        <f t="shared" ref="U20" si="18">L20+O20+Q20+T20</f>
        <v>999.998666666667</v>
      </c>
      <c r="V20" s="19">
        <f t="shared" ref="V20:V21" si="19">I20-U20</f>
        <v>0.0013333333333776</v>
      </c>
      <c r="W20" s="19">
        <f>G20-I20</f>
        <v>5000</v>
      </c>
      <c r="X20" s="14" t="s">
        <v>124</v>
      </c>
      <c r="Y20" s="198">
        <v>45689</v>
      </c>
      <c r="Z20" s="14" t="s">
        <v>167</v>
      </c>
      <c r="AA20" s="34"/>
      <c r="AB20" s="34"/>
      <c r="AC20" s="1"/>
    </row>
    <row r="21" spans="1:29">
      <c r="A21" s="13">
        <v>45712</v>
      </c>
      <c r="B21" s="14">
        <v>16</v>
      </c>
      <c r="C21" s="217" t="s">
        <v>26</v>
      </c>
      <c r="D21" s="16" t="s">
        <v>168</v>
      </c>
      <c r="E21" s="14" t="s">
        <v>57</v>
      </c>
      <c r="F21" s="18" t="s">
        <v>169</v>
      </c>
      <c r="G21" s="19">
        <v>750</v>
      </c>
      <c r="H21" s="14" t="s">
        <v>39</v>
      </c>
      <c r="I21" s="68">
        <v>750</v>
      </c>
      <c r="J21" s="15" t="str">
        <f>J19</f>
        <v>PIX  PJ ITAÚ</v>
      </c>
      <c r="K21" s="69" t="s">
        <v>123</v>
      </c>
      <c r="L21" s="70">
        <f>I21*L2</f>
        <v>124.9995</v>
      </c>
      <c r="M21" s="69">
        <v>3</v>
      </c>
      <c r="N21" s="73" t="s">
        <v>48</v>
      </c>
      <c r="O21" s="74">
        <f>I21*O2</f>
        <v>249.9975</v>
      </c>
      <c r="P21" s="69">
        <v>3</v>
      </c>
      <c r="Q21" s="102">
        <f>I21/3/2</f>
        <v>125</v>
      </c>
      <c r="R21" s="160">
        <f>R6</f>
        <v>0.0151515090909091</v>
      </c>
      <c r="S21" s="19">
        <f>Q21/11</f>
        <v>11.3636363636364</v>
      </c>
      <c r="T21" s="161">
        <f>I21/3</f>
        <v>250</v>
      </c>
      <c r="U21" s="162">
        <f>L21+O21+Q21+O26+T21</f>
        <v>749.997</v>
      </c>
      <c r="V21" s="19">
        <f t="shared" si="19"/>
        <v>0.00299999999992906</v>
      </c>
      <c r="W21" s="19">
        <v>0</v>
      </c>
      <c r="X21" s="14" t="s">
        <v>52</v>
      </c>
      <c r="Y21" s="198">
        <v>45689</v>
      </c>
      <c r="Z21" s="14"/>
      <c r="AA21" s="34"/>
      <c r="AB21" s="34"/>
      <c r="AC21" s="1"/>
    </row>
    <row r="22" spans="1:29">
      <c r="A22" s="13">
        <v>45712</v>
      </c>
      <c r="B22" s="14">
        <v>17</v>
      </c>
      <c r="C22" s="217" t="s">
        <v>26</v>
      </c>
      <c r="D22" s="219" t="s">
        <v>170</v>
      </c>
      <c r="E22" s="27" t="s">
        <v>72</v>
      </c>
      <c r="F22" s="18" t="s">
        <v>131</v>
      </c>
      <c r="G22" s="19">
        <v>150</v>
      </c>
      <c r="H22" s="14" t="str">
        <f>H23</f>
        <v>PARCELA ÚNICA</v>
      </c>
      <c r="I22" s="68">
        <v>200</v>
      </c>
      <c r="J22" s="15" t="s">
        <v>171</v>
      </c>
      <c r="K22" s="181" t="s">
        <v>97</v>
      </c>
      <c r="L22" s="181">
        <f>I22*L2</f>
        <v>33.3332</v>
      </c>
      <c r="M22" s="223" t="s">
        <v>95</v>
      </c>
      <c r="N22" s="69" t="s">
        <v>123</v>
      </c>
      <c r="O22" s="70">
        <f>I22*O2</f>
        <v>66.666</v>
      </c>
      <c r="P22" s="69">
        <v>3</v>
      </c>
      <c r="Q22" s="102">
        <f>I22*Q2</f>
        <v>33.33332</v>
      </c>
      <c r="R22" s="160">
        <f>R20</f>
        <v>0.0151515090909091</v>
      </c>
      <c r="S22" s="19">
        <f t="shared" ref="S22" si="20">Q22/11</f>
        <v>3.03030181818182</v>
      </c>
      <c r="T22" s="161">
        <f>I22/3</f>
        <v>66.6666666666667</v>
      </c>
      <c r="U22" s="162">
        <f t="shared" ref="U22" si="21">L22+O22+Q22+T22</f>
        <v>199.999186666667</v>
      </c>
      <c r="V22" s="19">
        <f t="shared" ref="V22" si="22">I22-U22</f>
        <v>0.000813333333326227</v>
      </c>
      <c r="W22" s="19">
        <v>0</v>
      </c>
      <c r="X22" s="14" t="str">
        <f>X20</f>
        <v>PARCELA 01</v>
      </c>
      <c r="Y22" s="198">
        <f>Y20</f>
        <v>45689</v>
      </c>
      <c r="Z22" s="14"/>
      <c r="AA22" s="34"/>
      <c r="AB22" s="34"/>
      <c r="AC22" s="1"/>
    </row>
    <row r="23" spans="1:29">
      <c r="A23" s="13">
        <v>45712</v>
      </c>
      <c r="B23" s="14">
        <v>18</v>
      </c>
      <c r="C23" s="217" t="s">
        <v>26</v>
      </c>
      <c r="D23" s="219" t="s">
        <v>172</v>
      </c>
      <c r="E23" s="27" t="s">
        <v>173</v>
      </c>
      <c r="F23" s="18" t="s">
        <v>131</v>
      </c>
      <c r="G23" s="19">
        <v>150</v>
      </c>
      <c r="H23" s="14" t="str">
        <f>H15</f>
        <v>PARCELA ÚNICA</v>
      </c>
      <c r="I23" s="68">
        <v>150</v>
      </c>
      <c r="J23" s="15" t="str">
        <f>J21</f>
        <v>PIX  PJ ITAÚ</v>
      </c>
      <c r="K23" s="69" t="s">
        <v>123</v>
      </c>
      <c r="L23" s="70">
        <f>I23*L2</f>
        <v>24.9999</v>
      </c>
      <c r="M23" s="69">
        <v>3</v>
      </c>
      <c r="N23" s="69" t="s">
        <v>123</v>
      </c>
      <c r="O23" s="70">
        <f>I23*O2</f>
        <v>49.9995</v>
      </c>
      <c r="P23" s="69">
        <v>3</v>
      </c>
      <c r="Q23" s="102">
        <f>I23*Q2</f>
        <v>24.99999</v>
      </c>
      <c r="R23" s="160">
        <f>R21</f>
        <v>0.0151515090909091</v>
      </c>
      <c r="S23" s="19">
        <f t="shared" ref="S23:S25" si="23">Q23/11</f>
        <v>2.27272636363636</v>
      </c>
      <c r="T23" s="161">
        <f>I23/3</f>
        <v>50</v>
      </c>
      <c r="U23" s="162">
        <f t="shared" ref="U23" si="24">L23+O23+Q23+T23</f>
        <v>149.99939</v>
      </c>
      <c r="V23" s="19">
        <f t="shared" ref="V23:V25" si="25">I23-U23</f>
        <v>0.00060999999999467</v>
      </c>
      <c r="W23" s="19">
        <v>0</v>
      </c>
      <c r="X23" s="14" t="str">
        <f>X21</f>
        <v>ÚNICA</v>
      </c>
      <c r="Y23" s="198">
        <f>Y21</f>
        <v>45689</v>
      </c>
      <c r="Z23" s="14"/>
      <c r="AA23" s="34"/>
      <c r="AB23" s="34"/>
      <c r="AC23" s="1"/>
    </row>
    <row r="24" spans="1:28">
      <c r="A24" s="13">
        <v>45715</v>
      </c>
      <c r="B24" s="14">
        <v>19</v>
      </c>
      <c r="C24" s="217" t="s">
        <v>26</v>
      </c>
      <c r="D24" s="16" t="s">
        <v>159</v>
      </c>
      <c r="E24" s="14" t="str">
        <f>E20</f>
        <v>TRABALHISTA</v>
      </c>
      <c r="F24" s="18" t="s">
        <v>160</v>
      </c>
      <c r="G24" s="19">
        <v>14400</v>
      </c>
      <c r="H24" s="14" t="s">
        <v>161</v>
      </c>
      <c r="I24" s="68">
        <v>1200</v>
      </c>
      <c r="J24" s="15" t="s">
        <v>74</v>
      </c>
      <c r="K24" s="75" t="s">
        <v>32</v>
      </c>
      <c r="L24" s="76">
        <f>L18</f>
        <v>199.9992</v>
      </c>
      <c r="M24" s="77" t="s">
        <v>33</v>
      </c>
      <c r="N24" s="75" t="s">
        <v>32</v>
      </c>
      <c r="O24" s="76">
        <f>O18</f>
        <v>399.996</v>
      </c>
      <c r="P24" s="77" t="s">
        <v>33</v>
      </c>
      <c r="Q24" s="102">
        <f>Q18</f>
        <v>199.99992</v>
      </c>
      <c r="R24" s="160">
        <f>R21</f>
        <v>0.0151515090909091</v>
      </c>
      <c r="S24" s="19">
        <f t="shared" si="23"/>
        <v>18.1818109090909</v>
      </c>
      <c r="T24" s="161">
        <f>T18</f>
        <v>399.9996</v>
      </c>
      <c r="U24" s="163">
        <v>1200</v>
      </c>
      <c r="V24" s="19">
        <f t="shared" si="25"/>
        <v>0</v>
      </c>
      <c r="W24" s="19">
        <f>I24*10</f>
        <v>12000</v>
      </c>
      <c r="X24" s="14" t="s">
        <v>174</v>
      </c>
      <c r="Y24" s="198">
        <f>Y21</f>
        <v>45689</v>
      </c>
      <c r="Z24" s="14" t="s">
        <v>175</v>
      </c>
      <c r="AA24" s="24"/>
      <c r="AB24" s="24"/>
    </row>
    <row r="25" spans="1:28">
      <c r="A25" s="13">
        <v>45716</v>
      </c>
      <c r="B25" s="14">
        <v>20</v>
      </c>
      <c r="C25" s="217" t="s">
        <v>26</v>
      </c>
      <c r="D25" s="16" t="s">
        <v>27</v>
      </c>
      <c r="E25" s="14" t="s">
        <v>28</v>
      </c>
      <c r="F25" s="18" t="s">
        <v>29</v>
      </c>
      <c r="G25" s="19">
        <v>3500</v>
      </c>
      <c r="H25" s="14" t="s">
        <v>30</v>
      </c>
      <c r="I25" s="68">
        <v>250</v>
      </c>
      <c r="J25" s="15" t="str">
        <f>J24</f>
        <v>BOLETO PJ ITAÚ</v>
      </c>
      <c r="K25" s="75" t="s">
        <v>32</v>
      </c>
      <c r="L25" s="76">
        <f>I25/3/2</f>
        <v>41.6666666666667</v>
      </c>
      <c r="M25" s="77" t="s">
        <v>33</v>
      </c>
      <c r="N25" s="210" t="s">
        <v>34</v>
      </c>
      <c r="O25" s="85">
        <f>I25/3</f>
        <v>83.3333333333333</v>
      </c>
      <c r="P25" s="86">
        <v>1</v>
      </c>
      <c r="Q25" s="226">
        <f>L25</f>
        <v>41.6666666666667</v>
      </c>
      <c r="R25" s="160">
        <f>Q2/11</f>
        <v>0.0151515090909091</v>
      </c>
      <c r="S25" s="19">
        <f t="shared" si="23"/>
        <v>3.78787878787879</v>
      </c>
      <c r="T25" s="161">
        <f>O25</f>
        <v>83.3333333333333</v>
      </c>
      <c r="U25" s="162">
        <f>L25+O25+Q25+T25</f>
        <v>250</v>
      </c>
      <c r="V25" s="19">
        <f t="shared" si="25"/>
        <v>0</v>
      </c>
      <c r="W25" s="19">
        <f>I25*4</f>
        <v>1000</v>
      </c>
      <c r="X25" s="14" t="s">
        <v>176</v>
      </c>
      <c r="Y25" s="198">
        <v>45627</v>
      </c>
      <c r="Z25" s="14"/>
      <c r="AA25" s="34"/>
      <c r="AB25" s="24"/>
    </row>
    <row r="26" spans="1:28">
      <c r="A26" s="58"/>
      <c r="B26" s="59"/>
      <c r="C26" s="60"/>
      <c r="D26" s="60"/>
      <c r="E26" s="59"/>
      <c r="F26" s="60"/>
      <c r="G26" s="61"/>
      <c r="H26" s="59"/>
      <c r="I26" s="61"/>
      <c r="J26" s="59"/>
      <c r="K26" s="61"/>
      <c r="L26" s="61"/>
      <c r="M26" s="59"/>
      <c r="N26" s="59"/>
      <c r="O26" s="61"/>
      <c r="P26" s="59"/>
      <c r="Q26" s="61"/>
      <c r="R26" s="193"/>
      <c r="S26" s="61"/>
      <c r="T26" s="227"/>
      <c r="U26" s="61"/>
      <c r="V26" s="61"/>
      <c r="W26" s="61"/>
      <c r="X26" s="59"/>
      <c r="Y26" s="199"/>
      <c r="Z26" s="60"/>
      <c r="AA26" s="24"/>
      <c r="AB26" s="24"/>
    </row>
    <row r="27" spans="1:28">
      <c r="A27" s="24"/>
      <c r="B27" s="34"/>
      <c r="C27" s="24"/>
      <c r="D27" s="24"/>
      <c r="E27" s="34"/>
      <c r="F27" s="24"/>
      <c r="G27" s="35">
        <f>SUM(G3:G26)</f>
        <v>61495</v>
      </c>
      <c r="H27" s="34"/>
      <c r="I27" s="147">
        <f>SUM(I3:I26)</f>
        <v>9123</v>
      </c>
      <c r="J27" s="34"/>
      <c r="K27" s="24"/>
      <c r="L27" s="148">
        <f>SUM(L3:L26)</f>
        <v>1520.49468466667</v>
      </c>
      <c r="M27" s="24"/>
      <c r="N27" s="34"/>
      <c r="O27" s="149">
        <f>SUM(O3:O26)</f>
        <v>3040.97725666667</v>
      </c>
      <c r="P27" s="24"/>
      <c r="Q27" s="95">
        <f>SUM(Q3:Q26)</f>
        <v>1520.49824846667</v>
      </c>
      <c r="R27" s="24"/>
      <c r="S27" s="35">
        <f>SUM(S3:S26)</f>
        <v>138.22711349697</v>
      </c>
      <c r="T27" s="228">
        <f>SUM(T3:T26)</f>
        <v>3040.99665333333</v>
      </c>
      <c r="U27" s="195">
        <f>SUM(U3:U26)</f>
        <v>9122.97740313333</v>
      </c>
      <c r="V27" s="35">
        <v>0</v>
      </c>
      <c r="W27" s="35">
        <f>SUM(W3:W26)</f>
        <v>46472</v>
      </c>
      <c r="X27" s="34"/>
      <c r="Y27" s="34"/>
      <c r="Z27" s="24"/>
      <c r="AA27" s="24"/>
      <c r="AB27" s="24"/>
    </row>
    <row r="28" spans="1:28">
      <c r="A28" s="24"/>
      <c r="B28" s="34"/>
      <c r="C28" s="24"/>
      <c r="D28" s="24"/>
      <c r="E28" s="34"/>
      <c r="F28" s="24"/>
      <c r="G28" s="35"/>
      <c r="H28" s="34"/>
      <c r="I28" s="35"/>
      <c r="J28" s="34"/>
      <c r="K28" s="24"/>
      <c r="L28" s="24"/>
      <c r="M28" s="24"/>
      <c r="N28" s="34"/>
      <c r="O28" s="24"/>
      <c r="P28" s="24"/>
      <c r="Q28" s="24"/>
      <c r="R28" s="24"/>
      <c r="S28" s="196"/>
      <c r="T28" s="24"/>
      <c r="U28" s="197">
        <f>I27</f>
        <v>9123</v>
      </c>
      <c r="V28" s="34"/>
      <c r="W28" s="35"/>
      <c r="X28" s="34"/>
      <c r="Y28" s="34"/>
      <c r="Z28" s="24"/>
      <c r="AA28" s="24"/>
      <c r="AB28" s="24"/>
    </row>
    <row r="29" spans="1:28">
      <c r="A29" s="24"/>
      <c r="B29" s="34"/>
      <c r="C29" s="24"/>
      <c r="D29" s="24"/>
      <c r="E29" s="34"/>
      <c r="F29" s="24"/>
      <c r="G29" s="35"/>
      <c r="H29" s="34"/>
      <c r="I29" s="35"/>
      <c r="J29" s="34"/>
      <c r="K29" s="24"/>
      <c r="L29" s="24"/>
      <c r="M29" s="24"/>
      <c r="N29" s="34"/>
      <c r="O29" s="24"/>
      <c r="P29" s="24"/>
      <c r="Q29" s="24"/>
      <c r="R29" s="24"/>
      <c r="S29" s="24"/>
      <c r="T29" s="24"/>
      <c r="U29" s="35"/>
      <c r="V29" s="34"/>
      <c r="W29" s="35"/>
      <c r="X29" s="34"/>
      <c r="Y29" s="34"/>
      <c r="Z29" s="24"/>
      <c r="AA29" s="24"/>
      <c r="AB29" s="24"/>
    </row>
    <row r="30" spans="1:28">
      <c r="A30" s="24"/>
      <c r="B30" s="34"/>
      <c r="C30" s="24"/>
      <c r="D30" s="24"/>
      <c r="E30" s="34"/>
      <c r="F30" s="22"/>
      <c r="G30" s="35"/>
      <c r="H30" s="34"/>
      <c r="K30" s="92" t="s">
        <v>3</v>
      </c>
      <c r="L30" s="64" t="s">
        <v>16</v>
      </c>
      <c r="M30" s="93" t="s">
        <v>17</v>
      </c>
      <c r="N30" s="94" t="s">
        <v>18</v>
      </c>
      <c r="O30" s="93" t="s">
        <v>17</v>
      </c>
      <c r="P30" s="95" t="s">
        <v>2</v>
      </c>
      <c r="Q30" s="96" t="s">
        <v>3</v>
      </c>
      <c r="R30" s="97" t="s">
        <v>78</v>
      </c>
      <c r="S30" s="93" t="s">
        <v>82</v>
      </c>
      <c r="T30" s="35" t="s">
        <v>177</v>
      </c>
      <c r="U30" s="93" t="s">
        <v>17</v>
      </c>
      <c r="V30" s="93" t="s">
        <v>79</v>
      </c>
      <c r="W30" s="167" t="s">
        <v>80</v>
      </c>
      <c r="X30" s="93" t="s">
        <v>81</v>
      </c>
      <c r="Y30" s="234" t="s">
        <v>79</v>
      </c>
      <c r="AB30" s="34"/>
    </row>
    <row r="31" spans="1:28">
      <c r="A31" s="24"/>
      <c r="B31" s="34"/>
      <c r="C31" s="24"/>
      <c r="D31" s="24"/>
      <c r="E31" s="34"/>
      <c r="F31" s="22"/>
      <c r="G31" s="35"/>
      <c r="H31" s="34"/>
      <c r="K31" s="98" t="s">
        <v>83</v>
      </c>
      <c r="L31" s="99">
        <v>0</v>
      </c>
      <c r="M31" s="100">
        <v>1</v>
      </c>
      <c r="N31" s="101">
        <f>O8</f>
        <v>83.3325</v>
      </c>
      <c r="O31" s="100">
        <v>1</v>
      </c>
      <c r="P31" s="102">
        <f>S27</f>
        <v>138.22711349697</v>
      </c>
      <c r="Q31" s="103" t="s">
        <v>83</v>
      </c>
      <c r="R31" s="104">
        <f t="shared" ref="R31:R39" si="26">L31+N31+P31</f>
        <v>221.55961349697</v>
      </c>
      <c r="S31" s="168" t="s">
        <v>178</v>
      </c>
      <c r="T31" s="35"/>
      <c r="U31" s="100">
        <v>1</v>
      </c>
      <c r="V31" s="14"/>
      <c r="W31" s="160"/>
      <c r="X31" s="14"/>
      <c r="Y31" s="235"/>
      <c r="AB31" s="34"/>
    </row>
    <row r="32" spans="1:28">
      <c r="A32" s="24"/>
      <c r="B32" s="34"/>
      <c r="C32" s="24"/>
      <c r="D32" s="24"/>
      <c r="E32" s="34"/>
      <c r="F32" s="22"/>
      <c r="G32" s="35"/>
      <c r="H32" s="34"/>
      <c r="K32" s="105" t="s">
        <v>34</v>
      </c>
      <c r="L32" s="99">
        <v>0</v>
      </c>
      <c r="M32" s="100">
        <v>1</v>
      </c>
      <c r="N32" s="101">
        <f>O10+O19+O25</f>
        <v>419.664136666667</v>
      </c>
      <c r="O32" s="100">
        <v>1</v>
      </c>
      <c r="P32" s="102">
        <f>P31</f>
        <v>138.22711349697</v>
      </c>
      <c r="Q32" s="106" t="s">
        <v>34</v>
      </c>
      <c r="R32" s="107">
        <f t="shared" si="26"/>
        <v>557.891250163636</v>
      </c>
      <c r="S32" s="85" t="s">
        <v>178</v>
      </c>
      <c r="T32" s="85" t="s">
        <v>179</v>
      </c>
      <c r="U32" s="100">
        <v>1</v>
      </c>
      <c r="V32" s="14"/>
      <c r="W32" s="160"/>
      <c r="X32" s="14"/>
      <c r="Y32" s="235"/>
      <c r="AB32" s="85" t="e">
        <f>T32-2000</f>
        <v>#VALUE!</v>
      </c>
    </row>
    <row r="33" spans="1:28">
      <c r="A33" s="24"/>
      <c r="B33" s="34"/>
      <c r="C33" s="24"/>
      <c r="D33" s="24"/>
      <c r="E33" s="34"/>
      <c r="F33" s="22"/>
      <c r="G33" s="35"/>
      <c r="H33" s="34"/>
      <c r="K33" s="108" t="s">
        <v>86</v>
      </c>
      <c r="L33" s="99">
        <v>0</v>
      </c>
      <c r="M33" s="100">
        <v>1</v>
      </c>
      <c r="N33" s="101">
        <f>O6+O11+O20</f>
        <v>433.333333333333</v>
      </c>
      <c r="O33" s="100">
        <v>1</v>
      </c>
      <c r="P33" s="102">
        <f>P31</f>
        <v>138.22711349697</v>
      </c>
      <c r="Q33" s="109" t="s">
        <v>86</v>
      </c>
      <c r="R33" s="108">
        <f t="shared" si="26"/>
        <v>571.560446830303</v>
      </c>
      <c r="S33" s="169" t="s">
        <v>178</v>
      </c>
      <c r="T33" s="35"/>
      <c r="U33" s="100">
        <v>1</v>
      </c>
      <c r="V33" s="80">
        <f>R31+R32+R33</f>
        <v>1351.01131049091</v>
      </c>
      <c r="W33" s="170">
        <f>V33/V45</f>
        <v>0.14808854302167</v>
      </c>
      <c r="X33" s="100">
        <v>3</v>
      </c>
      <c r="Y33" s="236">
        <v>0</v>
      </c>
      <c r="AB33" s="34"/>
    </row>
    <row r="34" spans="1:28">
      <c r="A34" s="24"/>
      <c r="B34" s="34"/>
      <c r="C34" s="24"/>
      <c r="D34" s="24"/>
      <c r="E34" s="34"/>
      <c r="F34" s="22"/>
      <c r="G34" s="35"/>
      <c r="H34" s="34"/>
      <c r="K34" s="110" t="s">
        <v>88</v>
      </c>
      <c r="L34" s="99">
        <f>L16</f>
        <v>20.83325</v>
      </c>
      <c r="M34" s="79">
        <v>2</v>
      </c>
      <c r="N34" s="101">
        <f>O3+O12+O16</f>
        <v>141.66525</v>
      </c>
      <c r="O34" s="79">
        <v>2</v>
      </c>
      <c r="P34" s="102">
        <f>P31</f>
        <v>138.22711349697</v>
      </c>
      <c r="Q34" s="111" t="s">
        <v>88</v>
      </c>
      <c r="R34" s="110">
        <f t="shared" si="26"/>
        <v>300.72561349697</v>
      </c>
      <c r="S34" s="79" t="s">
        <v>178</v>
      </c>
      <c r="T34" s="35"/>
      <c r="U34" s="79">
        <v>2</v>
      </c>
      <c r="V34" s="14"/>
      <c r="W34" s="160"/>
      <c r="X34" s="14"/>
      <c r="Y34" s="235"/>
      <c r="AB34" s="34"/>
    </row>
    <row r="35" spans="1:28">
      <c r="A35" s="24"/>
      <c r="B35" s="34"/>
      <c r="C35" s="24"/>
      <c r="D35" s="24"/>
      <c r="E35" s="34"/>
      <c r="F35" s="22"/>
      <c r="G35" s="35"/>
      <c r="H35" s="34"/>
      <c r="K35" s="112" t="s">
        <v>89</v>
      </c>
      <c r="L35" s="99">
        <f>L17</f>
        <v>20.83325</v>
      </c>
      <c r="M35" s="79">
        <v>2</v>
      </c>
      <c r="N35" s="101">
        <f>O17</f>
        <v>41.66625</v>
      </c>
      <c r="O35" s="79">
        <v>2</v>
      </c>
      <c r="P35" s="102">
        <f>P31</f>
        <v>138.22711349697</v>
      </c>
      <c r="Q35" s="113" t="s">
        <v>89</v>
      </c>
      <c r="R35" s="114">
        <f t="shared" si="26"/>
        <v>200.72661349697</v>
      </c>
      <c r="S35" s="171" t="s">
        <v>178</v>
      </c>
      <c r="T35" s="35"/>
      <c r="U35" s="79">
        <v>2</v>
      </c>
      <c r="V35" s="14"/>
      <c r="W35" s="160"/>
      <c r="X35" s="14"/>
      <c r="Y35" s="235"/>
      <c r="AB35" s="34"/>
    </row>
    <row r="36" spans="1:28">
      <c r="A36" s="24"/>
      <c r="B36" s="34"/>
      <c r="C36" s="24"/>
      <c r="D36" s="24"/>
      <c r="E36" s="34"/>
      <c r="F36" s="22"/>
      <c r="G36" s="35"/>
      <c r="H36" s="34"/>
      <c r="K36" s="115" t="s">
        <v>90</v>
      </c>
      <c r="L36" s="99">
        <v>0</v>
      </c>
      <c r="M36" s="79">
        <v>2</v>
      </c>
      <c r="N36" s="101">
        <v>0</v>
      </c>
      <c r="O36" s="79">
        <v>2</v>
      </c>
      <c r="P36" s="102">
        <f>P31</f>
        <v>138.22711349697</v>
      </c>
      <c r="Q36" s="116" t="s">
        <v>90</v>
      </c>
      <c r="R36" s="117">
        <f t="shared" si="26"/>
        <v>138.22711349697</v>
      </c>
      <c r="S36" s="14" t="s">
        <v>178</v>
      </c>
      <c r="T36" s="35"/>
      <c r="U36" s="79">
        <v>2</v>
      </c>
      <c r="V36" s="82">
        <f>R34+R35+R36</f>
        <v>639.679340490909</v>
      </c>
      <c r="W36" s="172">
        <f>V36/V45</f>
        <v>0.0701172379526121</v>
      </c>
      <c r="X36" s="79">
        <v>3</v>
      </c>
      <c r="Y36" s="237">
        <v>1</v>
      </c>
      <c r="AB36" s="34"/>
    </row>
    <row r="37" spans="1:28">
      <c r="A37" s="24"/>
      <c r="B37" s="34"/>
      <c r="C37" s="24"/>
      <c r="D37" s="24"/>
      <c r="E37" s="34"/>
      <c r="F37" s="22"/>
      <c r="G37" s="35"/>
      <c r="H37" s="34"/>
      <c r="K37" s="118" t="s">
        <v>46</v>
      </c>
      <c r="L37" s="99">
        <f>L4+L5+L9+L15+L21+L23</f>
        <v>402.331724</v>
      </c>
      <c r="M37" s="69">
        <v>3</v>
      </c>
      <c r="N37" s="101">
        <f>O4+O5+O9+O13+O15+O22+O23</f>
        <v>704.660453333333</v>
      </c>
      <c r="O37" s="69">
        <v>3</v>
      </c>
      <c r="P37" s="102">
        <f>P31</f>
        <v>138.22711349697</v>
      </c>
      <c r="Q37" s="119" t="s">
        <v>46</v>
      </c>
      <c r="R37" s="118">
        <f t="shared" si="26"/>
        <v>1245.2192908303</v>
      </c>
      <c r="S37" s="70" t="s">
        <v>178</v>
      </c>
      <c r="T37" s="35"/>
      <c r="U37" s="69">
        <v>3</v>
      </c>
      <c r="V37" s="14"/>
      <c r="W37" s="160"/>
      <c r="X37" s="14"/>
      <c r="Y37" s="235"/>
      <c r="AB37" s="34"/>
    </row>
    <row r="38" spans="1:28">
      <c r="A38" s="24"/>
      <c r="B38" s="34"/>
      <c r="C38" s="24"/>
      <c r="D38" s="24"/>
      <c r="E38" s="34"/>
      <c r="F38" s="22"/>
      <c r="G38" s="35"/>
      <c r="H38" s="34"/>
      <c r="K38" s="120" t="s">
        <v>48</v>
      </c>
      <c r="L38" s="99">
        <v>0</v>
      </c>
      <c r="M38" s="69">
        <v>3</v>
      </c>
      <c r="N38" s="101">
        <f>O14+O21</f>
        <v>333.330833333333</v>
      </c>
      <c r="O38" s="69">
        <v>3</v>
      </c>
      <c r="P38" s="102">
        <f>P31</f>
        <v>138.22711349697</v>
      </c>
      <c r="Q38" s="121" t="s">
        <v>48</v>
      </c>
      <c r="R38" s="120">
        <f t="shared" si="26"/>
        <v>471.557946830303</v>
      </c>
      <c r="S38" s="74" t="s">
        <v>178</v>
      </c>
      <c r="T38" s="35"/>
      <c r="U38" s="69">
        <v>3</v>
      </c>
      <c r="V38" s="14"/>
      <c r="W38" s="160"/>
      <c r="X38" s="14"/>
      <c r="Y38" s="235"/>
      <c r="AB38" s="34"/>
    </row>
    <row r="39" spans="1:28">
      <c r="A39" s="24"/>
      <c r="B39" s="34"/>
      <c r="C39" s="24"/>
      <c r="D39" s="24"/>
      <c r="E39" s="34"/>
      <c r="F39" s="22"/>
      <c r="G39" s="35"/>
      <c r="H39" s="34"/>
      <c r="K39" s="122" t="s">
        <v>54</v>
      </c>
      <c r="L39" s="99">
        <v>0</v>
      </c>
      <c r="M39" s="69">
        <v>3</v>
      </c>
      <c r="N39" s="101">
        <v>0</v>
      </c>
      <c r="O39" s="69">
        <v>3</v>
      </c>
      <c r="P39" s="102">
        <f>P31</f>
        <v>138.22711349697</v>
      </c>
      <c r="Q39" s="123" t="s">
        <v>54</v>
      </c>
      <c r="R39" s="122">
        <f t="shared" si="26"/>
        <v>138.22711349697</v>
      </c>
      <c r="S39" s="14" t="s">
        <v>178</v>
      </c>
      <c r="T39" s="35"/>
      <c r="U39" s="69">
        <v>3</v>
      </c>
      <c r="V39" s="70">
        <f>R37+R38+R39</f>
        <v>1855.00435115758</v>
      </c>
      <c r="W39" s="173">
        <f>V39/V45</f>
        <v>0.20333278450642</v>
      </c>
      <c r="X39" s="69">
        <v>3</v>
      </c>
      <c r="Y39" s="238">
        <v>7</v>
      </c>
      <c r="AB39" s="34"/>
    </row>
    <row r="40" spans="1:28">
      <c r="A40" s="24"/>
      <c r="B40" s="34"/>
      <c r="C40" s="24"/>
      <c r="D40" s="24"/>
      <c r="E40" s="34"/>
      <c r="F40" s="22"/>
      <c r="G40" s="35"/>
      <c r="H40" s="34"/>
      <c r="K40" s="124" t="s">
        <v>91</v>
      </c>
      <c r="L40" s="99">
        <f>SUM(L31:L39)</f>
        <v>443.998224</v>
      </c>
      <c r="M40" s="14"/>
      <c r="N40" s="101">
        <f>SUM(N31:N39)</f>
        <v>2157.65275666667</v>
      </c>
      <c r="O40" s="14"/>
      <c r="P40" s="102">
        <f>SUM(P31:P39)</f>
        <v>1244.04402147273</v>
      </c>
      <c r="Q40" s="125" t="s">
        <v>92</v>
      </c>
      <c r="R40" s="229">
        <f>SUM(R31:R39)</f>
        <v>3845.69500213939</v>
      </c>
      <c r="S40" s="14"/>
      <c r="T40" s="35"/>
      <c r="U40" s="59" t="s">
        <v>93</v>
      </c>
      <c r="V40" s="61">
        <f>V33+V36+V39</f>
        <v>3845.69500213939</v>
      </c>
      <c r="W40" s="160"/>
      <c r="X40" s="14"/>
      <c r="Y40" s="235">
        <v>7</v>
      </c>
      <c r="AB40" s="34"/>
    </row>
    <row r="41" spans="1:28">
      <c r="A41" s="24"/>
      <c r="B41" s="34"/>
      <c r="C41" s="24"/>
      <c r="D41" s="24"/>
      <c r="E41" s="34"/>
      <c r="F41" s="22"/>
      <c r="G41" s="35"/>
      <c r="H41" s="34"/>
      <c r="K41" s="127" t="s">
        <v>32</v>
      </c>
      <c r="L41" s="99">
        <f>L3+L7+L10+L11+L12+L13+L18+L19+L20+L24+L25</f>
        <v>1018.16336066667</v>
      </c>
      <c r="M41" s="75" t="s">
        <v>33</v>
      </c>
      <c r="N41" s="101">
        <f>O7+O18+O24</f>
        <v>883.3245</v>
      </c>
      <c r="O41" s="75" t="s">
        <v>33</v>
      </c>
      <c r="P41" s="102">
        <f>P31</f>
        <v>138.22711349697</v>
      </c>
      <c r="Q41" s="128" t="s">
        <v>32</v>
      </c>
      <c r="R41" s="127">
        <f>L41+N41+P41</f>
        <v>2039.71497416364</v>
      </c>
      <c r="S41" s="175" t="s">
        <v>84</v>
      </c>
      <c r="T41" s="35">
        <f>R40+R41</f>
        <v>5885.40997630303</v>
      </c>
      <c r="U41" s="75" t="s">
        <v>33</v>
      </c>
      <c r="V41" s="76">
        <f>R41</f>
        <v>2039.71497416364</v>
      </c>
      <c r="W41" s="176">
        <f>V41/V45</f>
        <v>0.223579489200293</v>
      </c>
      <c r="X41" s="175">
        <v>3</v>
      </c>
      <c r="Y41" s="239">
        <v>10</v>
      </c>
      <c r="AB41" s="34"/>
    </row>
    <row r="42" ht="15.75" spans="1:28">
      <c r="A42" s="24"/>
      <c r="B42" s="34"/>
      <c r="C42" s="24"/>
      <c r="D42" s="24"/>
      <c r="E42" s="34"/>
      <c r="F42" s="22"/>
      <c r="G42" s="35"/>
      <c r="H42" s="34"/>
      <c r="K42" s="129" t="s">
        <v>4</v>
      </c>
      <c r="L42" s="130">
        <v>0</v>
      </c>
      <c r="M42" s="129" t="s">
        <v>4</v>
      </c>
      <c r="N42" s="101">
        <v>0</v>
      </c>
      <c r="O42" s="129" t="s">
        <v>4</v>
      </c>
      <c r="P42" s="102">
        <f>P31</f>
        <v>138.22711349697</v>
      </c>
      <c r="Q42" s="129" t="s">
        <v>4</v>
      </c>
      <c r="R42" s="131">
        <f>T27+P42+0.03</f>
        <v>3179.2537668303</v>
      </c>
      <c r="S42" s="161" t="s">
        <v>84</v>
      </c>
      <c r="T42" s="35"/>
      <c r="U42" s="129" t="s">
        <v>4</v>
      </c>
      <c r="V42" s="131">
        <f>R42</f>
        <v>3179.2537668303</v>
      </c>
      <c r="W42" s="177">
        <f>V42/V45</f>
        <v>0.348487873173304</v>
      </c>
      <c r="X42" s="14"/>
      <c r="Y42" s="235"/>
      <c r="AB42" s="34"/>
    </row>
    <row r="43" ht="15.75" spans="1:28">
      <c r="A43" s="24"/>
      <c r="B43" s="34"/>
      <c r="C43" s="24"/>
      <c r="D43" s="24"/>
      <c r="E43" s="34"/>
      <c r="F43" s="22"/>
      <c r="G43" s="35"/>
      <c r="H43" s="34"/>
      <c r="K43" s="132" t="s">
        <v>94</v>
      </c>
      <c r="L43" s="130">
        <v>0</v>
      </c>
      <c r="M43" s="72" t="s">
        <v>95</v>
      </c>
      <c r="N43" s="101">
        <v>0</v>
      </c>
      <c r="O43" s="72" t="s">
        <v>95</v>
      </c>
      <c r="P43" s="102">
        <v>0</v>
      </c>
      <c r="Q43" s="133" t="s">
        <v>94</v>
      </c>
      <c r="R43" s="132">
        <f>L43+N43+P43</f>
        <v>0</v>
      </c>
      <c r="S43" s="178" t="s">
        <v>96</v>
      </c>
      <c r="T43" s="35"/>
      <c r="U43" s="72" t="s">
        <v>95</v>
      </c>
      <c r="V43" s="230">
        <f>R43</f>
        <v>0</v>
      </c>
      <c r="W43" s="14"/>
      <c r="X43" s="14"/>
      <c r="Y43" s="235"/>
      <c r="AB43" s="34"/>
    </row>
    <row r="44" ht="15.75" spans="1:28">
      <c r="A44" s="24"/>
      <c r="B44" s="34"/>
      <c r="C44" s="24"/>
      <c r="D44" s="24"/>
      <c r="E44" s="34"/>
      <c r="F44" s="22"/>
      <c r="G44" s="35"/>
      <c r="H44" s="34"/>
      <c r="K44" s="134" t="s">
        <v>97</v>
      </c>
      <c r="L44" s="130">
        <f>L6+L22</f>
        <v>58.3331</v>
      </c>
      <c r="M44" s="72" t="s">
        <v>95</v>
      </c>
      <c r="N44" s="101">
        <v>0</v>
      </c>
      <c r="O44" s="72" t="s">
        <v>95</v>
      </c>
      <c r="P44" s="102">
        <v>0</v>
      </c>
      <c r="Q44" s="135" t="s">
        <v>97</v>
      </c>
      <c r="R44" s="134">
        <f>L44+N44+P44</f>
        <v>58.3331</v>
      </c>
      <c r="S44" s="181" t="s">
        <v>178</v>
      </c>
      <c r="T44" s="35"/>
      <c r="U44" s="72" t="s">
        <v>95</v>
      </c>
      <c r="V44" s="230">
        <f>R44</f>
        <v>58.3331</v>
      </c>
      <c r="W44" s="231">
        <f>V44/V45</f>
        <v>0.00639407214570133</v>
      </c>
      <c r="X44" s="232">
        <v>3</v>
      </c>
      <c r="Y44" s="240">
        <v>2</v>
      </c>
      <c r="AB44" s="34"/>
    </row>
    <row r="45" spans="1:28">
      <c r="A45" s="24"/>
      <c r="B45" s="34"/>
      <c r="C45" s="24"/>
      <c r="D45" s="24"/>
      <c r="E45" s="34"/>
      <c r="F45" s="22"/>
      <c r="G45" s="35"/>
      <c r="H45" s="34"/>
      <c r="K45" s="136" t="s">
        <v>98</v>
      </c>
      <c r="L45" s="99">
        <f>L40+L41+L42+L43+L44</f>
        <v>1520.49468466667</v>
      </c>
      <c r="M45" s="16"/>
      <c r="N45" s="101">
        <f>N40+N41+N42+N43+N44</f>
        <v>3040.97725666667</v>
      </c>
      <c r="O45" s="14"/>
      <c r="P45" s="102">
        <f>P40+P41+P42</f>
        <v>1520.49824846667</v>
      </c>
      <c r="Q45" s="136" t="s">
        <v>98</v>
      </c>
      <c r="R45" s="136">
        <f>R40+R41+R42+R43+R44</f>
        <v>9122.99684313333</v>
      </c>
      <c r="S45" s="14"/>
      <c r="T45" s="35"/>
      <c r="U45" s="136" t="s">
        <v>98</v>
      </c>
      <c r="V45" s="136">
        <f>V40+V41+V42+V43+V44</f>
        <v>9122.99684313333</v>
      </c>
      <c r="W45" s="184">
        <f>W33+W36+W39+W41+W42+W44</f>
        <v>1</v>
      </c>
      <c r="X45" s="185">
        <f>SUM(X31:X44)</f>
        <v>15</v>
      </c>
      <c r="Y45" s="241">
        <f>SUM(Y31:Y44)</f>
        <v>27</v>
      </c>
      <c r="AB45" s="34"/>
    </row>
    <row r="46" spans="1:28">
      <c r="A46" s="24"/>
      <c r="B46" s="34"/>
      <c r="C46" s="24"/>
      <c r="D46" s="24"/>
      <c r="E46" s="34"/>
      <c r="F46" s="22"/>
      <c r="G46" s="35"/>
      <c r="H46" s="34"/>
      <c r="K46" s="137" t="s">
        <v>21</v>
      </c>
      <c r="L46" s="99">
        <f>L27</f>
        <v>1520.49468466667</v>
      </c>
      <c r="M46" s="16"/>
      <c r="N46" s="101">
        <f>O27</f>
        <v>3040.97725666667</v>
      </c>
      <c r="O46" s="14"/>
      <c r="P46" s="102">
        <f>Q27</f>
        <v>1520.49824846667</v>
      </c>
      <c r="Q46" s="138" t="s">
        <v>21</v>
      </c>
      <c r="R46" s="139">
        <f>I27</f>
        <v>9123</v>
      </c>
      <c r="S46" s="14"/>
      <c r="T46" s="35"/>
      <c r="U46" s="138" t="s">
        <v>21</v>
      </c>
      <c r="V46" s="139">
        <f>I27</f>
        <v>9123</v>
      </c>
      <c r="W46" s="139">
        <f>V46</f>
        <v>9123</v>
      </c>
      <c r="X46" s="14"/>
      <c r="Y46" s="235"/>
      <c r="AB46" s="34"/>
    </row>
    <row r="47" spans="1:28">
      <c r="A47" s="24"/>
      <c r="B47" s="34"/>
      <c r="C47" s="24"/>
      <c r="D47" s="24"/>
      <c r="E47" s="34"/>
      <c r="F47" s="22"/>
      <c r="G47" s="35"/>
      <c r="H47" s="34"/>
      <c r="K47" s="35"/>
      <c r="L47" s="140">
        <f>L45-L46</f>
        <v>0</v>
      </c>
      <c r="M47" s="16"/>
      <c r="N47" s="140">
        <f>N45-N46</f>
        <v>0</v>
      </c>
      <c r="O47" s="14"/>
      <c r="P47" s="140">
        <f>P45-P46</f>
        <v>0</v>
      </c>
      <c r="Q47" s="14"/>
      <c r="R47" s="140">
        <f>R45-R46</f>
        <v>-0.00315686666726833</v>
      </c>
      <c r="S47" s="14"/>
      <c r="T47" s="35"/>
      <c r="U47" s="187"/>
      <c r="V47" s="140">
        <f>V45-V46</f>
        <v>-0.00315686666726833</v>
      </c>
      <c r="W47" s="14"/>
      <c r="X47" s="14"/>
      <c r="Y47" s="14"/>
      <c r="AB47" s="34"/>
    </row>
    <row r="48" spans="1:28">
      <c r="A48" s="24"/>
      <c r="B48" s="34"/>
      <c r="E48" s="34"/>
      <c r="F48" s="22"/>
      <c r="G48" s="35"/>
      <c r="H48" s="34"/>
      <c r="I48" s="35"/>
      <c r="J48" s="34"/>
      <c r="K48" s="24"/>
      <c r="L48" s="34"/>
      <c r="M48" s="34"/>
      <c r="N48" s="34"/>
      <c r="O48" s="34"/>
      <c r="P48" s="34"/>
      <c r="Q48" s="211"/>
      <c r="R48" s="34"/>
      <c r="S48" s="34"/>
      <c r="T48" s="34"/>
      <c r="U48" s="34"/>
      <c r="V48" s="34"/>
      <c r="W48" s="35"/>
      <c r="X48" s="34"/>
      <c r="Y48" s="34"/>
      <c r="Z48" s="34"/>
      <c r="AA48" s="34"/>
      <c r="AB48" s="24"/>
    </row>
    <row r="49" spans="1:28">
      <c r="A49" s="24"/>
      <c r="B49" s="34"/>
      <c r="C49" s="24"/>
      <c r="D49" s="51" t="s">
        <v>180</v>
      </c>
      <c r="E49" s="34"/>
      <c r="F49" s="24"/>
      <c r="G49" s="35"/>
      <c r="H49" s="34"/>
      <c r="I49" s="35"/>
      <c r="J49" s="34"/>
      <c r="K49" s="24"/>
      <c r="L49" s="24"/>
      <c r="M49" s="24"/>
      <c r="N49" s="34"/>
      <c r="O49" s="24"/>
      <c r="P49" s="24"/>
      <c r="Q49" s="24"/>
      <c r="R49" s="24"/>
      <c r="S49" s="24"/>
      <c r="T49" s="24"/>
      <c r="U49" s="34"/>
      <c r="V49" s="34"/>
      <c r="W49" s="35"/>
      <c r="X49" s="34"/>
      <c r="Y49" s="34"/>
      <c r="Z49" s="24"/>
      <c r="AA49" s="24"/>
      <c r="AB49" s="24"/>
    </row>
    <row r="50" spans="1:28">
      <c r="A50" s="52" t="s">
        <v>6</v>
      </c>
      <c r="B50" s="53" t="s">
        <v>7</v>
      </c>
      <c r="C50" s="53" t="s">
        <v>8</v>
      </c>
      <c r="D50" s="54" t="s">
        <v>9</v>
      </c>
      <c r="E50" s="55" t="s">
        <v>10</v>
      </c>
      <c r="F50" s="220" t="s">
        <v>11</v>
      </c>
      <c r="G50" s="56" t="s">
        <v>12</v>
      </c>
      <c r="H50" s="56" t="s">
        <v>13</v>
      </c>
      <c r="I50" s="141" t="s">
        <v>181</v>
      </c>
      <c r="J50" s="56" t="s">
        <v>15</v>
      </c>
      <c r="K50" s="142" t="s">
        <v>16</v>
      </c>
      <c r="L50" s="143">
        <v>0.1666</v>
      </c>
      <c r="M50" s="144" t="s">
        <v>17</v>
      </c>
      <c r="N50" s="145" t="s">
        <v>18</v>
      </c>
      <c r="O50" s="143">
        <v>0.3334</v>
      </c>
      <c r="P50" s="144" t="s">
        <v>17</v>
      </c>
      <c r="Q50" s="188">
        <v>0.1666666</v>
      </c>
      <c r="R50" s="189" t="s">
        <v>19</v>
      </c>
      <c r="S50" s="190" t="s">
        <v>20</v>
      </c>
      <c r="T50" s="191">
        <f>O50</f>
        <v>0.3334</v>
      </c>
      <c r="U50" s="189">
        <v>1</v>
      </c>
      <c r="V50" s="192" t="s">
        <v>21</v>
      </c>
      <c r="W50" s="56" t="s">
        <v>22</v>
      </c>
      <c r="X50" s="56" t="s">
        <v>23</v>
      </c>
      <c r="Y50" s="56" t="s">
        <v>24</v>
      </c>
      <c r="Z50" s="56" t="s">
        <v>25</v>
      </c>
      <c r="AA50" s="34"/>
      <c r="AB50" s="24"/>
    </row>
    <row r="51" spans="1:28">
      <c r="A51" s="24"/>
      <c r="B51" s="34"/>
      <c r="C51" s="24"/>
      <c r="D51" s="24"/>
      <c r="E51" s="34"/>
      <c r="F51" s="22"/>
      <c r="G51" s="35"/>
      <c r="H51" s="34"/>
      <c r="I51" s="35"/>
      <c r="J51" s="34"/>
      <c r="K51" s="24"/>
      <c r="L51" s="34"/>
      <c r="M51" s="34"/>
      <c r="N51" s="34"/>
      <c r="O51" s="34"/>
      <c r="P51" s="34"/>
      <c r="Q51" s="34"/>
      <c r="R51" s="233"/>
      <c r="S51" s="35"/>
      <c r="T51" s="34"/>
      <c r="U51" s="35"/>
      <c r="V51" s="34"/>
      <c r="W51" s="35"/>
      <c r="X51" s="34"/>
      <c r="Y51" s="34"/>
      <c r="Z51" s="34"/>
      <c r="AA51" s="34"/>
      <c r="AB51" s="24"/>
    </row>
    <row r="52" spans="1:28">
      <c r="A52" s="24"/>
      <c r="B52" s="34"/>
      <c r="C52" s="24"/>
      <c r="D52" s="24"/>
      <c r="E52" s="34"/>
      <c r="F52" s="22"/>
      <c r="G52" s="35"/>
      <c r="H52" s="34"/>
      <c r="I52" s="35"/>
      <c r="J52" s="34"/>
      <c r="K52" s="24"/>
      <c r="L52" s="34"/>
      <c r="M52" s="34"/>
      <c r="N52" s="34"/>
      <c r="O52" s="34"/>
      <c r="P52" s="34"/>
      <c r="Q52" s="34"/>
      <c r="R52" s="233"/>
      <c r="S52" s="35"/>
      <c r="T52" s="34"/>
      <c r="U52" s="35"/>
      <c r="V52" s="34"/>
      <c r="W52" s="35"/>
      <c r="X52" s="34"/>
      <c r="Y52" s="34"/>
      <c r="Z52" s="34"/>
      <c r="AA52" s="34"/>
      <c r="AB52" s="24"/>
    </row>
    <row r="53" spans="1:28">
      <c r="A53" s="24"/>
      <c r="B53" s="34"/>
      <c r="C53" s="24"/>
      <c r="D53" s="24"/>
      <c r="E53" s="34"/>
      <c r="F53" s="22"/>
      <c r="G53" s="35"/>
      <c r="H53" s="34"/>
      <c r="I53" s="35"/>
      <c r="J53" s="34"/>
      <c r="K53" s="24"/>
      <c r="L53" s="34"/>
      <c r="M53" s="34"/>
      <c r="N53" s="34"/>
      <c r="O53" s="34"/>
      <c r="P53" s="34"/>
      <c r="Q53" s="34"/>
      <c r="R53" s="233"/>
      <c r="S53" s="35"/>
      <c r="T53" s="34"/>
      <c r="U53" s="35"/>
      <c r="V53" s="34"/>
      <c r="W53" s="35"/>
      <c r="X53" s="34"/>
      <c r="Y53" s="34"/>
      <c r="Z53" s="34"/>
      <c r="AA53" s="34"/>
      <c r="AB53" s="24"/>
    </row>
    <row r="54" spans="1:28">
      <c r="A54" s="24"/>
      <c r="B54" s="34"/>
      <c r="C54" s="24"/>
      <c r="D54" s="200" t="s">
        <v>99</v>
      </c>
      <c r="F54" s="22"/>
      <c r="G54" s="35"/>
      <c r="H54" s="34"/>
      <c r="I54" s="35"/>
      <c r="J54" s="34"/>
      <c r="K54" s="24"/>
      <c r="L54" s="34"/>
      <c r="M54" s="34"/>
      <c r="N54" s="34"/>
      <c r="O54" s="34"/>
      <c r="P54" s="34"/>
      <c r="Q54" s="211"/>
      <c r="R54" s="34"/>
      <c r="S54" s="34"/>
      <c r="T54" s="34"/>
      <c r="U54" s="34"/>
      <c r="V54" s="34"/>
      <c r="W54" s="35"/>
      <c r="X54" s="34"/>
      <c r="Y54" s="34"/>
      <c r="Z54" s="34"/>
      <c r="AA54" s="34"/>
      <c r="AB54" s="24"/>
    </row>
    <row r="55" spans="1:28">
      <c r="A55" s="201" t="s">
        <v>100</v>
      </c>
      <c r="B55" s="202" t="s">
        <v>7</v>
      </c>
      <c r="C55" s="202" t="s">
        <v>8</v>
      </c>
      <c r="D55" s="203" t="s">
        <v>9</v>
      </c>
      <c r="E55" s="204" t="s">
        <v>10</v>
      </c>
      <c r="F55" s="221" t="s">
        <v>11</v>
      </c>
      <c r="G55" s="204" t="s">
        <v>12</v>
      </c>
      <c r="H55" s="204" t="s">
        <v>13</v>
      </c>
      <c r="I55" s="206" t="s">
        <v>14</v>
      </c>
      <c r="J55" s="204" t="s">
        <v>15</v>
      </c>
      <c r="K55" s="207" t="s">
        <v>16</v>
      </c>
      <c r="L55" s="65">
        <v>0.1666</v>
      </c>
      <c r="M55" s="65"/>
      <c r="N55" s="66" t="s">
        <v>18</v>
      </c>
      <c r="O55" s="67">
        <v>0.3334</v>
      </c>
      <c r="P55" s="152">
        <v>0.1666666</v>
      </c>
      <c r="Q55" s="153" t="s">
        <v>19</v>
      </c>
      <c r="R55" s="154" t="s">
        <v>20</v>
      </c>
      <c r="S55" s="154"/>
      <c r="T55" s="155">
        <f>O55</f>
        <v>0.3334</v>
      </c>
      <c r="U55" s="156">
        <v>1</v>
      </c>
      <c r="V55" s="157" t="s">
        <v>21</v>
      </c>
      <c r="W55" s="158" t="s">
        <v>22</v>
      </c>
      <c r="X55" s="159" t="s">
        <v>23</v>
      </c>
      <c r="Y55" s="159" t="s">
        <v>24</v>
      </c>
      <c r="Z55" s="159" t="s">
        <v>25</v>
      </c>
      <c r="AA55" s="34"/>
      <c r="AB55" s="24"/>
    </row>
    <row r="56" spans="1:28">
      <c r="A56" s="57">
        <v>45622</v>
      </c>
      <c r="B56" s="14">
        <v>1</v>
      </c>
      <c r="C56" s="222" t="s">
        <v>84</v>
      </c>
      <c r="D56" s="16" t="s">
        <v>101</v>
      </c>
      <c r="E56" s="14" t="str">
        <f>E19</f>
        <v>CIVIL</v>
      </c>
      <c r="F56" s="18" t="s">
        <v>102</v>
      </c>
      <c r="G56" s="19" t="s">
        <v>103</v>
      </c>
      <c r="H56" s="14" t="s">
        <v>39</v>
      </c>
      <c r="I56" s="19">
        <v>0</v>
      </c>
      <c r="J56" s="47" t="s">
        <v>104</v>
      </c>
      <c r="K56" s="208" t="s">
        <v>32</v>
      </c>
      <c r="L56" s="209">
        <f>I56*L2</f>
        <v>0</v>
      </c>
      <c r="M56" s="209"/>
      <c r="N56" s="210" t="s">
        <v>34</v>
      </c>
      <c r="O56" s="85">
        <f>I56/3</f>
        <v>0</v>
      </c>
      <c r="P56" s="102">
        <f>L56</f>
        <v>0</v>
      </c>
      <c r="Q56" s="160">
        <f>Q2/10</f>
        <v>0.01666666</v>
      </c>
      <c r="R56" s="19">
        <f>I56*Q56</f>
        <v>0</v>
      </c>
      <c r="S56" s="19"/>
      <c r="T56" s="161">
        <f>O56</f>
        <v>0</v>
      </c>
      <c r="U56" s="212">
        <f>L56+O56+P56+T56</f>
        <v>0</v>
      </c>
      <c r="V56" s="19">
        <f>I56-U56</f>
        <v>0</v>
      </c>
      <c r="W56" s="19" t="s">
        <v>105</v>
      </c>
      <c r="X56" s="14" t="s">
        <v>52</v>
      </c>
      <c r="Y56" s="198">
        <v>45627</v>
      </c>
      <c r="Z56" s="14" t="s">
        <v>106</v>
      </c>
      <c r="AA56" s="34"/>
      <c r="AB56" s="24"/>
    </row>
    <row r="57" spans="1:28">
      <c r="A57" s="57">
        <v>45639</v>
      </c>
      <c r="B57" s="14">
        <v>2</v>
      </c>
      <c r="C57" s="222" t="s">
        <v>84</v>
      </c>
      <c r="D57" s="16" t="s">
        <v>107</v>
      </c>
      <c r="E57" s="14" t="s">
        <v>37</v>
      </c>
      <c r="F57" s="18" t="s">
        <v>108</v>
      </c>
      <c r="G57" s="19" t="s">
        <v>103</v>
      </c>
      <c r="H57" s="14" t="s">
        <v>39</v>
      </c>
      <c r="I57" s="19">
        <v>0</v>
      </c>
      <c r="J57" s="47" t="s">
        <v>104</v>
      </c>
      <c r="K57" s="210" t="s">
        <v>34</v>
      </c>
      <c r="L57" s="85">
        <f>I57*L55</f>
        <v>0</v>
      </c>
      <c r="M57" s="85"/>
      <c r="N57" s="210" t="s">
        <v>34</v>
      </c>
      <c r="O57" s="85">
        <f>I57/3/2</f>
        <v>0</v>
      </c>
      <c r="P57" s="102">
        <f>I57*P55</f>
        <v>0</v>
      </c>
      <c r="Q57" s="160">
        <f>Q56</f>
        <v>0.01666666</v>
      </c>
      <c r="R57" s="19">
        <f>P57*Q57</f>
        <v>0</v>
      </c>
      <c r="S57" s="19"/>
      <c r="T57" s="161">
        <f>I57*T55</f>
        <v>0</v>
      </c>
      <c r="U57" s="212">
        <f>L57+O57+P57+T57</f>
        <v>0</v>
      </c>
      <c r="V57" s="19">
        <f>I57-U57</f>
        <v>0</v>
      </c>
      <c r="W57" s="19" t="s">
        <v>105</v>
      </c>
      <c r="X57" s="14" t="s">
        <v>52</v>
      </c>
      <c r="Y57" s="198">
        <v>45627</v>
      </c>
      <c r="Z57" s="14" t="s">
        <v>109</v>
      </c>
      <c r="AA57" s="34"/>
      <c r="AB57" s="24"/>
    </row>
    <row r="58" spans="1:28">
      <c r="A58" s="24"/>
      <c r="B58" s="34"/>
      <c r="C58" s="24"/>
      <c r="D58" s="205"/>
      <c r="E58" s="34"/>
      <c r="F58" s="22"/>
      <c r="G58" s="35"/>
      <c r="H58" s="34"/>
      <c r="I58" s="35"/>
      <c r="J58" s="34"/>
      <c r="K58" s="24"/>
      <c r="L58" s="34"/>
      <c r="M58" s="34"/>
      <c r="N58" s="109" t="s">
        <v>86</v>
      </c>
      <c r="O58" s="88">
        <f>O57</f>
        <v>0</v>
      </c>
      <c r="P58" s="34"/>
      <c r="Q58" s="213"/>
      <c r="R58" s="34"/>
      <c r="S58" s="34"/>
      <c r="T58" s="34"/>
      <c r="U58" s="34"/>
      <c r="V58" s="34"/>
      <c r="W58" s="35"/>
      <c r="X58" s="34"/>
      <c r="Y58" s="34"/>
      <c r="Z58" s="34"/>
      <c r="AA58" s="34"/>
      <c r="AB58" s="24"/>
    </row>
    <row r="59" spans="1:28">
      <c r="A59" s="57">
        <v>45685</v>
      </c>
      <c r="B59" s="14">
        <v>3</v>
      </c>
      <c r="C59" s="222" t="s">
        <v>84</v>
      </c>
      <c r="D59" s="16" t="s">
        <v>110</v>
      </c>
      <c r="E59" s="14" t="s">
        <v>37</v>
      </c>
      <c r="F59" s="18" t="s">
        <v>111</v>
      </c>
      <c r="G59" s="19" t="s">
        <v>103</v>
      </c>
      <c r="H59" s="14" t="s">
        <v>39</v>
      </c>
      <c r="I59" s="19">
        <v>0</v>
      </c>
      <c r="J59" s="47" t="s">
        <v>104</v>
      </c>
      <c r="K59" s="210" t="s">
        <v>34</v>
      </c>
      <c r="L59" s="85">
        <f>I59*L57</f>
        <v>0</v>
      </c>
      <c r="M59" s="85"/>
      <c r="N59" s="210" t="s">
        <v>34</v>
      </c>
      <c r="O59" s="85">
        <f>I59/3/2</f>
        <v>0</v>
      </c>
      <c r="P59" s="102">
        <f>I59*P57</f>
        <v>0</v>
      </c>
      <c r="Q59" s="160">
        <f>Q58</f>
        <v>0</v>
      </c>
      <c r="R59" s="19">
        <f>P59*Q59</f>
        <v>0</v>
      </c>
      <c r="S59" s="19"/>
      <c r="T59" s="161">
        <f>I59*T57</f>
        <v>0</v>
      </c>
      <c r="U59" s="212">
        <f>L59+O59+P59+T59</f>
        <v>0</v>
      </c>
      <c r="V59" s="19">
        <f>I59-U59</f>
        <v>0</v>
      </c>
      <c r="W59" s="19" t="s">
        <v>105</v>
      </c>
      <c r="X59" s="14" t="s">
        <v>52</v>
      </c>
      <c r="Y59" s="198">
        <v>45627</v>
      </c>
      <c r="Z59" s="14" t="s">
        <v>109</v>
      </c>
      <c r="AA59" s="34"/>
      <c r="AB59" s="24"/>
    </row>
    <row r="60" spans="1:28">
      <c r="A60" s="24"/>
      <c r="B60" s="34"/>
      <c r="C60" s="24"/>
      <c r="D60" s="205"/>
      <c r="E60" s="34"/>
      <c r="F60" s="22"/>
      <c r="G60" s="35"/>
      <c r="H60" s="34"/>
      <c r="I60" s="35"/>
      <c r="J60" s="34"/>
      <c r="K60" s="24"/>
      <c r="L60" s="34"/>
      <c r="M60" s="34"/>
      <c r="N60" s="119" t="s">
        <v>46</v>
      </c>
      <c r="O60" s="70">
        <v>0</v>
      </c>
      <c r="P60" s="34"/>
      <c r="Q60" s="213"/>
      <c r="R60" s="34"/>
      <c r="S60" s="34"/>
      <c r="T60" s="34"/>
      <c r="U60" s="34"/>
      <c r="V60" s="34"/>
      <c r="W60" s="35"/>
      <c r="X60" s="34"/>
      <c r="Y60" s="34"/>
      <c r="Z60" s="34"/>
      <c r="AA60" s="34"/>
      <c r="AB60" s="24"/>
    </row>
    <row r="61" spans="1:27">
      <c r="A61" s="24"/>
      <c r="B61" s="34"/>
      <c r="C61" s="24"/>
      <c r="D61" s="24"/>
      <c r="E61" s="34"/>
      <c r="F61" s="22"/>
      <c r="G61" s="35"/>
      <c r="H61" s="34"/>
      <c r="I61" s="35"/>
      <c r="J61" s="34"/>
      <c r="K61" s="24"/>
      <c r="L61" s="34"/>
      <c r="M61" s="34"/>
      <c r="N61" s="34"/>
      <c r="O61" s="34"/>
      <c r="P61" s="34"/>
      <c r="Q61" s="213"/>
      <c r="R61" s="34"/>
      <c r="S61" s="34"/>
      <c r="T61" s="34"/>
      <c r="U61" s="34"/>
      <c r="V61" s="34"/>
      <c r="W61" s="35"/>
      <c r="X61" s="34"/>
      <c r="Y61" s="34"/>
      <c r="Z61" s="34"/>
      <c r="AA61" s="34"/>
    </row>
  </sheetData>
  <hyperlinks>
    <hyperlink ref="A1" r:id="rId2" display="MENU PRINCIPAL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AD76"/>
  <sheetViews>
    <sheetView tabSelected="1" zoomScale="85" zoomScaleNormal="85" workbookViewId="0">
      <selection activeCell="G47" sqref="G47"/>
    </sheetView>
  </sheetViews>
  <sheetFormatPr defaultColWidth="9" defaultRowHeight="15"/>
  <cols>
    <col min="1" max="1" width="10.752380952381" customWidth="1"/>
    <col min="2" max="2" width="9.14285714285714" style="1" hidden="1" customWidth="1"/>
    <col min="3" max="3" width="12" style="1" hidden="1" customWidth="1"/>
    <col min="4" max="4" width="32.7619047619048" customWidth="1"/>
    <col min="5" max="5" width="15.2857142857143" style="1" customWidth="1"/>
    <col min="6" max="6" width="41.847619047619" style="1" customWidth="1"/>
    <col min="7" max="7" width="12.0952380952381" style="2" customWidth="1"/>
    <col min="8" max="8" width="30" style="1" customWidth="1"/>
    <col min="9" max="9" width="12.9333333333333" style="2" customWidth="1"/>
    <col min="10" max="10" width="12.9333333333333" style="1" customWidth="1"/>
    <col min="11" max="13" width="15.7142857142857" hidden="1" customWidth="1"/>
    <col min="14" max="15" width="15.7142857142857" style="1" hidden="1" customWidth="1"/>
    <col min="16" max="19" width="15.7142857142857" hidden="1" customWidth="1"/>
    <col min="20" max="22" width="15.7142857142857" style="1" hidden="1" customWidth="1"/>
    <col min="23" max="23" width="14.447619047619" style="2" customWidth="1"/>
    <col min="24" max="24" width="17.4761904761905" style="1" customWidth="1"/>
    <col min="25" max="25" width="11.0857142857143" style="1" customWidth="1"/>
    <col min="26" max="26" width="24.7142857142857" customWidth="1"/>
  </cols>
  <sheetData>
    <row r="1" spans="1:29">
      <c r="A1" s="3" t="s">
        <v>0</v>
      </c>
      <c r="B1" s="4" t="s">
        <v>182</v>
      </c>
      <c r="C1" s="5"/>
      <c r="D1" s="6" t="s">
        <v>1</v>
      </c>
      <c r="E1" s="7"/>
      <c r="F1" s="5"/>
      <c r="G1" s="8"/>
      <c r="H1" s="5"/>
      <c r="I1" s="62">
        <v>1</v>
      </c>
      <c r="J1" s="5"/>
      <c r="K1" s="5"/>
      <c r="L1" s="5"/>
      <c r="M1" s="5"/>
      <c r="N1" s="5"/>
      <c r="O1" s="5"/>
      <c r="P1" s="34"/>
      <c r="Q1" s="95" t="s">
        <v>2</v>
      </c>
      <c r="R1" s="96" t="s">
        <v>3</v>
      </c>
      <c r="S1" s="14"/>
      <c r="T1" s="150" t="s">
        <v>4</v>
      </c>
      <c r="U1" s="151" t="s">
        <v>5</v>
      </c>
      <c r="V1" s="5"/>
      <c r="W1" s="8"/>
      <c r="X1" s="5"/>
      <c r="Y1" s="8"/>
      <c r="Z1" s="8"/>
      <c r="AA1" s="34"/>
      <c r="AB1" s="34"/>
      <c r="AC1" s="1"/>
    </row>
    <row r="2" spans="1:28">
      <c r="A2" s="9" t="s">
        <v>6</v>
      </c>
      <c r="B2" s="6" t="s">
        <v>7</v>
      </c>
      <c r="C2" s="6" t="s">
        <v>8</v>
      </c>
      <c r="D2" s="10" t="s">
        <v>9</v>
      </c>
      <c r="E2" s="11" t="s">
        <v>10</v>
      </c>
      <c r="F2" s="10" t="s">
        <v>11</v>
      </c>
      <c r="G2" s="12" t="s">
        <v>12</v>
      </c>
      <c r="H2" s="12" t="s">
        <v>13</v>
      </c>
      <c r="I2" s="63" t="s">
        <v>14</v>
      </c>
      <c r="J2" s="12" t="s">
        <v>15</v>
      </c>
      <c r="K2" s="64" t="s">
        <v>16</v>
      </c>
      <c r="L2" s="65">
        <f>I1/3/2</f>
        <v>0.166666666666667</v>
      </c>
      <c r="M2" s="36" t="s">
        <v>17</v>
      </c>
      <c r="N2" s="66" t="s">
        <v>18</v>
      </c>
      <c r="O2" s="67">
        <f>I1/3</f>
        <v>0.333333333333333</v>
      </c>
      <c r="P2" s="36" t="s">
        <v>17</v>
      </c>
      <c r="Q2" s="152">
        <f>I1/3/2</f>
        <v>0.166666666666667</v>
      </c>
      <c r="R2" s="153" t="s">
        <v>19</v>
      </c>
      <c r="S2" s="154" t="s">
        <v>20</v>
      </c>
      <c r="T2" s="155">
        <f>I1/3</f>
        <v>0.333333333333333</v>
      </c>
      <c r="U2" s="156">
        <v>1</v>
      </c>
      <c r="V2" s="157" t="s">
        <v>21</v>
      </c>
      <c r="W2" s="158" t="s">
        <v>22</v>
      </c>
      <c r="X2" s="159" t="s">
        <v>23</v>
      </c>
      <c r="Y2" s="159" t="s">
        <v>24</v>
      </c>
      <c r="Z2" s="159" t="s">
        <v>25</v>
      </c>
      <c r="AA2" s="34"/>
      <c r="AB2" s="24"/>
    </row>
    <row r="3" spans="1:30">
      <c r="A3" s="13">
        <v>45721</v>
      </c>
      <c r="B3" s="14">
        <v>1</v>
      </c>
      <c r="C3" s="15" t="s">
        <v>26</v>
      </c>
      <c r="D3" s="16" t="s">
        <v>183</v>
      </c>
      <c r="E3" s="17" t="s">
        <v>150</v>
      </c>
      <c r="F3" s="18" t="s">
        <v>184</v>
      </c>
      <c r="G3" s="19">
        <v>3000</v>
      </c>
      <c r="H3" s="14" t="s">
        <v>39</v>
      </c>
      <c r="I3" s="68">
        <v>3000</v>
      </c>
      <c r="J3" s="15" t="str">
        <f>J4</f>
        <v>PIX  PJ ITAÚ</v>
      </c>
      <c r="K3" s="69" t="s">
        <v>123</v>
      </c>
      <c r="L3" s="70">
        <f>I3*L2</f>
        <v>500</v>
      </c>
      <c r="M3" s="69">
        <v>3</v>
      </c>
      <c r="N3" s="69" t="s">
        <v>123</v>
      </c>
      <c r="O3" s="70">
        <f>I3/3</f>
        <v>1000</v>
      </c>
      <c r="P3" s="69">
        <v>3</v>
      </c>
      <c r="Q3" s="102">
        <f>L3</f>
        <v>500</v>
      </c>
      <c r="R3" s="160">
        <f>Q2/11</f>
        <v>0.0151515151515152</v>
      </c>
      <c r="S3" s="19">
        <f t="shared" ref="S3:S11" si="0">Q3/11</f>
        <v>45.4545454545455</v>
      </c>
      <c r="T3" s="161">
        <f>I3/3</f>
        <v>1000</v>
      </c>
      <c r="U3" s="68">
        <f t="shared" ref="U3:U8" si="1">L3+O3+Q3+T3</f>
        <v>3000</v>
      </c>
      <c r="V3" s="19">
        <f t="shared" ref="V3:V11" si="2">I3-U3</f>
        <v>0</v>
      </c>
      <c r="W3" s="19">
        <v>0</v>
      </c>
      <c r="X3" s="14" t="str">
        <f>X4</f>
        <v>PARCELA ÚNICA</v>
      </c>
      <c r="Y3" s="198">
        <f>Y7</f>
        <v>45717</v>
      </c>
      <c r="Z3" s="14" t="s">
        <v>185</v>
      </c>
      <c r="AA3" s="34"/>
      <c r="AB3" s="24"/>
      <c r="AC3" s="24"/>
      <c r="AD3" s="24"/>
    </row>
    <row r="4" spans="1:30">
      <c r="A4" s="13">
        <v>45721</v>
      </c>
      <c r="B4" s="14">
        <v>2</v>
      </c>
      <c r="C4" s="15" t="s">
        <v>26</v>
      </c>
      <c r="D4" s="16" t="s">
        <v>186</v>
      </c>
      <c r="E4" s="20" t="s">
        <v>154</v>
      </c>
      <c r="F4" s="18" t="s">
        <v>155</v>
      </c>
      <c r="G4" s="19">
        <v>250</v>
      </c>
      <c r="H4" s="14" t="str">
        <f>H7</f>
        <v>PARCELA ÚNICA</v>
      </c>
      <c r="I4" s="68">
        <v>250</v>
      </c>
      <c r="J4" s="15" t="str">
        <f>J5</f>
        <v>PIX  PJ ITAÚ</v>
      </c>
      <c r="K4" s="71" t="s">
        <v>97</v>
      </c>
      <c r="L4" s="71">
        <f>I4*L2</f>
        <v>41.6666666666667</v>
      </c>
      <c r="M4" s="72" t="s">
        <v>95</v>
      </c>
      <c r="N4" s="69" t="s">
        <v>123</v>
      </c>
      <c r="O4" s="70">
        <f>I4*O2</f>
        <v>83.3333333333333</v>
      </c>
      <c r="P4" s="69">
        <v>3</v>
      </c>
      <c r="Q4" s="102">
        <f>I4*Q2</f>
        <v>41.6666666666667</v>
      </c>
      <c r="R4" s="160">
        <f>Q2/11</f>
        <v>0.0151515151515152</v>
      </c>
      <c r="S4" s="19">
        <f t="shared" si="0"/>
        <v>3.78787878787879</v>
      </c>
      <c r="T4" s="161">
        <f>I4/3</f>
        <v>83.3333333333333</v>
      </c>
      <c r="U4" s="68">
        <f t="shared" si="1"/>
        <v>250</v>
      </c>
      <c r="V4" s="19">
        <f t="shared" si="2"/>
        <v>0</v>
      </c>
      <c r="W4" s="19">
        <v>0</v>
      </c>
      <c r="X4" s="14" t="str">
        <f>X7</f>
        <v>PARCELA ÚNICA</v>
      </c>
      <c r="Y4" s="198">
        <f>Y7</f>
        <v>45717</v>
      </c>
      <c r="Z4" s="14"/>
      <c r="AA4" s="34"/>
      <c r="AB4" s="24"/>
      <c r="AC4" s="24"/>
      <c r="AD4" s="24"/>
    </row>
    <row r="5" spans="1:30">
      <c r="A5" s="13">
        <v>45723</v>
      </c>
      <c r="B5" s="14">
        <v>3</v>
      </c>
      <c r="C5" s="15" t="s">
        <v>26</v>
      </c>
      <c r="D5" s="16" t="s">
        <v>187</v>
      </c>
      <c r="E5" s="21" t="s">
        <v>119</v>
      </c>
      <c r="F5" s="22" t="s">
        <v>188</v>
      </c>
      <c r="G5" s="19">
        <v>1144.14</v>
      </c>
      <c r="H5" s="14" t="s">
        <v>121</v>
      </c>
      <c r="I5" s="68">
        <v>1144.14</v>
      </c>
      <c r="J5" s="15" t="s">
        <v>122</v>
      </c>
      <c r="K5" s="73" t="s">
        <v>48</v>
      </c>
      <c r="L5" s="74">
        <f>I5*L2</f>
        <v>190.69</v>
      </c>
      <c r="M5" s="69">
        <v>3</v>
      </c>
      <c r="N5" s="69" t="s">
        <v>123</v>
      </c>
      <c r="O5" s="70">
        <f>I5*O2</f>
        <v>381.38</v>
      </c>
      <c r="P5" s="69">
        <v>3</v>
      </c>
      <c r="Q5" s="102">
        <f>I5*Q2</f>
        <v>190.69</v>
      </c>
      <c r="R5" s="160">
        <f>Q2/11</f>
        <v>0.0151515151515152</v>
      </c>
      <c r="S5" s="19">
        <f t="shared" si="0"/>
        <v>17.3354545454545</v>
      </c>
      <c r="T5" s="161">
        <f>I5/3</f>
        <v>381.38</v>
      </c>
      <c r="U5" s="162">
        <f t="shared" si="1"/>
        <v>1144.14</v>
      </c>
      <c r="V5" s="19">
        <f t="shared" si="2"/>
        <v>0</v>
      </c>
      <c r="W5" s="19">
        <f>G5-I5</f>
        <v>0</v>
      </c>
      <c r="X5" s="14" t="s">
        <v>124</v>
      </c>
      <c r="Y5" s="198">
        <v>45658</v>
      </c>
      <c r="Z5" s="16"/>
      <c r="AA5" s="24"/>
      <c r="AB5" s="24"/>
      <c r="AC5" s="24"/>
      <c r="AD5" s="24"/>
    </row>
    <row r="6" spans="1:30">
      <c r="A6" s="13">
        <v>45723</v>
      </c>
      <c r="B6" s="14">
        <v>4</v>
      </c>
      <c r="C6" s="15" t="s">
        <v>26</v>
      </c>
      <c r="D6" s="16" t="s">
        <v>189</v>
      </c>
      <c r="E6" s="23" t="s">
        <v>37</v>
      </c>
      <c r="F6" s="18" t="s">
        <v>131</v>
      </c>
      <c r="G6" s="19">
        <v>150</v>
      </c>
      <c r="H6" s="14" t="s">
        <v>39</v>
      </c>
      <c r="I6" s="68">
        <v>150</v>
      </c>
      <c r="J6" s="15" t="s">
        <v>117</v>
      </c>
      <c r="K6" s="75" t="s">
        <v>32</v>
      </c>
      <c r="L6" s="76">
        <f>I6/3/2</f>
        <v>25</v>
      </c>
      <c r="M6" s="77" t="s">
        <v>33</v>
      </c>
      <c r="N6" s="78" t="s">
        <v>90</v>
      </c>
      <c r="O6" s="78">
        <f>I6*O2</f>
        <v>50</v>
      </c>
      <c r="P6" s="79">
        <v>2</v>
      </c>
      <c r="Q6" s="102">
        <f>I6*Q2</f>
        <v>25</v>
      </c>
      <c r="R6" s="160">
        <f>R4</f>
        <v>0.0151515151515152</v>
      </c>
      <c r="S6" s="19">
        <f t="shared" si="0"/>
        <v>2.27272727272727</v>
      </c>
      <c r="T6" s="161">
        <f>O6</f>
        <v>50</v>
      </c>
      <c r="U6" s="162">
        <f t="shared" si="1"/>
        <v>150</v>
      </c>
      <c r="V6" s="19">
        <f t="shared" si="2"/>
        <v>0</v>
      </c>
      <c r="W6" s="19">
        <v>0</v>
      </c>
      <c r="X6" s="14" t="str">
        <f>X7</f>
        <v>PARCELA ÚNICA</v>
      </c>
      <c r="Y6" s="198">
        <f>Y7</f>
        <v>45717</v>
      </c>
      <c r="Z6" s="16"/>
      <c r="AA6" s="24"/>
      <c r="AB6" s="24"/>
      <c r="AC6" s="24"/>
      <c r="AD6" s="24"/>
    </row>
    <row r="7" spans="1:30">
      <c r="A7" s="13">
        <v>45724</v>
      </c>
      <c r="B7" s="14">
        <v>5</v>
      </c>
      <c r="C7" s="15" t="s">
        <v>26</v>
      </c>
      <c r="D7" s="24" t="s">
        <v>190</v>
      </c>
      <c r="E7" s="25" t="s">
        <v>173</v>
      </c>
      <c r="F7" s="18" t="s">
        <v>191</v>
      </c>
      <c r="G7" s="19">
        <v>1000</v>
      </c>
      <c r="H7" s="14" t="s">
        <v>39</v>
      </c>
      <c r="I7" s="68">
        <v>1000</v>
      </c>
      <c r="J7" s="15" t="str">
        <f>J5</f>
        <v>PIX  PJ ITAÚ</v>
      </c>
      <c r="K7" s="69" t="s">
        <v>123</v>
      </c>
      <c r="L7" s="70">
        <f>I7*L2</f>
        <v>166.666666666667</v>
      </c>
      <c r="M7" s="69">
        <v>3</v>
      </c>
      <c r="N7" s="69" t="s">
        <v>123</v>
      </c>
      <c r="O7" s="70">
        <f>I7*O2</f>
        <v>333.333333333333</v>
      </c>
      <c r="P7" s="69">
        <v>3</v>
      </c>
      <c r="Q7" s="102">
        <f>I7*Q2</f>
        <v>166.666666666667</v>
      </c>
      <c r="R7" s="160">
        <f>R5</f>
        <v>0.0151515151515152</v>
      </c>
      <c r="S7" s="19">
        <f t="shared" si="0"/>
        <v>15.1515151515152</v>
      </c>
      <c r="T7" s="161">
        <f>I7/3</f>
        <v>333.333333333333</v>
      </c>
      <c r="U7" s="162">
        <f t="shared" si="1"/>
        <v>1000</v>
      </c>
      <c r="V7" s="19">
        <f t="shared" si="2"/>
        <v>0</v>
      </c>
      <c r="W7" s="19">
        <v>0</v>
      </c>
      <c r="X7" s="14" t="str">
        <f>H7</f>
        <v>PARCELA ÚNICA</v>
      </c>
      <c r="Y7" s="198">
        <v>45717</v>
      </c>
      <c r="Z7" s="14"/>
      <c r="AA7" s="34"/>
      <c r="AB7" s="34"/>
      <c r="AC7" s="34"/>
      <c r="AD7" s="24"/>
    </row>
    <row r="8" spans="1:30">
      <c r="A8" s="13">
        <v>45726</v>
      </c>
      <c r="B8" s="14">
        <v>6</v>
      </c>
      <c r="C8" s="15" t="s">
        <v>26</v>
      </c>
      <c r="D8" s="24" t="s">
        <v>192</v>
      </c>
      <c r="E8" s="23" t="s">
        <v>37</v>
      </c>
      <c r="F8" s="18" t="s">
        <v>193</v>
      </c>
      <c r="G8" s="26">
        <v>2400</v>
      </c>
      <c r="H8" s="27" t="s">
        <v>194</v>
      </c>
      <c r="I8" s="68">
        <v>300</v>
      </c>
      <c r="J8" s="15" t="str">
        <f>J6</f>
        <v>PIX  PJ BB</v>
      </c>
      <c r="K8" s="69" t="s">
        <v>123</v>
      </c>
      <c r="L8" s="70">
        <f>I8*L2</f>
        <v>50</v>
      </c>
      <c r="M8" s="69">
        <v>3</v>
      </c>
      <c r="N8" s="69" t="s">
        <v>123</v>
      </c>
      <c r="O8" s="70">
        <f>I8*O2</f>
        <v>100</v>
      </c>
      <c r="P8" s="69">
        <v>3</v>
      </c>
      <c r="Q8" s="102">
        <f>I8*Q2</f>
        <v>50</v>
      </c>
      <c r="R8" s="160">
        <f>R6</f>
        <v>0.0151515151515152</v>
      </c>
      <c r="S8" s="19">
        <f t="shared" si="0"/>
        <v>4.54545454545455</v>
      </c>
      <c r="T8" s="161">
        <f>I8/3</f>
        <v>100</v>
      </c>
      <c r="U8" s="162">
        <f t="shared" si="1"/>
        <v>300</v>
      </c>
      <c r="V8" s="19">
        <f t="shared" si="2"/>
        <v>0</v>
      </c>
      <c r="W8" s="19">
        <f>I8*7</f>
        <v>2100</v>
      </c>
      <c r="X8" s="14" t="s">
        <v>195</v>
      </c>
      <c r="Y8" s="198">
        <v>45717</v>
      </c>
      <c r="Z8" s="14"/>
      <c r="AA8" s="24"/>
      <c r="AB8" s="24"/>
      <c r="AC8" s="24"/>
      <c r="AD8" s="24"/>
    </row>
    <row r="9" spans="1:30">
      <c r="A9" s="13">
        <v>45726</v>
      </c>
      <c r="B9" s="14">
        <v>7</v>
      </c>
      <c r="C9" s="15" t="s">
        <v>26</v>
      </c>
      <c r="D9" s="16" t="s">
        <v>137</v>
      </c>
      <c r="E9" s="23" t="s">
        <v>37</v>
      </c>
      <c r="F9" s="18" t="s">
        <v>138</v>
      </c>
      <c r="G9" s="19">
        <v>1000</v>
      </c>
      <c r="H9" s="14" t="s">
        <v>139</v>
      </c>
      <c r="I9" s="68">
        <v>100</v>
      </c>
      <c r="J9" s="15" t="s">
        <v>122</v>
      </c>
      <c r="K9" s="69" t="s">
        <v>123</v>
      </c>
      <c r="L9" s="70">
        <f>I9*L2</f>
        <v>16.6666666666667</v>
      </c>
      <c r="M9" s="69">
        <v>3</v>
      </c>
      <c r="N9" s="69" t="s">
        <v>123</v>
      </c>
      <c r="O9" s="70">
        <f>I9*O2</f>
        <v>33.3333333333333</v>
      </c>
      <c r="P9" s="69">
        <v>3</v>
      </c>
      <c r="Q9" s="102">
        <f>I9*Q2</f>
        <v>16.6666666666667</v>
      </c>
      <c r="R9" s="160">
        <f>Q2/11</f>
        <v>0.0151515151515152</v>
      </c>
      <c r="S9" s="19">
        <f t="shared" si="0"/>
        <v>1.51515151515151</v>
      </c>
      <c r="T9" s="161">
        <f>I9/3</f>
        <v>33.3333333333333</v>
      </c>
      <c r="U9" s="162">
        <f>L9+O62+Q9+O9+T9</f>
        <v>100</v>
      </c>
      <c r="V9" s="19">
        <f t="shared" si="2"/>
        <v>0</v>
      </c>
      <c r="W9" s="19">
        <f>I9*8</f>
        <v>800</v>
      </c>
      <c r="X9" s="14" t="s">
        <v>196</v>
      </c>
      <c r="Y9" s="198">
        <f>Y11</f>
        <v>45658</v>
      </c>
      <c r="Z9" s="14"/>
      <c r="AA9" s="24"/>
      <c r="AB9" s="24"/>
      <c r="AC9" s="24"/>
      <c r="AD9" s="24"/>
    </row>
    <row r="10" spans="1:30">
      <c r="A10" s="13">
        <v>45726</v>
      </c>
      <c r="B10" s="14">
        <v>8</v>
      </c>
      <c r="C10" s="15" t="s">
        <v>26</v>
      </c>
      <c r="D10" s="16" t="s">
        <v>197</v>
      </c>
      <c r="E10" s="23" t="s">
        <v>37</v>
      </c>
      <c r="F10" s="18" t="s">
        <v>198</v>
      </c>
      <c r="G10" s="19">
        <v>150</v>
      </c>
      <c r="H10" s="14" t="s">
        <v>39</v>
      </c>
      <c r="I10" s="68">
        <v>150</v>
      </c>
      <c r="J10" s="15" t="s">
        <v>117</v>
      </c>
      <c r="K10" s="69" t="s">
        <v>123</v>
      </c>
      <c r="L10" s="70">
        <f>I10*L2</f>
        <v>25</v>
      </c>
      <c r="M10" s="69">
        <v>3</v>
      </c>
      <c r="N10" s="69" t="s">
        <v>123</v>
      </c>
      <c r="O10" s="70">
        <f>I10*O2</f>
        <v>50</v>
      </c>
      <c r="P10" s="69">
        <v>3</v>
      </c>
      <c r="Q10" s="102">
        <f>I10*Q2</f>
        <v>25</v>
      </c>
      <c r="R10" s="160">
        <f>R3</f>
        <v>0.0151515151515152</v>
      </c>
      <c r="S10" s="19">
        <f t="shared" si="0"/>
        <v>2.27272727272727</v>
      </c>
      <c r="T10" s="161">
        <f>I10/3</f>
        <v>50</v>
      </c>
      <c r="U10" s="162">
        <f>L10+O10+Q10+T10</f>
        <v>150</v>
      </c>
      <c r="V10" s="19">
        <f t="shared" si="2"/>
        <v>0</v>
      </c>
      <c r="W10" s="19">
        <f>W7</f>
        <v>0</v>
      </c>
      <c r="X10" s="14" t="str">
        <f>X7</f>
        <v>PARCELA ÚNICA</v>
      </c>
      <c r="Y10" s="198">
        <f>Y13</f>
        <v>45717</v>
      </c>
      <c r="Z10" s="14"/>
      <c r="AA10" s="24"/>
      <c r="AB10" s="24"/>
      <c r="AC10" s="24"/>
      <c r="AD10" s="24"/>
    </row>
    <row r="11" spans="1:30">
      <c r="A11" s="13">
        <v>45727</v>
      </c>
      <c r="B11" s="14">
        <v>9</v>
      </c>
      <c r="C11" s="15" t="s">
        <v>26</v>
      </c>
      <c r="D11" s="16" t="s">
        <v>132</v>
      </c>
      <c r="E11" s="28" t="s">
        <v>133</v>
      </c>
      <c r="F11" s="18" t="s">
        <v>134</v>
      </c>
      <c r="G11" s="19">
        <v>6000</v>
      </c>
      <c r="H11" s="14" t="s">
        <v>135</v>
      </c>
      <c r="I11" s="68">
        <v>500</v>
      </c>
      <c r="J11" s="15" t="s">
        <v>122</v>
      </c>
      <c r="K11" s="75" t="s">
        <v>32</v>
      </c>
      <c r="L11" s="76">
        <f>I11*L2</f>
        <v>83.3333333333333</v>
      </c>
      <c r="M11" s="77" t="s">
        <v>33</v>
      </c>
      <c r="N11" s="75" t="s">
        <v>32</v>
      </c>
      <c r="O11" s="76">
        <f>I11*O2/2</f>
        <v>83.3333333333333</v>
      </c>
      <c r="P11" s="77" t="s">
        <v>33</v>
      </c>
      <c r="Q11" s="102">
        <f>I11*Q2</f>
        <v>83.3333333333333</v>
      </c>
      <c r="R11" s="160">
        <f>Q2/11</f>
        <v>0.0151515151515152</v>
      </c>
      <c r="S11" s="19">
        <f t="shared" si="0"/>
        <v>7.57575757575758</v>
      </c>
      <c r="T11" s="161">
        <f>I11/3</f>
        <v>166.666666666667</v>
      </c>
      <c r="U11" s="162">
        <f>L11+O12+Q11+O11+T11</f>
        <v>500</v>
      </c>
      <c r="V11" s="19">
        <f t="shared" si="2"/>
        <v>0</v>
      </c>
      <c r="W11" s="19">
        <f>I11*10</f>
        <v>5000</v>
      </c>
      <c r="X11" s="14" t="s">
        <v>199</v>
      </c>
      <c r="Y11" s="198">
        <f>Y14</f>
        <v>45658</v>
      </c>
      <c r="Z11" s="14"/>
      <c r="AA11" s="34"/>
      <c r="AB11" s="34"/>
      <c r="AC11" s="34"/>
      <c r="AD11" s="24"/>
    </row>
    <row r="12" spans="1:30">
      <c r="A12" s="16"/>
      <c r="B12" s="14"/>
      <c r="C12" s="14"/>
      <c r="D12" s="16"/>
      <c r="E12" s="14"/>
      <c r="F12" s="18"/>
      <c r="G12" s="19"/>
      <c r="H12" s="14"/>
      <c r="I12" s="19"/>
      <c r="J12" s="14"/>
      <c r="K12" s="16"/>
      <c r="L12" s="16"/>
      <c r="M12" s="16"/>
      <c r="N12" s="80" t="s">
        <v>83</v>
      </c>
      <c r="O12" s="80">
        <f>O11</f>
        <v>83.3333333333333</v>
      </c>
      <c r="P12" s="81"/>
      <c r="Q12" s="16"/>
      <c r="R12" s="16"/>
      <c r="S12" s="16"/>
      <c r="T12" s="14"/>
      <c r="U12" s="14"/>
      <c r="V12" s="14"/>
      <c r="W12" s="19"/>
      <c r="X12" s="14"/>
      <c r="Y12" s="14"/>
      <c r="Z12" s="16"/>
      <c r="AA12" s="24"/>
      <c r="AB12" s="24"/>
      <c r="AC12" s="24"/>
      <c r="AD12" s="24"/>
    </row>
    <row r="13" spans="1:30">
      <c r="A13" s="13">
        <v>45727</v>
      </c>
      <c r="B13" s="14">
        <v>10</v>
      </c>
      <c r="C13" s="15" t="s">
        <v>26</v>
      </c>
      <c r="D13" s="24" t="s">
        <v>200</v>
      </c>
      <c r="E13" s="25" t="s">
        <v>173</v>
      </c>
      <c r="F13" s="18" t="s">
        <v>201</v>
      </c>
      <c r="G13" s="19">
        <v>5000</v>
      </c>
      <c r="H13" s="14" t="s">
        <v>202</v>
      </c>
      <c r="I13" s="68">
        <v>1000</v>
      </c>
      <c r="J13" s="15" t="str">
        <f>J11</f>
        <v>PIX  PJ ITAÚ</v>
      </c>
      <c r="K13" s="75" t="s">
        <v>32</v>
      </c>
      <c r="L13" s="76">
        <f>I13*L2</f>
        <v>166.666666666667</v>
      </c>
      <c r="M13" s="77" t="s">
        <v>33</v>
      </c>
      <c r="N13" s="69" t="s">
        <v>123</v>
      </c>
      <c r="O13" s="70">
        <f>I13*O2</f>
        <v>333.333333333333</v>
      </c>
      <c r="P13" s="69">
        <v>3</v>
      </c>
      <c r="Q13" s="102">
        <f>I13*Q2</f>
        <v>166.666666666667</v>
      </c>
      <c r="R13" s="160">
        <f>R11</f>
        <v>0.0151515151515152</v>
      </c>
      <c r="S13" s="19">
        <f>Q13/11</f>
        <v>15.1515151515152</v>
      </c>
      <c r="T13" s="161">
        <f>I13/3</f>
        <v>333.333333333333</v>
      </c>
      <c r="U13" s="162">
        <f>L13+O13+Q13+T13</f>
        <v>1000</v>
      </c>
      <c r="V13" s="19">
        <f>I13-U13</f>
        <v>0</v>
      </c>
      <c r="W13" s="19">
        <f>I13*4</f>
        <v>4000</v>
      </c>
      <c r="X13" s="14" t="s">
        <v>203</v>
      </c>
      <c r="Y13" s="198">
        <v>45717</v>
      </c>
      <c r="Z13" s="14"/>
      <c r="AA13" s="34"/>
      <c r="AB13" s="34"/>
      <c r="AC13" s="34"/>
      <c r="AD13" s="24"/>
    </row>
    <row r="14" spans="1:30">
      <c r="A14" s="13">
        <v>45728</v>
      </c>
      <c r="B14" s="14">
        <v>11</v>
      </c>
      <c r="C14" s="13" t="s">
        <v>26</v>
      </c>
      <c r="D14" s="16" t="s">
        <v>118</v>
      </c>
      <c r="E14" s="21" t="s">
        <v>119</v>
      </c>
      <c r="F14" s="29" t="s">
        <v>120</v>
      </c>
      <c r="G14" s="19">
        <v>4236</v>
      </c>
      <c r="H14" s="14" t="s">
        <v>121</v>
      </c>
      <c r="I14" s="68">
        <v>140</v>
      </c>
      <c r="J14" s="15" t="s">
        <v>122</v>
      </c>
      <c r="K14" s="69" t="s">
        <v>123</v>
      </c>
      <c r="L14" s="70">
        <f>I14*L2</f>
        <v>23.3333333333333</v>
      </c>
      <c r="M14" s="69">
        <v>3</v>
      </c>
      <c r="N14" s="69" t="s">
        <v>123</v>
      </c>
      <c r="O14" s="70">
        <f>I14*O2</f>
        <v>46.6666666666667</v>
      </c>
      <c r="P14" s="69">
        <v>3</v>
      </c>
      <c r="Q14" s="102">
        <f>I14*Q2</f>
        <v>23.3333333333333</v>
      </c>
      <c r="R14" s="160">
        <f>Q2/11</f>
        <v>0.0151515151515152</v>
      </c>
      <c r="S14" s="19">
        <f>Q14/11</f>
        <v>2.12121212121212</v>
      </c>
      <c r="T14" s="161">
        <f>I14*O2</f>
        <v>46.6666666666667</v>
      </c>
      <c r="U14" s="162">
        <f>L14+O14+Q14+T14</f>
        <v>140</v>
      </c>
      <c r="V14" s="19">
        <f>I14-U14</f>
        <v>0</v>
      </c>
      <c r="W14" s="19">
        <f>G14-I14</f>
        <v>4096</v>
      </c>
      <c r="X14" s="14" t="s">
        <v>204</v>
      </c>
      <c r="Y14" s="198">
        <v>45658</v>
      </c>
      <c r="Z14" s="16"/>
      <c r="AA14" s="24"/>
      <c r="AB14" s="24"/>
      <c r="AC14" s="24"/>
      <c r="AD14" s="24"/>
    </row>
    <row r="15" spans="1:30">
      <c r="A15" s="13">
        <v>45728</v>
      </c>
      <c r="B15" s="14">
        <v>12</v>
      </c>
      <c r="C15" s="13" t="s">
        <v>26</v>
      </c>
      <c r="D15" s="24" t="s">
        <v>205</v>
      </c>
      <c r="E15" s="21" t="s">
        <v>119</v>
      </c>
      <c r="F15" s="29" t="s">
        <v>206</v>
      </c>
      <c r="G15" s="19">
        <v>2000</v>
      </c>
      <c r="H15" s="14" t="s">
        <v>207</v>
      </c>
      <c r="I15" s="68">
        <v>1000</v>
      </c>
      <c r="J15" s="15" t="s">
        <v>122</v>
      </c>
      <c r="K15" s="69" t="s">
        <v>123</v>
      </c>
      <c r="L15" s="70">
        <f>I15*L2</f>
        <v>166.666666666667</v>
      </c>
      <c r="M15" s="69">
        <v>3</v>
      </c>
      <c r="N15" s="69" t="s">
        <v>123</v>
      </c>
      <c r="O15" s="70">
        <f>I15*O2</f>
        <v>333.333333333333</v>
      </c>
      <c r="P15" s="69">
        <v>3</v>
      </c>
      <c r="Q15" s="102">
        <f>I15*Q2</f>
        <v>166.666666666667</v>
      </c>
      <c r="R15" s="160">
        <f>R3</f>
        <v>0.0151515151515152</v>
      </c>
      <c r="S15" s="19">
        <f>Q15/11</f>
        <v>15.1515151515152</v>
      </c>
      <c r="T15" s="161">
        <f>I15*T2</f>
        <v>333.333333333333</v>
      </c>
      <c r="U15" s="162">
        <f>L15+O15+Q15+T15</f>
        <v>1000</v>
      </c>
      <c r="V15" s="19">
        <f>I15-U15</f>
        <v>0</v>
      </c>
      <c r="W15" s="19">
        <f>G15-I15</f>
        <v>1000</v>
      </c>
      <c r="X15" s="14" t="s">
        <v>208</v>
      </c>
      <c r="Y15" s="198">
        <f>Y8</f>
        <v>45717</v>
      </c>
      <c r="Z15" s="16" t="s">
        <v>209</v>
      </c>
      <c r="AA15" s="24"/>
      <c r="AB15" s="24"/>
      <c r="AC15" s="24"/>
      <c r="AD15" s="24"/>
    </row>
    <row r="16" spans="1:30">
      <c r="A16" s="13">
        <v>45728</v>
      </c>
      <c r="B16" s="14">
        <v>13</v>
      </c>
      <c r="C16" s="13" t="s">
        <v>26</v>
      </c>
      <c r="D16" s="24" t="s">
        <v>210</v>
      </c>
      <c r="E16" s="20" t="s">
        <v>154</v>
      </c>
      <c r="F16" s="18" t="s">
        <v>155</v>
      </c>
      <c r="G16" s="19">
        <f>G4</f>
        <v>250</v>
      </c>
      <c r="H16" s="14" t="str">
        <f>H4</f>
        <v>PARCELA ÚNICA</v>
      </c>
      <c r="I16" s="68">
        <v>250</v>
      </c>
      <c r="J16" s="15" t="str">
        <f>J8</f>
        <v>PIX  PJ BB</v>
      </c>
      <c r="K16" s="82" t="s">
        <v>88</v>
      </c>
      <c r="L16" s="82">
        <f>I16*L2/2</f>
        <v>20.8333333333333</v>
      </c>
      <c r="M16" s="79">
        <v>2</v>
      </c>
      <c r="N16" s="82" t="s">
        <v>88</v>
      </c>
      <c r="O16" s="82">
        <f>I16*O2/2</f>
        <v>41.6666666666667</v>
      </c>
      <c r="P16" s="79">
        <v>2</v>
      </c>
      <c r="Q16" s="102">
        <f>I16*Q2</f>
        <v>41.6666666666667</v>
      </c>
      <c r="R16" s="160">
        <f>R3</f>
        <v>0.0151515151515152</v>
      </c>
      <c r="S16" s="19">
        <f>Q16/11</f>
        <v>3.78787878787879</v>
      </c>
      <c r="T16" s="161">
        <f>I16/3</f>
        <v>83.3333333333333</v>
      </c>
      <c r="U16" s="68">
        <f>L16+L17+O16+O17+Q16+T16</f>
        <v>250</v>
      </c>
      <c r="V16" s="19">
        <f>I16-U16</f>
        <v>0</v>
      </c>
      <c r="W16" s="19">
        <f>W5</f>
        <v>0</v>
      </c>
      <c r="X16" s="14" t="str">
        <f>X6</f>
        <v>PARCELA ÚNICA</v>
      </c>
      <c r="Y16" s="198">
        <f>Y15</f>
        <v>45717</v>
      </c>
      <c r="Z16" s="14"/>
      <c r="AA16" s="34"/>
      <c r="AB16" s="24"/>
      <c r="AC16" s="24"/>
      <c r="AD16" s="24"/>
    </row>
    <row r="17" spans="1:30">
      <c r="A17" s="16"/>
      <c r="B17" s="14"/>
      <c r="C17" s="14"/>
      <c r="D17" s="16"/>
      <c r="E17" s="14"/>
      <c r="F17" s="18"/>
      <c r="G17" s="19"/>
      <c r="H17" s="14"/>
      <c r="I17" s="19"/>
      <c r="J17" s="14"/>
      <c r="K17" s="83" t="s">
        <v>89</v>
      </c>
      <c r="L17" s="83">
        <f>L16</f>
        <v>20.8333333333333</v>
      </c>
      <c r="M17" s="16"/>
      <c r="N17" s="83" t="s">
        <v>89</v>
      </c>
      <c r="O17" s="83">
        <f>O16</f>
        <v>41.6666666666667</v>
      </c>
      <c r="P17" s="16"/>
      <c r="Q17" s="16"/>
      <c r="R17" s="16"/>
      <c r="S17" s="16"/>
      <c r="T17" s="16"/>
      <c r="U17" s="14"/>
      <c r="V17" s="14"/>
      <c r="W17" s="19"/>
      <c r="X17" s="14"/>
      <c r="Y17" s="14"/>
      <c r="Z17" s="16"/>
      <c r="AA17" s="24"/>
      <c r="AB17" s="24"/>
      <c r="AC17" s="24"/>
      <c r="AD17" s="24"/>
    </row>
    <row r="18" spans="1:30">
      <c r="A18" s="13">
        <v>45728</v>
      </c>
      <c r="B18" s="14">
        <v>14</v>
      </c>
      <c r="C18" s="13" t="s">
        <v>26</v>
      </c>
      <c r="D18" s="24" t="s">
        <v>211</v>
      </c>
      <c r="E18" s="20" t="s">
        <v>154</v>
      </c>
      <c r="F18" s="18" t="s">
        <v>155</v>
      </c>
      <c r="G18" s="19">
        <f>G16</f>
        <v>250</v>
      </c>
      <c r="H18" s="14" t="str">
        <f>H6</f>
        <v>PARCELA ÚNICA</v>
      </c>
      <c r="I18" s="68">
        <v>250</v>
      </c>
      <c r="J18" s="15" t="str">
        <f>J8</f>
        <v>PIX  PJ BB</v>
      </c>
      <c r="K18" s="82" t="s">
        <v>88</v>
      </c>
      <c r="L18" s="82">
        <f>L16</f>
        <v>20.8333333333333</v>
      </c>
      <c r="M18" s="79">
        <v>2</v>
      </c>
      <c r="N18" s="82" t="s">
        <v>88</v>
      </c>
      <c r="O18" s="82">
        <f>O16</f>
        <v>41.6666666666667</v>
      </c>
      <c r="P18" s="79">
        <v>2</v>
      </c>
      <c r="Q18" s="102">
        <f>Q16</f>
        <v>41.6666666666667</v>
      </c>
      <c r="R18" s="160">
        <f>R5</f>
        <v>0.0151515151515152</v>
      </c>
      <c r="S18" s="19">
        <f>Q16/11</f>
        <v>3.78787878787879</v>
      </c>
      <c r="T18" s="161">
        <f>I18/3</f>
        <v>83.3333333333333</v>
      </c>
      <c r="U18" s="68">
        <f>U16</f>
        <v>250</v>
      </c>
      <c r="V18" s="19">
        <f>I18-U18</f>
        <v>0</v>
      </c>
      <c r="W18" s="19">
        <f>W7</f>
        <v>0</v>
      </c>
      <c r="X18" s="14" t="str">
        <f>X16</f>
        <v>PARCELA ÚNICA</v>
      </c>
      <c r="Y18" s="198">
        <f>Y16</f>
        <v>45717</v>
      </c>
      <c r="Z18" s="14"/>
      <c r="AA18" s="34"/>
      <c r="AB18" s="24"/>
      <c r="AC18" s="24"/>
      <c r="AD18" s="24"/>
    </row>
    <row r="19" spans="1:30">
      <c r="A19" s="16"/>
      <c r="B19" s="14"/>
      <c r="C19" s="14"/>
      <c r="D19" s="16"/>
      <c r="E19" s="14"/>
      <c r="F19" s="18"/>
      <c r="G19" s="19"/>
      <c r="H19" s="14"/>
      <c r="I19" s="19"/>
      <c r="J19" s="14"/>
      <c r="K19" s="83" t="s">
        <v>89</v>
      </c>
      <c r="L19" s="83">
        <f>L18</f>
        <v>20.8333333333333</v>
      </c>
      <c r="M19" s="16"/>
      <c r="N19" s="83" t="s">
        <v>89</v>
      </c>
      <c r="O19" s="83">
        <f>O18</f>
        <v>41.6666666666667</v>
      </c>
      <c r="P19" s="16"/>
      <c r="Q19" s="16"/>
      <c r="R19" s="16"/>
      <c r="S19" s="16"/>
      <c r="T19" s="16"/>
      <c r="U19" s="14"/>
      <c r="V19" s="14"/>
      <c r="W19" s="19"/>
      <c r="X19" s="14"/>
      <c r="Y19" s="14"/>
      <c r="Z19" s="16"/>
      <c r="AA19" s="24"/>
      <c r="AB19" s="24"/>
      <c r="AC19" s="24"/>
      <c r="AD19" s="24"/>
    </row>
    <row r="20" spans="1:30">
      <c r="A20" s="13">
        <v>45729</v>
      </c>
      <c r="B20" s="14">
        <v>15</v>
      </c>
      <c r="C20" s="15" t="s">
        <v>26</v>
      </c>
      <c r="D20" s="16" t="s">
        <v>212</v>
      </c>
      <c r="E20" s="23" t="s">
        <v>37</v>
      </c>
      <c r="F20" s="18" t="s">
        <v>213</v>
      </c>
      <c r="G20" s="26">
        <v>2268</v>
      </c>
      <c r="H20" s="27" t="s">
        <v>214</v>
      </c>
      <c r="I20" s="68">
        <v>756</v>
      </c>
      <c r="J20" s="15" t="s">
        <v>74</v>
      </c>
      <c r="K20" s="75" t="s">
        <v>32</v>
      </c>
      <c r="L20" s="76">
        <f>I20*L2</f>
        <v>126</v>
      </c>
      <c r="M20" s="77" t="s">
        <v>33</v>
      </c>
      <c r="N20" s="84" t="s">
        <v>34</v>
      </c>
      <c r="O20" s="85">
        <f>I20*O2</f>
        <v>252</v>
      </c>
      <c r="P20" s="86">
        <v>1</v>
      </c>
      <c r="Q20" s="102">
        <f>I20*Q2</f>
        <v>126</v>
      </c>
      <c r="R20" s="160">
        <f>R3</f>
        <v>0.0151515151515152</v>
      </c>
      <c r="S20" s="19">
        <f t="shared" ref="S20:S31" si="3">Q20/11</f>
        <v>11.4545454545455</v>
      </c>
      <c r="T20" s="161">
        <f>I20/3</f>
        <v>252</v>
      </c>
      <c r="U20" s="162">
        <f t="shared" ref="U20:U31" si="4">L20+O20+Q20+T20</f>
        <v>756</v>
      </c>
      <c r="V20" s="19">
        <f t="shared" ref="V20:V31" si="5">I20-U20</f>
        <v>0</v>
      </c>
      <c r="W20" s="19">
        <f>I20*2</f>
        <v>1512</v>
      </c>
      <c r="X20" s="14" t="s">
        <v>215</v>
      </c>
      <c r="Y20" s="198">
        <f>Y6</f>
        <v>45717</v>
      </c>
      <c r="Z20" s="14"/>
      <c r="AA20" s="24"/>
      <c r="AB20" s="24"/>
      <c r="AC20" s="24"/>
      <c r="AD20" s="24"/>
    </row>
    <row r="21" spans="1:30">
      <c r="A21" s="13">
        <v>45729</v>
      </c>
      <c r="B21" s="14">
        <v>16</v>
      </c>
      <c r="C21" s="15" t="s">
        <v>26</v>
      </c>
      <c r="D21" s="16" t="s">
        <v>216</v>
      </c>
      <c r="E21" s="23" t="s">
        <v>37</v>
      </c>
      <c r="F21" s="18" t="s">
        <v>131</v>
      </c>
      <c r="G21" s="19">
        <v>150</v>
      </c>
      <c r="H21" s="14" t="s">
        <v>39</v>
      </c>
      <c r="I21" s="68">
        <v>150</v>
      </c>
      <c r="J21" s="15" t="s">
        <v>117</v>
      </c>
      <c r="K21" s="69" t="s">
        <v>123</v>
      </c>
      <c r="L21" s="70">
        <f>I21*L2</f>
        <v>25</v>
      </c>
      <c r="M21" s="69">
        <v>3</v>
      </c>
      <c r="N21" s="69" t="s">
        <v>123</v>
      </c>
      <c r="O21" s="70">
        <f>I21*O2</f>
        <v>50</v>
      </c>
      <c r="P21" s="69">
        <v>3</v>
      </c>
      <c r="Q21" s="102">
        <f>I21*Q2</f>
        <v>25</v>
      </c>
      <c r="R21" s="160">
        <f>R3</f>
        <v>0.0151515151515152</v>
      </c>
      <c r="S21" s="19">
        <f t="shared" si="3"/>
        <v>2.27272727272727</v>
      </c>
      <c r="T21" s="161">
        <f>I21*T2</f>
        <v>50</v>
      </c>
      <c r="U21" s="162">
        <f t="shared" si="4"/>
        <v>150</v>
      </c>
      <c r="V21" s="19">
        <f t="shared" si="5"/>
        <v>0</v>
      </c>
      <c r="W21" s="19">
        <f>G21-I21</f>
        <v>0</v>
      </c>
      <c r="X21" s="14" t="str">
        <f>X7</f>
        <v>PARCELA ÚNICA</v>
      </c>
      <c r="Y21" s="198">
        <v>45658</v>
      </c>
      <c r="Z21" s="16"/>
      <c r="AA21" s="24"/>
      <c r="AB21" s="24"/>
      <c r="AC21" s="24"/>
      <c r="AD21" s="24"/>
    </row>
    <row r="22" spans="1:30">
      <c r="A22" s="13">
        <v>45735</v>
      </c>
      <c r="B22" s="14">
        <v>17</v>
      </c>
      <c r="C22" s="15" t="s">
        <v>26</v>
      </c>
      <c r="D22" s="16" t="s">
        <v>217</v>
      </c>
      <c r="E22" s="17" t="s">
        <v>150</v>
      </c>
      <c r="F22" s="18" t="s">
        <v>218</v>
      </c>
      <c r="G22" s="19">
        <v>1000</v>
      </c>
      <c r="H22" s="14" t="s">
        <v>39</v>
      </c>
      <c r="I22" s="68">
        <v>1000</v>
      </c>
      <c r="J22" s="15" t="str">
        <f>J15</f>
        <v>PIX  PJ ITAÚ</v>
      </c>
      <c r="K22" s="75" t="s">
        <v>32</v>
      </c>
      <c r="L22" s="76">
        <f>I22*L2</f>
        <v>166.666666666667</v>
      </c>
      <c r="M22" s="77" t="s">
        <v>33</v>
      </c>
      <c r="N22" s="84" t="s">
        <v>34</v>
      </c>
      <c r="O22" s="85">
        <f>I22*O2</f>
        <v>333.333333333333</v>
      </c>
      <c r="P22" s="86">
        <v>1</v>
      </c>
      <c r="Q22" s="102">
        <f>I22*Q2</f>
        <v>166.666666666667</v>
      </c>
      <c r="R22" s="160">
        <f>R4</f>
        <v>0.0151515151515152</v>
      </c>
      <c r="S22" s="19">
        <f t="shared" si="3"/>
        <v>15.1515151515152</v>
      </c>
      <c r="T22" s="161">
        <f>O22</f>
        <v>333.333333333333</v>
      </c>
      <c r="U22" s="162">
        <f t="shared" si="4"/>
        <v>1000</v>
      </c>
      <c r="V22" s="19">
        <f t="shared" si="5"/>
        <v>0</v>
      </c>
      <c r="W22" s="19">
        <f>G22-I22</f>
        <v>0</v>
      </c>
      <c r="X22" s="14" t="str">
        <f>X21</f>
        <v>PARCELA ÚNICA</v>
      </c>
      <c r="Y22" s="198">
        <f>Y20</f>
        <v>45717</v>
      </c>
      <c r="Z22" s="16"/>
      <c r="AA22" s="24"/>
      <c r="AB22" s="24"/>
      <c r="AC22" s="24"/>
      <c r="AD22" s="24"/>
    </row>
    <row r="23" spans="1:30">
      <c r="A23" s="13">
        <v>45736</v>
      </c>
      <c r="B23" s="14">
        <v>18</v>
      </c>
      <c r="C23" s="15" t="s">
        <v>26</v>
      </c>
      <c r="D23" s="16" t="s">
        <v>219</v>
      </c>
      <c r="E23" s="23" t="s">
        <v>37</v>
      </c>
      <c r="F23" s="18" t="s">
        <v>131</v>
      </c>
      <c r="G23" s="19">
        <v>150</v>
      </c>
      <c r="H23" s="14" t="s">
        <v>39</v>
      </c>
      <c r="I23" s="68">
        <v>150</v>
      </c>
      <c r="J23" s="15" t="s">
        <v>117</v>
      </c>
      <c r="K23" s="69" t="s">
        <v>123</v>
      </c>
      <c r="L23" s="70">
        <f>L21</f>
        <v>25</v>
      </c>
      <c r="M23" s="69">
        <v>3</v>
      </c>
      <c r="N23" s="69" t="s">
        <v>123</v>
      </c>
      <c r="O23" s="70">
        <f>O21</f>
        <v>50</v>
      </c>
      <c r="P23" s="69">
        <v>3</v>
      </c>
      <c r="Q23" s="102">
        <f>Q21</f>
        <v>25</v>
      </c>
      <c r="R23" s="160">
        <f>R5</f>
        <v>0.0151515151515152</v>
      </c>
      <c r="S23" s="19">
        <f t="shared" si="3"/>
        <v>2.27272727272727</v>
      </c>
      <c r="T23" s="161">
        <f>T21</f>
        <v>50</v>
      </c>
      <c r="U23" s="162">
        <f t="shared" si="4"/>
        <v>150</v>
      </c>
      <c r="V23" s="19">
        <f t="shared" si="5"/>
        <v>0</v>
      </c>
      <c r="W23" s="19">
        <f>G23-I23</f>
        <v>0</v>
      </c>
      <c r="X23" s="14" t="str">
        <f>X21</f>
        <v>PARCELA ÚNICA</v>
      </c>
      <c r="Y23" s="198">
        <f>Y22</f>
        <v>45717</v>
      </c>
      <c r="Z23" s="16"/>
      <c r="AA23" s="24"/>
      <c r="AB23" s="24"/>
      <c r="AC23" s="24"/>
      <c r="AD23" s="24"/>
    </row>
    <row r="24" spans="1:30">
      <c r="A24" s="13">
        <v>45737</v>
      </c>
      <c r="B24" s="14">
        <v>19</v>
      </c>
      <c r="C24" s="15" t="s">
        <v>26</v>
      </c>
      <c r="D24" s="16" t="s">
        <v>36</v>
      </c>
      <c r="E24" s="23" t="s">
        <v>37</v>
      </c>
      <c r="F24" s="18" t="s">
        <v>41</v>
      </c>
      <c r="G24" s="19">
        <v>2750</v>
      </c>
      <c r="H24" s="14" t="s">
        <v>42</v>
      </c>
      <c r="I24" s="68">
        <v>250</v>
      </c>
      <c r="J24" s="15" t="s">
        <v>122</v>
      </c>
      <c r="K24" s="75" t="s">
        <v>32</v>
      </c>
      <c r="L24" s="76">
        <f>I24/3/2</f>
        <v>41.6666666666667</v>
      </c>
      <c r="M24" s="76" t="str">
        <f>M25</f>
        <v>GESTÃO</v>
      </c>
      <c r="N24" s="87" t="s">
        <v>34</v>
      </c>
      <c r="O24" s="85">
        <f>I24/3</f>
        <v>83.3333333333333</v>
      </c>
      <c r="P24" s="86">
        <v>1</v>
      </c>
      <c r="Q24" s="102">
        <f>L24</f>
        <v>41.6666666666667</v>
      </c>
      <c r="R24" s="160">
        <f>R25</f>
        <v>0.0151515151515152</v>
      </c>
      <c r="S24" s="19">
        <f t="shared" si="3"/>
        <v>3.78787878787879</v>
      </c>
      <c r="T24" s="161">
        <f>O24</f>
        <v>83.3333333333333</v>
      </c>
      <c r="U24" s="162">
        <f t="shared" si="4"/>
        <v>250</v>
      </c>
      <c r="V24" s="19">
        <f t="shared" si="5"/>
        <v>0</v>
      </c>
      <c r="W24" s="19">
        <f>I24*4</f>
        <v>1000</v>
      </c>
      <c r="X24" s="14" t="s">
        <v>163</v>
      </c>
      <c r="Y24" s="198">
        <v>45627</v>
      </c>
      <c r="Z24" s="14"/>
      <c r="AA24" s="34"/>
      <c r="AB24" s="24"/>
      <c r="AC24" s="24"/>
      <c r="AD24" s="24"/>
    </row>
    <row r="25" spans="1:30">
      <c r="A25" s="13">
        <v>45741</v>
      </c>
      <c r="B25" s="14">
        <v>20</v>
      </c>
      <c r="C25" s="15" t="s">
        <v>26</v>
      </c>
      <c r="D25" s="16" t="s">
        <v>27</v>
      </c>
      <c r="E25" s="21" t="s">
        <v>119</v>
      </c>
      <c r="F25" s="18" t="s">
        <v>29</v>
      </c>
      <c r="G25" s="19">
        <v>3500</v>
      </c>
      <c r="H25" s="14" t="s">
        <v>30</v>
      </c>
      <c r="I25" s="68">
        <v>250</v>
      </c>
      <c r="J25" s="15" t="str">
        <f>J28</f>
        <v>BOLETO PJ ITAÚ</v>
      </c>
      <c r="K25" s="75" t="s">
        <v>32</v>
      </c>
      <c r="L25" s="76">
        <f>I25/3/2</f>
        <v>41.6666666666667</v>
      </c>
      <c r="M25" s="77" t="s">
        <v>33</v>
      </c>
      <c r="N25" s="87" t="s">
        <v>34</v>
      </c>
      <c r="O25" s="85">
        <f>I25/3</f>
        <v>83.3333333333333</v>
      </c>
      <c r="P25" s="86">
        <v>1</v>
      </c>
      <c r="Q25" s="102">
        <f>L25</f>
        <v>41.6666666666667</v>
      </c>
      <c r="R25" s="160">
        <f>Q2/11</f>
        <v>0.0151515151515152</v>
      </c>
      <c r="S25" s="19">
        <f t="shared" si="3"/>
        <v>3.78787878787879</v>
      </c>
      <c r="T25" s="161">
        <f>O25</f>
        <v>83.3333333333333</v>
      </c>
      <c r="U25" s="162">
        <f t="shared" si="4"/>
        <v>250</v>
      </c>
      <c r="V25" s="19">
        <f t="shared" si="5"/>
        <v>0</v>
      </c>
      <c r="W25" s="19">
        <f>I25*3</f>
        <v>750</v>
      </c>
      <c r="X25" s="14" t="s">
        <v>220</v>
      </c>
      <c r="Y25" s="198">
        <v>45627</v>
      </c>
      <c r="Z25" s="14"/>
      <c r="AA25" s="34"/>
      <c r="AB25" s="24"/>
      <c r="AC25" s="24"/>
      <c r="AD25" s="24"/>
    </row>
    <row r="26" spans="1:30">
      <c r="A26" s="13">
        <v>45741</v>
      </c>
      <c r="B26" s="14">
        <v>21</v>
      </c>
      <c r="C26" s="15" t="s">
        <v>26</v>
      </c>
      <c r="D26" s="16" t="s">
        <v>187</v>
      </c>
      <c r="E26" s="21" t="s">
        <v>119</v>
      </c>
      <c r="F26" s="18" t="s">
        <v>221</v>
      </c>
      <c r="G26" s="19">
        <v>759</v>
      </c>
      <c r="H26" s="14" t="s">
        <v>121</v>
      </c>
      <c r="I26" s="68">
        <v>227.07</v>
      </c>
      <c r="J26" s="15" t="str">
        <f>J24</f>
        <v>PIX  PJ ITAÚ</v>
      </c>
      <c r="K26" s="69" t="s">
        <v>123</v>
      </c>
      <c r="L26" s="70">
        <f>I26*L2</f>
        <v>37.845</v>
      </c>
      <c r="M26" s="69">
        <v>3</v>
      </c>
      <c r="N26" s="69" t="s">
        <v>123</v>
      </c>
      <c r="O26" s="70">
        <f>I26*O2</f>
        <v>75.69</v>
      </c>
      <c r="P26" s="69">
        <v>3</v>
      </c>
      <c r="Q26" s="102">
        <f>L26</f>
        <v>37.845</v>
      </c>
      <c r="R26" s="160">
        <f>R8</f>
        <v>0.0151515151515152</v>
      </c>
      <c r="S26" s="19">
        <f t="shared" si="3"/>
        <v>3.44045454545455</v>
      </c>
      <c r="T26" s="161">
        <f>O26</f>
        <v>75.69</v>
      </c>
      <c r="U26" s="162">
        <f t="shared" si="4"/>
        <v>227.07</v>
      </c>
      <c r="V26" s="19">
        <f t="shared" si="5"/>
        <v>0</v>
      </c>
      <c r="W26" s="19">
        <f>G26-I26</f>
        <v>531.93</v>
      </c>
      <c r="X26" s="14" t="str">
        <f>X24</f>
        <v>PARC. 01 DE 05</v>
      </c>
      <c r="Y26" s="198">
        <f>Y25</f>
        <v>45627</v>
      </c>
      <c r="Z26" s="16"/>
      <c r="AA26" s="34"/>
      <c r="AB26" s="24"/>
      <c r="AC26" s="24"/>
      <c r="AD26" s="24"/>
    </row>
    <row r="27" spans="1:30">
      <c r="A27" s="13">
        <v>45742</v>
      </c>
      <c r="B27" s="14">
        <v>22</v>
      </c>
      <c r="C27" s="15" t="s">
        <v>26</v>
      </c>
      <c r="D27" s="16" t="s">
        <v>222</v>
      </c>
      <c r="E27" s="30" t="s">
        <v>57</v>
      </c>
      <c r="F27" s="18" t="s">
        <v>169</v>
      </c>
      <c r="G27" s="19">
        <v>750</v>
      </c>
      <c r="H27" s="14" t="s">
        <v>39</v>
      </c>
      <c r="I27" s="68">
        <v>750</v>
      </c>
      <c r="J27" s="15" t="str">
        <f>J25</f>
        <v>BOLETO PJ ITAÚ</v>
      </c>
      <c r="K27" s="69" t="s">
        <v>123</v>
      </c>
      <c r="L27" s="70">
        <f>I27*L2</f>
        <v>125</v>
      </c>
      <c r="M27" s="69">
        <v>3</v>
      </c>
      <c r="N27" s="73" t="s">
        <v>48</v>
      </c>
      <c r="O27" s="74">
        <f>I27*O2</f>
        <v>250</v>
      </c>
      <c r="P27" s="69">
        <v>3</v>
      </c>
      <c r="Q27" s="102">
        <f>I27/3/2</f>
        <v>125</v>
      </c>
      <c r="R27" s="160">
        <f>R3</f>
        <v>0.0151515151515152</v>
      </c>
      <c r="S27" s="19">
        <f t="shared" si="3"/>
        <v>11.3636363636364</v>
      </c>
      <c r="T27" s="161">
        <f>I27/3</f>
        <v>250</v>
      </c>
      <c r="U27" s="162">
        <f t="shared" si="4"/>
        <v>750</v>
      </c>
      <c r="V27" s="19">
        <f t="shared" si="5"/>
        <v>0</v>
      </c>
      <c r="W27" s="19">
        <v>0</v>
      </c>
      <c r="X27" s="14" t="s">
        <v>52</v>
      </c>
      <c r="Y27" s="198">
        <f>Y22</f>
        <v>45717</v>
      </c>
      <c r="Z27" s="14"/>
      <c r="AA27" s="34"/>
      <c r="AB27" s="34"/>
      <c r="AC27" s="34"/>
      <c r="AD27" s="24"/>
    </row>
    <row r="28" spans="1:30">
      <c r="A28" s="13">
        <v>45742</v>
      </c>
      <c r="B28" s="14">
        <v>23</v>
      </c>
      <c r="C28" s="15" t="s">
        <v>26</v>
      </c>
      <c r="D28" s="16" t="s">
        <v>159</v>
      </c>
      <c r="E28" s="30" t="s">
        <v>150</v>
      </c>
      <c r="F28" s="18" t="s">
        <v>160</v>
      </c>
      <c r="G28" s="19">
        <v>14400</v>
      </c>
      <c r="H28" s="14" t="s">
        <v>161</v>
      </c>
      <c r="I28" s="68">
        <v>1200</v>
      </c>
      <c r="J28" s="15" t="s">
        <v>74</v>
      </c>
      <c r="K28" s="75" t="s">
        <v>32</v>
      </c>
      <c r="L28" s="76">
        <f>I28*L2</f>
        <v>200</v>
      </c>
      <c r="M28" s="77" t="s">
        <v>33</v>
      </c>
      <c r="N28" s="75" t="s">
        <v>32</v>
      </c>
      <c r="O28" s="76">
        <f>I28*O2</f>
        <v>400</v>
      </c>
      <c r="P28" s="77" t="s">
        <v>33</v>
      </c>
      <c r="Q28" s="102">
        <f>I28*Q2</f>
        <v>200</v>
      </c>
      <c r="R28" s="160">
        <f>R3</f>
        <v>0.0151515151515152</v>
      </c>
      <c r="S28" s="19">
        <f t="shared" si="3"/>
        <v>18.1818181818182</v>
      </c>
      <c r="T28" s="161">
        <f>O28</f>
        <v>400</v>
      </c>
      <c r="U28" s="163">
        <f t="shared" si="4"/>
        <v>1200</v>
      </c>
      <c r="V28" s="19">
        <f t="shared" si="5"/>
        <v>0</v>
      </c>
      <c r="W28" s="19">
        <f>I28*9</f>
        <v>10800</v>
      </c>
      <c r="X28" s="14" t="s">
        <v>223</v>
      </c>
      <c r="Y28" s="198">
        <f>Y14</f>
        <v>45658</v>
      </c>
      <c r="Z28" s="14" t="s">
        <v>175</v>
      </c>
      <c r="AA28" s="24"/>
      <c r="AB28" s="24"/>
      <c r="AC28" s="24"/>
      <c r="AD28" s="24"/>
    </row>
    <row r="29" spans="1:30">
      <c r="A29" s="13">
        <v>45744</v>
      </c>
      <c r="B29" s="14">
        <v>24</v>
      </c>
      <c r="C29" s="13" t="s">
        <v>26</v>
      </c>
      <c r="D29" s="24" t="s">
        <v>224</v>
      </c>
      <c r="E29" s="21" t="s">
        <v>119</v>
      </c>
      <c r="F29" s="29" t="s">
        <v>120</v>
      </c>
      <c r="G29" s="19">
        <v>5000</v>
      </c>
      <c r="H29" s="14" t="s">
        <v>225</v>
      </c>
      <c r="I29" s="68">
        <v>200</v>
      </c>
      <c r="J29" s="15" t="s">
        <v>122</v>
      </c>
      <c r="K29" s="69" t="s">
        <v>123</v>
      </c>
      <c r="L29" s="70">
        <f>I29*L2</f>
        <v>33.3333333333333</v>
      </c>
      <c r="M29" s="69">
        <v>3</v>
      </c>
      <c r="N29" s="69" t="s">
        <v>123</v>
      </c>
      <c r="O29" s="70">
        <f>I29*O2</f>
        <v>66.6666666666667</v>
      </c>
      <c r="P29" s="69">
        <v>3</v>
      </c>
      <c r="Q29" s="102">
        <f>I29*Q2</f>
        <v>33.3333333333333</v>
      </c>
      <c r="R29" s="160">
        <f>R3</f>
        <v>0.0151515151515152</v>
      </c>
      <c r="S29" s="19">
        <f t="shared" si="3"/>
        <v>3.03030303030303</v>
      </c>
      <c r="T29" s="161">
        <f>O29</f>
        <v>66.6666666666667</v>
      </c>
      <c r="U29" s="162">
        <f t="shared" si="4"/>
        <v>200</v>
      </c>
      <c r="V29" s="19">
        <f t="shared" si="5"/>
        <v>0</v>
      </c>
      <c r="W29" s="19">
        <f>I29*24</f>
        <v>4800</v>
      </c>
      <c r="X29" s="14" t="s">
        <v>226</v>
      </c>
      <c r="Y29" s="198">
        <f>Y22</f>
        <v>45717</v>
      </c>
      <c r="Z29" s="16"/>
      <c r="AA29" s="24"/>
      <c r="AB29" s="24"/>
      <c r="AC29" s="24"/>
      <c r="AD29" s="24"/>
    </row>
    <row r="30" spans="1:30">
      <c r="A30" s="13">
        <v>45747</v>
      </c>
      <c r="B30" s="14">
        <v>25</v>
      </c>
      <c r="C30" s="13" t="s">
        <v>26</v>
      </c>
      <c r="D30" s="16" t="s">
        <v>164</v>
      </c>
      <c r="E30" s="28" t="s">
        <v>130</v>
      </c>
      <c r="F30" s="18" t="s">
        <v>165</v>
      </c>
      <c r="G30" s="19">
        <v>2500</v>
      </c>
      <c r="H30" s="14" t="s">
        <v>227</v>
      </c>
      <c r="I30" s="68">
        <v>250</v>
      </c>
      <c r="J30" s="15" t="s">
        <v>122</v>
      </c>
      <c r="K30" s="75" t="s">
        <v>32</v>
      </c>
      <c r="L30" s="76">
        <f>I30*L2</f>
        <v>41.6666666666667</v>
      </c>
      <c r="M30" s="77" t="s">
        <v>33</v>
      </c>
      <c r="N30" s="88" t="s">
        <v>86</v>
      </c>
      <c r="O30" s="88">
        <f>I30/3</f>
        <v>83.3333333333333</v>
      </c>
      <c r="P30" s="86">
        <v>1</v>
      </c>
      <c r="Q30" s="102">
        <f>L30</f>
        <v>41.6666666666667</v>
      </c>
      <c r="R30" s="160">
        <f>R24</f>
        <v>0.0151515151515152</v>
      </c>
      <c r="S30" s="19">
        <f t="shared" si="3"/>
        <v>3.78787878787879</v>
      </c>
      <c r="T30" s="161">
        <f>I30/3</f>
        <v>83.3333333333333</v>
      </c>
      <c r="U30" s="162">
        <f t="shared" si="4"/>
        <v>250</v>
      </c>
      <c r="V30" s="19">
        <f t="shared" si="5"/>
        <v>0</v>
      </c>
      <c r="W30" s="19">
        <f>I30*5</f>
        <v>1250</v>
      </c>
      <c r="X30" s="14" t="s">
        <v>204</v>
      </c>
      <c r="Y30" s="198">
        <v>45689</v>
      </c>
      <c r="Z30" s="14" t="s">
        <v>167</v>
      </c>
      <c r="AA30" s="34"/>
      <c r="AB30" s="34"/>
      <c r="AC30" s="34"/>
      <c r="AD30" s="24"/>
    </row>
    <row r="31" spans="1:30">
      <c r="A31" s="13">
        <v>45747</v>
      </c>
      <c r="B31" s="14">
        <v>26</v>
      </c>
      <c r="C31" s="13" t="s">
        <v>26</v>
      </c>
      <c r="D31" s="16" t="s">
        <v>228</v>
      </c>
      <c r="E31" s="23" t="s">
        <v>37</v>
      </c>
      <c r="F31" s="18" t="s">
        <v>131</v>
      </c>
      <c r="G31" s="19">
        <v>150</v>
      </c>
      <c r="H31" s="14" t="s">
        <v>39</v>
      </c>
      <c r="I31" s="68">
        <v>150</v>
      </c>
      <c r="J31" s="15" t="s">
        <v>117</v>
      </c>
      <c r="K31" s="69" t="s">
        <v>123</v>
      </c>
      <c r="L31" s="70">
        <f>I31*L2</f>
        <v>25</v>
      </c>
      <c r="M31" s="69">
        <v>3</v>
      </c>
      <c r="N31" s="69" t="s">
        <v>123</v>
      </c>
      <c r="O31" s="70">
        <f>I31*O2</f>
        <v>50</v>
      </c>
      <c r="P31" s="69">
        <v>3</v>
      </c>
      <c r="Q31" s="102">
        <f>I31*Q2</f>
        <v>25</v>
      </c>
      <c r="R31" s="160">
        <f>R13</f>
        <v>0.0151515151515152</v>
      </c>
      <c r="S31" s="19">
        <f t="shared" si="3"/>
        <v>2.27272727272727</v>
      </c>
      <c r="T31" s="161">
        <f>O31</f>
        <v>50</v>
      </c>
      <c r="U31" s="162">
        <f t="shared" si="4"/>
        <v>150</v>
      </c>
      <c r="V31" s="19">
        <f t="shared" si="5"/>
        <v>0</v>
      </c>
      <c r="W31" s="19">
        <f>G31-I31</f>
        <v>0</v>
      </c>
      <c r="X31" s="14" t="str">
        <f>X27</f>
        <v>ÚNICA</v>
      </c>
      <c r="Y31" s="198">
        <f>Y29</f>
        <v>45717</v>
      </c>
      <c r="Z31" s="16"/>
      <c r="AA31" s="24"/>
      <c r="AB31" s="24"/>
      <c r="AC31" s="24"/>
      <c r="AD31" s="24"/>
    </row>
    <row r="32" spans="1:30">
      <c r="A32" s="31"/>
      <c r="B32" s="32"/>
      <c r="C32" s="32"/>
      <c r="D32" s="31"/>
      <c r="E32" s="32"/>
      <c r="F32" s="32"/>
      <c r="G32" s="33"/>
      <c r="H32" s="32"/>
      <c r="I32" s="33"/>
      <c r="J32" s="32"/>
      <c r="K32" s="31"/>
      <c r="L32" s="31"/>
      <c r="M32" s="31"/>
      <c r="N32" s="32"/>
      <c r="O32" s="32"/>
      <c r="P32" s="31"/>
      <c r="Q32" s="31"/>
      <c r="R32" s="31"/>
      <c r="S32" s="31"/>
      <c r="T32" s="32"/>
      <c r="U32" s="32"/>
      <c r="V32" s="32"/>
      <c r="W32" s="33"/>
      <c r="X32" s="32"/>
      <c r="Y32" s="32"/>
      <c r="Z32" s="31"/>
      <c r="AA32" s="24"/>
      <c r="AB32" s="24"/>
      <c r="AC32" s="24"/>
      <c r="AD32" s="24"/>
    </row>
    <row r="33" spans="1:30">
      <c r="A33" s="24"/>
      <c r="B33" s="34"/>
      <c r="C33" s="34"/>
      <c r="D33" s="24"/>
      <c r="E33" s="34"/>
      <c r="F33" s="34"/>
      <c r="G33" s="35">
        <f>SUM(G3:G32)</f>
        <v>60207.14</v>
      </c>
      <c r="H33" s="34"/>
      <c r="I33" s="89">
        <f>SUM(I3:I32)</f>
        <v>14567.21</v>
      </c>
      <c r="J33" s="34"/>
      <c r="K33" s="24"/>
      <c r="L33" s="90">
        <f>SUM(L2:L32)</f>
        <v>2428.035</v>
      </c>
      <c r="M33" s="24"/>
      <c r="N33" s="34"/>
      <c r="O33" s="91">
        <f>SUM(O2:O32)</f>
        <v>4856.07</v>
      </c>
      <c r="P33" s="24"/>
      <c r="Q33" s="164">
        <f>SUM(Q2:Q32)</f>
        <v>2428.035</v>
      </c>
      <c r="R33" s="24"/>
      <c r="S33" s="35">
        <f>SUM(S3:S32)</f>
        <v>220.715303030303</v>
      </c>
      <c r="T33" s="165">
        <f>SUM(T3:T32)</f>
        <v>4855.73666666667</v>
      </c>
      <c r="U33" s="166">
        <f>SUM(U3:U32)</f>
        <v>14567.21</v>
      </c>
      <c r="V33" s="35">
        <f>SUM(V3:V32)</f>
        <v>0</v>
      </c>
      <c r="W33" s="35">
        <f>SUM(W3:W32)</f>
        <v>37639.93</v>
      </c>
      <c r="X33" s="34"/>
      <c r="Y33" s="34"/>
      <c r="Z33" s="24"/>
      <c r="AA33" s="24"/>
      <c r="AB33" s="24"/>
      <c r="AC33" s="24"/>
      <c r="AD33" s="24"/>
    </row>
    <row r="34" spans="1:30">
      <c r="A34" s="24"/>
      <c r="B34" s="34"/>
      <c r="C34" s="34"/>
      <c r="D34" s="24"/>
      <c r="E34" s="34"/>
      <c r="F34" s="34"/>
      <c r="G34" s="35"/>
      <c r="H34" s="34"/>
      <c r="I34" s="35"/>
      <c r="J34" s="34"/>
      <c r="K34" s="24"/>
      <c r="L34" s="35">
        <f>I33/3/2</f>
        <v>2427.86833333333</v>
      </c>
      <c r="M34" s="24"/>
      <c r="N34" s="34"/>
      <c r="O34" s="35">
        <f>I33/3</f>
        <v>4855.73666666667</v>
      </c>
      <c r="P34" s="24"/>
      <c r="Q34" s="35">
        <f>I33/3/2</f>
        <v>2427.86833333333</v>
      </c>
      <c r="R34" s="24"/>
      <c r="S34" s="24"/>
      <c r="T34" s="35">
        <f>I33/3</f>
        <v>4855.73666666667</v>
      </c>
      <c r="U34" s="35">
        <f>L34+O34+Q34+T34</f>
        <v>14567.21</v>
      </c>
      <c r="V34" s="35">
        <f>U33-U34</f>
        <v>0</v>
      </c>
      <c r="W34" s="35"/>
      <c r="X34" s="34"/>
      <c r="Y34" s="34"/>
      <c r="Z34" s="24"/>
      <c r="AA34" s="24"/>
      <c r="AB34" s="24"/>
      <c r="AC34" s="24"/>
      <c r="AD34" s="24"/>
    </row>
    <row r="35" spans="1:30">
      <c r="A35" s="24"/>
      <c r="B35" s="34"/>
      <c r="C35" s="34"/>
      <c r="D35" s="24"/>
      <c r="E35" s="34"/>
      <c r="F35" s="34"/>
      <c r="G35" s="35"/>
      <c r="H35" s="34"/>
      <c r="I35" s="35"/>
      <c r="J35" s="34"/>
      <c r="K35" s="24"/>
      <c r="L35" s="24"/>
      <c r="M35" s="24"/>
      <c r="N35" s="34"/>
      <c r="O35" s="34"/>
      <c r="P35" s="24"/>
      <c r="Q35" s="24"/>
      <c r="R35" s="24"/>
      <c r="S35" s="24"/>
      <c r="T35" s="34"/>
      <c r="U35" s="34"/>
      <c r="V35" s="34"/>
      <c r="W35" s="35"/>
      <c r="X35" s="34"/>
      <c r="Y35" s="34"/>
      <c r="Z35" s="24"/>
      <c r="AA35" s="24"/>
      <c r="AB35" s="24"/>
      <c r="AC35" s="24"/>
      <c r="AD35" s="24"/>
    </row>
    <row r="36" spans="1:30">
      <c r="A36" s="24"/>
      <c r="B36" s="34"/>
      <c r="C36" s="34"/>
      <c r="D36" s="24"/>
      <c r="E36" s="34"/>
      <c r="F36" s="34"/>
      <c r="G36" s="35"/>
      <c r="H36" s="34"/>
      <c r="I36" s="35"/>
      <c r="J36" s="34"/>
      <c r="K36" s="24"/>
      <c r="L36" s="24"/>
      <c r="M36" s="24"/>
      <c r="N36" s="34"/>
      <c r="O36" s="34"/>
      <c r="P36" s="24"/>
      <c r="Q36" s="24"/>
      <c r="R36" s="24"/>
      <c r="S36" s="24"/>
      <c r="T36" s="34"/>
      <c r="U36" s="34"/>
      <c r="V36" s="34"/>
      <c r="W36" s="35"/>
      <c r="X36" s="34"/>
      <c r="Y36" s="34"/>
      <c r="Z36" s="24"/>
      <c r="AA36" s="24"/>
      <c r="AB36" s="24"/>
      <c r="AC36" s="24"/>
      <c r="AD36" s="24"/>
    </row>
    <row r="37" spans="1:30">
      <c r="A37" s="24"/>
      <c r="B37" s="34"/>
      <c r="C37" s="34"/>
      <c r="D37" s="24"/>
      <c r="E37" s="34"/>
      <c r="F37" s="34"/>
      <c r="G37" s="35"/>
      <c r="H37" s="34"/>
      <c r="I37" s="92" t="s">
        <v>3</v>
      </c>
      <c r="J37" s="64" t="s">
        <v>16</v>
      </c>
      <c r="K37" s="93" t="s">
        <v>17</v>
      </c>
      <c r="L37" s="94" t="s">
        <v>18</v>
      </c>
      <c r="M37" s="93" t="s">
        <v>17</v>
      </c>
      <c r="N37" s="95" t="s">
        <v>2</v>
      </c>
      <c r="O37" s="96" t="s">
        <v>3</v>
      </c>
      <c r="P37" s="97" t="s">
        <v>78</v>
      </c>
      <c r="Q37" s="93" t="s">
        <v>82</v>
      </c>
      <c r="R37" s="93" t="s">
        <v>17</v>
      </c>
      <c r="S37" s="93" t="s">
        <v>79</v>
      </c>
      <c r="T37" s="167" t="s">
        <v>80</v>
      </c>
      <c r="U37" s="93" t="s">
        <v>81</v>
      </c>
      <c r="V37" s="93" t="s">
        <v>79</v>
      </c>
      <c r="W37" s="19" t="s">
        <v>177</v>
      </c>
      <c r="X37" s="34"/>
      <c r="Y37" s="34"/>
      <c r="Z37" s="24"/>
      <c r="AA37" s="24"/>
      <c r="AB37" s="24"/>
      <c r="AC37" s="24"/>
      <c r="AD37" s="24"/>
    </row>
    <row r="38" spans="1:30">
      <c r="A38" s="24"/>
      <c r="B38" s="34"/>
      <c r="C38" s="34"/>
      <c r="D38" s="24"/>
      <c r="E38" s="34"/>
      <c r="F38" s="34"/>
      <c r="G38" s="35"/>
      <c r="H38" s="34"/>
      <c r="I38" s="98" t="s">
        <v>83</v>
      </c>
      <c r="J38" s="99">
        <v>0</v>
      </c>
      <c r="K38" s="100">
        <v>1</v>
      </c>
      <c r="L38" s="101">
        <f>O12</f>
        <v>83.3333333333333</v>
      </c>
      <c r="M38" s="100">
        <v>1</v>
      </c>
      <c r="N38" s="102">
        <f>S33</f>
        <v>220.715303030303</v>
      </c>
      <c r="O38" s="103" t="s">
        <v>83</v>
      </c>
      <c r="P38" s="104">
        <f t="shared" ref="P38:P46" si="6">J38+L38+N38</f>
        <v>304.048636363636</v>
      </c>
      <c r="Q38" s="168" t="s">
        <v>87</v>
      </c>
      <c r="R38" s="100">
        <v>1</v>
      </c>
      <c r="S38" s="14"/>
      <c r="T38" s="160"/>
      <c r="U38" s="14"/>
      <c r="V38" s="14"/>
      <c r="W38" s="19"/>
      <c r="X38" s="34"/>
      <c r="Y38" s="34"/>
      <c r="Z38" s="24"/>
      <c r="AA38" s="24"/>
      <c r="AB38" s="24"/>
      <c r="AC38" s="24"/>
      <c r="AD38" s="24"/>
    </row>
    <row r="39" spans="1:30">
      <c r="A39" s="24"/>
      <c r="B39" s="34"/>
      <c r="C39" s="34"/>
      <c r="D39" s="24"/>
      <c r="E39" s="36" t="s">
        <v>112</v>
      </c>
      <c r="F39" s="37">
        <v>300000</v>
      </c>
      <c r="G39" s="38">
        <v>1</v>
      </c>
      <c r="H39" s="34"/>
      <c r="I39" s="105" t="s">
        <v>34</v>
      </c>
      <c r="J39" s="99">
        <v>0</v>
      </c>
      <c r="K39" s="100">
        <v>1</v>
      </c>
      <c r="L39" s="101">
        <f>O20+O22+O24+O25</f>
        <v>752</v>
      </c>
      <c r="M39" s="100">
        <v>1</v>
      </c>
      <c r="N39" s="102">
        <f>N38</f>
        <v>220.715303030303</v>
      </c>
      <c r="O39" s="106" t="s">
        <v>34</v>
      </c>
      <c r="P39" s="107">
        <f t="shared" si="6"/>
        <v>972.715303030303</v>
      </c>
      <c r="Q39" s="85" t="s">
        <v>87</v>
      </c>
      <c r="R39" s="100">
        <v>1</v>
      </c>
      <c r="S39" s="14"/>
      <c r="T39" s="160"/>
      <c r="U39" s="14"/>
      <c r="V39" s="14"/>
      <c r="W39" s="19"/>
      <c r="X39" s="34"/>
      <c r="Y39" s="34"/>
      <c r="Z39" s="24"/>
      <c r="AA39" s="24"/>
      <c r="AB39" s="24"/>
      <c r="AC39" s="24"/>
      <c r="AD39" s="24"/>
    </row>
    <row r="40" spans="1:30">
      <c r="A40" s="24"/>
      <c r="B40" s="34"/>
      <c r="C40" s="34"/>
      <c r="D40" s="24"/>
      <c r="E40" s="39" t="s">
        <v>113</v>
      </c>
      <c r="F40" s="40">
        <f>F39/12</f>
        <v>25000</v>
      </c>
      <c r="G40" s="41">
        <v>1</v>
      </c>
      <c r="H40" s="34"/>
      <c r="I40" s="108" t="s">
        <v>86</v>
      </c>
      <c r="J40" s="99">
        <v>0</v>
      </c>
      <c r="K40" s="100">
        <v>1</v>
      </c>
      <c r="L40" s="101">
        <f>O30</f>
        <v>83.3333333333333</v>
      </c>
      <c r="M40" s="100">
        <v>1</v>
      </c>
      <c r="N40" s="102">
        <f>N38</f>
        <v>220.715303030303</v>
      </c>
      <c r="O40" s="109" t="s">
        <v>86</v>
      </c>
      <c r="P40" s="108">
        <f t="shared" si="6"/>
        <v>304.048636363636</v>
      </c>
      <c r="Q40" s="169" t="s">
        <v>87</v>
      </c>
      <c r="R40" s="100">
        <v>1</v>
      </c>
      <c r="S40" s="80">
        <f>P38+P39+P40</f>
        <v>1580.81257575758</v>
      </c>
      <c r="T40" s="170">
        <f>S40/S52</f>
        <v>0.108518554737494</v>
      </c>
      <c r="U40" s="100">
        <v>3</v>
      </c>
      <c r="V40" s="100">
        <v>0</v>
      </c>
      <c r="W40" s="19"/>
      <c r="X40" s="34"/>
      <c r="Y40" s="34"/>
      <c r="Z40" s="24"/>
      <c r="AA40" s="24"/>
      <c r="AB40" s="24"/>
      <c r="AC40" s="24"/>
      <c r="AD40" s="24"/>
    </row>
    <row r="41" spans="1:30">
      <c r="A41" s="24"/>
      <c r="B41" s="34"/>
      <c r="C41" s="34"/>
      <c r="D41" s="24"/>
      <c r="E41" s="23" t="s">
        <v>229</v>
      </c>
      <c r="F41" s="42">
        <v>20000</v>
      </c>
      <c r="G41" s="43">
        <f>F41/F40</f>
        <v>0.8</v>
      </c>
      <c r="H41" s="34"/>
      <c r="I41" s="110" t="s">
        <v>88</v>
      </c>
      <c r="J41" s="99">
        <f>L16+L18</f>
        <v>41.6666666666667</v>
      </c>
      <c r="K41" s="79">
        <v>2</v>
      </c>
      <c r="L41" s="101">
        <f>O16+O18</f>
        <v>83.3333333333333</v>
      </c>
      <c r="M41" s="79">
        <v>2</v>
      </c>
      <c r="N41" s="102">
        <f>N38</f>
        <v>220.715303030303</v>
      </c>
      <c r="O41" s="111" t="s">
        <v>88</v>
      </c>
      <c r="P41" s="110">
        <f t="shared" si="6"/>
        <v>345.715303030303</v>
      </c>
      <c r="Q41" s="79" t="s">
        <v>87</v>
      </c>
      <c r="R41" s="79">
        <v>2</v>
      </c>
      <c r="S41" s="14"/>
      <c r="T41" s="160"/>
      <c r="U41" s="14"/>
      <c r="V41" s="14"/>
      <c r="W41" s="19"/>
      <c r="X41" s="34"/>
      <c r="Y41" s="34"/>
      <c r="Z41" s="24"/>
      <c r="AA41" s="24"/>
      <c r="AB41" s="24"/>
      <c r="AC41" s="24"/>
      <c r="AD41" s="24"/>
    </row>
    <row r="42" spans="1:30">
      <c r="A42" s="24"/>
      <c r="B42" s="34"/>
      <c r="C42" s="34"/>
      <c r="D42" s="24"/>
      <c r="E42" s="44" t="s">
        <v>230</v>
      </c>
      <c r="F42" s="44">
        <f>I33</f>
        <v>14567.21</v>
      </c>
      <c r="G42" s="45">
        <f>F42/F41</f>
        <v>0.7283605</v>
      </c>
      <c r="H42" s="46">
        <f>G41-G42</f>
        <v>0.0716395000000001</v>
      </c>
      <c r="I42" s="112" t="s">
        <v>89</v>
      </c>
      <c r="J42" s="99">
        <f>L17+L19</f>
        <v>41.6666666666667</v>
      </c>
      <c r="K42" s="79">
        <v>2</v>
      </c>
      <c r="L42" s="101">
        <f>O17+O19</f>
        <v>83.3333333333333</v>
      </c>
      <c r="M42" s="79">
        <v>2</v>
      </c>
      <c r="N42" s="102">
        <f>N38</f>
        <v>220.715303030303</v>
      </c>
      <c r="O42" s="113" t="s">
        <v>89</v>
      </c>
      <c r="P42" s="114">
        <f t="shared" si="6"/>
        <v>345.715303030303</v>
      </c>
      <c r="Q42" s="171" t="s">
        <v>87</v>
      </c>
      <c r="R42" s="79">
        <v>2</v>
      </c>
      <c r="S42" s="14"/>
      <c r="T42" s="160"/>
      <c r="U42" s="14"/>
      <c r="V42" s="14"/>
      <c r="W42" s="19"/>
      <c r="X42" s="34"/>
      <c r="Y42" s="34"/>
      <c r="Z42" s="24"/>
      <c r="AA42" s="24"/>
      <c r="AB42" s="24"/>
      <c r="AC42" s="24"/>
      <c r="AD42" s="24"/>
    </row>
    <row r="43" spans="1:30">
      <c r="A43" s="24"/>
      <c r="B43" s="34"/>
      <c r="C43" s="34"/>
      <c r="D43" s="24"/>
      <c r="E43" s="47" t="s">
        <v>114</v>
      </c>
      <c r="F43" s="48">
        <f>F42-F41</f>
        <v>-5432.79</v>
      </c>
      <c r="G43" s="47" t="s">
        <v>231</v>
      </c>
      <c r="H43" s="34"/>
      <c r="I43" s="115" t="s">
        <v>90</v>
      </c>
      <c r="J43" s="99">
        <v>0</v>
      </c>
      <c r="K43" s="79">
        <v>2</v>
      </c>
      <c r="L43" s="101">
        <f>O6</f>
        <v>50</v>
      </c>
      <c r="M43" s="79">
        <v>2</v>
      </c>
      <c r="N43" s="102">
        <f>N38</f>
        <v>220.715303030303</v>
      </c>
      <c r="O43" s="116" t="s">
        <v>90</v>
      </c>
      <c r="P43" s="117">
        <f t="shared" si="6"/>
        <v>270.715303030303</v>
      </c>
      <c r="Q43" s="14" t="s">
        <v>87</v>
      </c>
      <c r="R43" s="79">
        <v>2</v>
      </c>
      <c r="S43" s="82">
        <f>P41+P42+P43</f>
        <v>962.145909090909</v>
      </c>
      <c r="T43" s="172">
        <f>S43/S52</f>
        <v>0.0660487429707479</v>
      </c>
      <c r="U43" s="79">
        <v>3</v>
      </c>
      <c r="V43" s="79">
        <v>2</v>
      </c>
      <c r="W43" s="19"/>
      <c r="X43" s="34"/>
      <c r="Y43" s="34"/>
      <c r="Z43" s="24"/>
      <c r="AA43" s="24"/>
      <c r="AB43" s="24"/>
      <c r="AC43" s="24"/>
      <c r="AD43" s="24"/>
    </row>
    <row r="44" spans="1:30">
      <c r="A44" s="24"/>
      <c r="B44" s="34"/>
      <c r="C44" s="34"/>
      <c r="D44" s="24"/>
      <c r="E44" s="49" t="s">
        <v>232</v>
      </c>
      <c r="F44" s="50">
        <f>'RECEITAS JANEIRO'!I27+'RECEITAS FEVEREIRO'!I27+'RECEITAS MARÇO'!F42</f>
        <v>33418.21</v>
      </c>
      <c r="G44" s="47" t="s">
        <v>231</v>
      </c>
      <c r="H44" s="34"/>
      <c r="I44" s="118" t="s">
        <v>46</v>
      </c>
      <c r="J44" s="99">
        <f>L3+L7+L8+L9+L10+L14+L15+L21+L23+L26+L27+L29+L31</f>
        <v>1219.51166666667</v>
      </c>
      <c r="K44" s="69">
        <v>3</v>
      </c>
      <c r="L44" s="101">
        <f>O3+O4+O5+O7+O8+O9+O10+O13+O14+O15+O21+O23+O26+O29+O31</f>
        <v>2987.07</v>
      </c>
      <c r="M44" s="69">
        <v>3</v>
      </c>
      <c r="N44" s="102">
        <f>N38</f>
        <v>220.715303030303</v>
      </c>
      <c r="O44" s="119" t="s">
        <v>46</v>
      </c>
      <c r="P44" s="118">
        <f t="shared" si="6"/>
        <v>4427.29696969697</v>
      </c>
      <c r="Q44" s="70" t="s">
        <v>87</v>
      </c>
      <c r="R44" s="69">
        <v>3</v>
      </c>
      <c r="S44" s="14"/>
      <c r="T44" s="160"/>
      <c r="U44" s="14"/>
      <c r="V44" s="14"/>
      <c r="W44" s="19"/>
      <c r="X44" s="34"/>
      <c r="Y44" s="34"/>
      <c r="Z44" s="24"/>
      <c r="AA44" s="24"/>
      <c r="AB44" s="24"/>
      <c r="AC44" s="24"/>
      <c r="AD44" s="24"/>
    </row>
    <row r="45" spans="1:30">
      <c r="A45" s="24"/>
      <c r="B45" s="34"/>
      <c r="C45" s="34"/>
      <c r="D45" s="24"/>
      <c r="E45" s="34"/>
      <c r="F45" s="34"/>
      <c r="G45" s="35"/>
      <c r="H45" s="34"/>
      <c r="I45" s="120" t="s">
        <v>48</v>
      </c>
      <c r="J45" s="99">
        <f>L5</f>
        <v>190.69</v>
      </c>
      <c r="K45" s="69">
        <v>3</v>
      </c>
      <c r="L45" s="101">
        <f>O27</f>
        <v>250</v>
      </c>
      <c r="M45" s="69">
        <v>3</v>
      </c>
      <c r="N45" s="102">
        <f>N38</f>
        <v>220.715303030303</v>
      </c>
      <c r="O45" s="121" t="s">
        <v>48</v>
      </c>
      <c r="P45" s="120">
        <f t="shared" si="6"/>
        <v>661.405303030303</v>
      </c>
      <c r="Q45" s="74" t="s">
        <v>87</v>
      </c>
      <c r="R45" s="69">
        <v>3</v>
      </c>
      <c r="S45" s="14"/>
      <c r="T45" s="160"/>
      <c r="U45" s="14"/>
      <c r="V45" s="14"/>
      <c r="W45" s="19"/>
      <c r="X45" s="34"/>
      <c r="Y45" s="34"/>
      <c r="Z45" s="24"/>
      <c r="AA45" s="24"/>
      <c r="AB45" s="24"/>
      <c r="AC45" s="24"/>
      <c r="AD45" s="24"/>
    </row>
    <row r="46" spans="1:30">
      <c r="A46" s="24"/>
      <c r="B46" s="34"/>
      <c r="C46" s="34"/>
      <c r="D46" s="24"/>
      <c r="E46" s="34"/>
      <c r="F46" s="34"/>
      <c r="G46" s="35"/>
      <c r="H46" s="34"/>
      <c r="I46" s="122" t="s">
        <v>54</v>
      </c>
      <c r="J46" s="99">
        <v>0</v>
      </c>
      <c r="K46" s="69">
        <v>3</v>
      </c>
      <c r="L46" s="101">
        <v>0</v>
      </c>
      <c r="M46" s="69">
        <v>3</v>
      </c>
      <c r="N46" s="102">
        <f>N38</f>
        <v>220.715303030303</v>
      </c>
      <c r="O46" s="123" t="s">
        <v>54</v>
      </c>
      <c r="P46" s="122">
        <f t="shared" si="6"/>
        <v>220.715303030303</v>
      </c>
      <c r="Q46" s="14" t="s">
        <v>87</v>
      </c>
      <c r="R46" s="69">
        <v>3</v>
      </c>
      <c r="S46" s="70">
        <f>P44+P45+P46</f>
        <v>5309.41757575758</v>
      </c>
      <c r="T46" s="173">
        <f>S46/S52</f>
        <v>0.364477314170495</v>
      </c>
      <c r="U46" s="69">
        <v>3</v>
      </c>
      <c r="V46" s="69">
        <v>13</v>
      </c>
      <c r="W46" s="19"/>
      <c r="X46" s="34"/>
      <c r="Y46" s="34"/>
      <c r="Z46" s="24"/>
      <c r="AA46" s="24"/>
      <c r="AB46" s="24"/>
      <c r="AC46" s="24"/>
      <c r="AD46" s="24"/>
    </row>
    <row r="47" spans="1:30">
      <c r="A47" s="24"/>
      <c r="B47" s="34"/>
      <c r="C47" s="34"/>
      <c r="D47" s="24"/>
      <c r="E47" s="34"/>
      <c r="F47" s="34"/>
      <c r="G47" s="35"/>
      <c r="H47" s="34"/>
      <c r="I47" s="124" t="s">
        <v>91</v>
      </c>
      <c r="J47" s="99">
        <f>SUM(J38:J46)</f>
        <v>1493.535</v>
      </c>
      <c r="K47" s="14"/>
      <c r="L47" s="101">
        <f>SUM(L38:L46)</f>
        <v>4372.40333333333</v>
      </c>
      <c r="M47" s="14"/>
      <c r="N47" s="102">
        <f>SUM(N38:N46)</f>
        <v>1986.43772727273</v>
      </c>
      <c r="O47" s="125" t="s">
        <v>92</v>
      </c>
      <c r="P47" s="126">
        <f>SUM(P38:P46)</f>
        <v>7852.37606060606</v>
      </c>
      <c r="Q47" s="14"/>
      <c r="R47" s="59" t="s">
        <v>93</v>
      </c>
      <c r="S47" s="50">
        <f>S40+S43+S46</f>
        <v>7852.37606060606</v>
      </c>
      <c r="T47" s="174">
        <f>S47/S52</f>
        <v>0.539044611878737</v>
      </c>
      <c r="U47" s="14"/>
      <c r="V47" s="14"/>
      <c r="W47" s="19"/>
      <c r="X47" s="34"/>
      <c r="Y47" s="34"/>
      <c r="Z47" s="24"/>
      <c r="AA47" s="24"/>
      <c r="AB47" s="24"/>
      <c r="AC47" s="24"/>
      <c r="AD47" s="24"/>
    </row>
    <row r="48" spans="1:30">
      <c r="A48" s="24"/>
      <c r="B48" s="34"/>
      <c r="C48" s="34"/>
      <c r="D48" s="24"/>
      <c r="E48" s="34"/>
      <c r="F48" s="34"/>
      <c r="G48" s="35"/>
      <c r="H48" s="34"/>
      <c r="I48" s="127" t="s">
        <v>32</v>
      </c>
      <c r="J48" s="99">
        <f>L6+L11+L13+L20+L22+L24+L25+L28+L30</f>
        <v>892.666666666667</v>
      </c>
      <c r="K48" s="75" t="s">
        <v>33</v>
      </c>
      <c r="L48" s="101">
        <f>O11+O28</f>
        <v>483.333333333333</v>
      </c>
      <c r="M48" s="75" t="s">
        <v>33</v>
      </c>
      <c r="N48" s="102">
        <f>N38</f>
        <v>220.715303030303</v>
      </c>
      <c r="O48" s="128" t="s">
        <v>32</v>
      </c>
      <c r="P48" s="127">
        <f>J48+L48+N48</f>
        <v>1596.7153030303</v>
      </c>
      <c r="Q48" s="175" t="s">
        <v>87</v>
      </c>
      <c r="R48" s="75" t="s">
        <v>33</v>
      </c>
      <c r="S48" s="76">
        <f>P48</f>
        <v>1596.7153030303</v>
      </c>
      <c r="T48" s="176">
        <f>S48/S52</f>
        <v>0.109610234425831</v>
      </c>
      <c r="U48" s="175">
        <v>3</v>
      </c>
      <c r="V48" s="175">
        <v>8</v>
      </c>
      <c r="W48" s="19"/>
      <c r="X48" s="34"/>
      <c r="Y48" s="34"/>
      <c r="Z48" s="24"/>
      <c r="AA48" s="24"/>
      <c r="AB48" s="24"/>
      <c r="AC48" s="24"/>
      <c r="AD48" s="24"/>
    </row>
    <row r="49" ht="15.75" spans="1:30">
      <c r="A49" s="24"/>
      <c r="B49" s="34"/>
      <c r="C49" s="34"/>
      <c r="D49" s="24"/>
      <c r="E49" s="34"/>
      <c r="F49" s="34"/>
      <c r="G49" s="35"/>
      <c r="H49" s="34"/>
      <c r="I49" s="129" t="s">
        <v>4</v>
      </c>
      <c r="J49" s="130">
        <v>0</v>
      </c>
      <c r="K49" s="129" t="s">
        <v>4</v>
      </c>
      <c r="L49" s="101">
        <v>0</v>
      </c>
      <c r="M49" s="129" t="s">
        <v>4</v>
      </c>
      <c r="N49" s="102">
        <f>N38</f>
        <v>220.715303030303</v>
      </c>
      <c r="O49" s="129" t="s">
        <v>4</v>
      </c>
      <c r="P49" s="131">
        <f>T33+S33</f>
        <v>5076.45196969697</v>
      </c>
      <c r="Q49" s="161" t="s">
        <v>87</v>
      </c>
      <c r="R49" s="129" t="s">
        <v>4</v>
      </c>
      <c r="S49" s="131">
        <f>P49</f>
        <v>5076.45196969697</v>
      </c>
      <c r="T49" s="177">
        <f>S49/S52</f>
        <v>0.348484848484849</v>
      </c>
      <c r="U49" s="14"/>
      <c r="V49" s="14"/>
      <c r="W49" s="19"/>
      <c r="X49" s="34"/>
      <c r="Y49" s="34"/>
      <c r="Z49" s="24"/>
      <c r="AA49" s="24"/>
      <c r="AB49" s="24"/>
      <c r="AC49" s="24"/>
      <c r="AD49" s="24"/>
    </row>
    <row r="50" ht="15.75" spans="1:30">
      <c r="A50" s="24"/>
      <c r="B50" s="34"/>
      <c r="C50" s="34"/>
      <c r="D50" s="24"/>
      <c r="E50" s="34"/>
      <c r="F50" s="34"/>
      <c r="G50" s="35"/>
      <c r="H50" s="34"/>
      <c r="I50" s="132" t="s">
        <v>94</v>
      </c>
      <c r="J50" s="130">
        <v>0</v>
      </c>
      <c r="K50" s="72" t="s">
        <v>95</v>
      </c>
      <c r="L50" s="101">
        <v>0</v>
      </c>
      <c r="M50" s="72" t="s">
        <v>95</v>
      </c>
      <c r="N50" s="102">
        <v>0</v>
      </c>
      <c r="O50" s="133" t="s">
        <v>94</v>
      </c>
      <c r="P50" s="132">
        <f>J50+L50+N50</f>
        <v>0</v>
      </c>
      <c r="Q50" s="178" t="s">
        <v>96</v>
      </c>
      <c r="R50" s="179" t="s">
        <v>95</v>
      </c>
      <c r="S50" s="180">
        <f>P50</f>
        <v>0</v>
      </c>
      <c r="T50" s="14"/>
      <c r="U50" s="14"/>
      <c r="V50" s="14"/>
      <c r="W50" s="19"/>
      <c r="X50" s="34"/>
      <c r="Y50" s="34"/>
      <c r="Z50" s="24"/>
      <c r="AA50" s="24"/>
      <c r="AB50" s="24"/>
      <c r="AC50" s="24"/>
      <c r="AD50" s="24"/>
    </row>
    <row r="51" ht="15.75" spans="1:30">
      <c r="A51" s="24"/>
      <c r="B51" s="34"/>
      <c r="C51" s="34"/>
      <c r="D51" s="24"/>
      <c r="E51" s="34"/>
      <c r="F51" s="34"/>
      <c r="G51" s="35"/>
      <c r="H51" s="34"/>
      <c r="I51" s="134" t="s">
        <v>97</v>
      </c>
      <c r="J51" s="130">
        <f>L4</f>
        <v>41.6666666666667</v>
      </c>
      <c r="K51" s="72" t="s">
        <v>95</v>
      </c>
      <c r="L51" s="101">
        <v>0</v>
      </c>
      <c r="M51" s="72" t="s">
        <v>95</v>
      </c>
      <c r="N51" s="102">
        <v>0</v>
      </c>
      <c r="O51" s="135" t="s">
        <v>97</v>
      </c>
      <c r="P51" s="134">
        <f>J51+L51+N51</f>
        <v>41.6666666666667</v>
      </c>
      <c r="Q51" s="181" t="str">
        <f>Q48</f>
        <v>REPASSADO</v>
      </c>
      <c r="R51" s="179" t="s">
        <v>95</v>
      </c>
      <c r="S51" s="180">
        <f>P51</f>
        <v>41.6666666666667</v>
      </c>
      <c r="T51" s="182">
        <f>S51/S52</f>
        <v>0.00286030521058368</v>
      </c>
      <c r="U51" s="183">
        <v>3</v>
      </c>
      <c r="V51" s="183">
        <v>1</v>
      </c>
      <c r="W51" s="19"/>
      <c r="X51" s="34"/>
      <c r="Y51" s="34"/>
      <c r="Z51" s="24"/>
      <c r="AA51" s="24"/>
      <c r="AB51" s="24"/>
      <c r="AC51" s="24"/>
      <c r="AD51" s="24"/>
    </row>
    <row r="52" spans="1:30">
      <c r="A52" s="24"/>
      <c r="B52" s="34"/>
      <c r="C52" s="34"/>
      <c r="D52" s="24"/>
      <c r="E52" s="34"/>
      <c r="F52" s="34"/>
      <c r="G52" s="35"/>
      <c r="H52" s="34"/>
      <c r="I52" s="136" t="s">
        <v>98</v>
      </c>
      <c r="J52" s="99">
        <f>J47+J48+J49+J50+J51</f>
        <v>2427.86833333333</v>
      </c>
      <c r="K52" s="16"/>
      <c r="L52" s="101">
        <f>L47+L48+L49+L50+L51</f>
        <v>4855.73666666667</v>
      </c>
      <c r="M52" s="14"/>
      <c r="N52" s="102">
        <f>N47+N48+N49</f>
        <v>2427.86833333333</v>
      </c>
      <c r="O52" s="136" t="s">
        <v>98</v>
      </c>
      <c r="P52" s="136">
        <f>P47+P48+P49+P50+P51</f>
        <v>14567.21</v>
      </c>
      <c r="Q52" s="14"/>
      <c r="R52" s="136" t="s">
        <v>98</v>
      </c>
      <c r="S52" s="136">
        <f>S47+S48+S49+S50+S51</f>
        <v>14567.21</v>
      </c>
      <c r="T52" s="184">
        <f>T40+T43+T46+T48+T49+T51</f>
        <v>1</v>
      </c>
      <c r="U52" s="185">
        <f>SUM(U38:U51)</f>
        <v>15</v>
      </c>
      <c r="V52" s="185">
        <f>SUM(V38:V51)</f>
        <v>24</v>
      </c>
      <c r="W52" s="186" t="s">
        <v>233</v>
      </c>
      <c r="X52" s="34"/>
      <c r="Y52" s="34"/>
      <c r="Z52" s="24"/>
      <c r="AA52" s="24"/>
      <c r="AB52" s="24"/>
      <c r="AC52" s="24"/>
      <c r="AD52" s="24"/>
    </row>
    <row r="53" spans="1:30">
      <c r="A53" s="24"/>
      <c r="B53" s="34"/>
      <c r="C53" s="34"/>
      <c r="D53" s="24"/>
      <c r="E53" s="34"/>
      <c r="F53" s="34"/>
      <c r="G53" s="35"/>
      <c r="H53" s="34"/>
      <c r="I53" s="137" t="s">
        <v>21</v>
      </c>
      <c r="J53" s="99">
        <f>L34</f>
        <v>2427.86833333333</v>
      </c>
      <c r="K53" s="16"/>
      <c r="L53" s="101">
        <f>O34</f>
        <v>4855.73666666667</v>
      </c>
      <c r="M53" s="14"/>
      <c r="N53" s="102">
        <f>Q34</f>
        <v>2427.86833333333</v>
      </c>
      <c r="O53" s="138" t="s">
        <v>21</v>
      </c>
      <c r="P53" s="139">
        <f>I33</f>
        <v>14567.21</v>
      </c>
      <c r="Q53" s="14"/>
      <c r="R53" s="138" t="s">
        <v>21</v>
      </c>
      <c r="S53" s="139">
        <f>U34</f>
        <v>14567.21</v>
      </c>
      <c r="T53" s="139">
        <f>S53</f>
        <v>14567.21</v>
      </c>
      <c r="U53" s="14"/>
      <c r="V53" s="14"/>
      <c r="W53" s="19"/>
      <c r="X53" s="34"/>
      <c r="Y53" s="34"/>
      <c r="Z53" s="24"/>
      <c r="AA53" s="24"/>
      <c r="AB53" s="24"/>
      <c r="AC53" s="24"/>
      <c r="AD53" s="24"/>
    </row>
    <row r="54" spans="1:30">
      <c r="A54" s="24"/>
      <c r="B54" s="34"/>
      <c r="C54" s="34"/>
      <c r="D54" s="24"/>
      <c r="E54" s="34"/>
      <c r="F54" s="34"/>
      <c r="G54" s="35"/>
      <c r="H54" s="34"/>
      <c r="I54" s="35"/>
      <c r="J54" s="140">
        <f>J52-J53</f>
        <v>0</v>
      </c>
      <c r="K54" s="16"/>
      <c r="L54" s="140">
        <f>L52-L53</f>
        <v>0</v>
      </c>
      <c r="M54" s="14"/>
      <c r="N54" s="140">
        <f>N52-N53</f>
        <v>0</v>
      </c>
      <c r="O54" s="14"/>
      <c r="P54" s="140">
        <f>P52-P53</f>
        <v>0</v>
      </c>
      <c r="Q54" s="14"/>
      <c r="R54" s="187"/>
      <c r="S54" s="140">
        <f>S52-S53</f>
        <v>0</v>
      </c>
      <c r="T54" s="14"/>
      <c r="U54" s="14"/>
      <c r="V54" s="14"/>
      <c r="W54" s="19"/>
      <c r="X54" s="34"/>
      <c r="Y54" s="34"/>
      <c r="Z54" s="24"/>
      <c r="AA54" s="24"/>
      <c r="AB54" s="24"/>
      <c r="AC54" s="24"/>
      <c r="AD54" s="24"/>
    </row>
    <row r="55" spans="1:30">
      <c r="A55" s="24"/>
      <c r="B55" s="34"/>
      <c r="C55" s="34"/>
      <c r="D55" s="24"/>
      <c r="E55" s="34"/>
      <c r="F55" s="34"/>
      <c r="G55" s="35"/>
      <c r="H55" s="34"/>
      <c r="I55" s="35"/>
      <c r="J55" s="34"/>
      <c r="K55" s="24"/>
      <c r="L55" s="24"/>
      <c r="M55" s="24"/>
      <c r="N55" s="34"/>
      <c r="O55" s="34"/>
      <c r="P55" s="24"/>
      <c r="Q55" s="24"/>
      <c r="R55" s="24"/>
      <c r="S55" s="24"/>
      <c r="T55" s="34"/>
      <c r="U55" s="34"/>
      <c r="V55" s="34"/>
      <c r="W55" s="35"/>
      <c r="X55" s="34"/>
      <c r="Y55" s="34"/>
      <c r="Z55" s="24"/>
      <c r="AA55" s="24"/>
      <c r="AB55" s="34"/>
      <c r="AC55" s="24"/>
      <c r="AD55" s="24"/>
    </row>
    <row r="56" spans="1:30">
      <c r="A56" s="24"/>
      <c r="B56" s="34"/>
      <c r="C56" s="34"/>
      <c r="D56" s="51" t="s">
        <v>234</v>
      </c>
      <c r="E56" s="34"/>
      <c r="F56" s="34"/>
      <c r="G56" s="35"/>
      <c r="H56" s="34"/>
      <c r="I56" s="35"/>
      <c r="J56" s="34"/>
      <c r="K56" s="24"/>
      <c r="L56" s="24"/>
      <c r="M56" s="24"/>
      <c r="N56" s="34"/>
      <c r="O56" s="34"/>
      <c r="P56" s="24"/>
      <c r="Q56" s="24"/>
      <c r="R56" s="24"/>
      <c r="S56" s="24"/>
      <c r="T56" s="34"/>
      <c r="U56" s="34"/>
      <c r="V56" s="34"/>
      <c r="W56" s="35"/>
      <c r="X56" s="34"/>
      <c r="Y56" s="34"/>
      <c r="Z56" s="24"/>
      <c r="AA56" s="24"/>
      <c r="AB56" s="24"/>
      <c r="AC56" s="24"/>
      <c r="AD56" s="24"/>
    </row>
    <row r="57" spans="1:30">
      <c r="A57" s="52" t="s">
        <v>6</v>
      </c>
      <c r="B57" s="53" t="s">
        <v>7</v>
      </c>
      <c r="C57" s="53" t="s">
        <v>8</v>
      </c>
      <c r="D57" s="54" t="s">
        <v>9</v>
      </c>
      <c r="E57" s="55" t="s">
        <v>10</v>
      </c>
      <c r="F57" s="54" t="s">
        <v>11</v>
      </c>
      <c r="G57" s="56" t="s">
        <v>12</v>
      </c>
      <c r="H57" s="56" t="s">
        <v>13</v>
      </c>
      <c r="I57" s="141" t="s">
        <v>181</v>
      </c>
      <c r="J57" s="56" t="s">
        <v>15</v>
      </c>
      <c r="K57" s="142" t="s">
        <v>16</v>
      </c>
      <c r="L57" s="143">
        <v>0.1666</v>
      </c>
      <c r="M57" s="144" t="s">
        <v>17</v>
      </c>
      <c r="N57" s="145" t="s">
        <v>18</v>
      </c>
      <c r="O57" s="143">
        <v>0.3334</v>
      </c>
      <c r="P57" s="144" t="s">
        <v>17</v>
      </c>
      <c r="Q57" s="188">
        <v>0.1666666</v>
      </c>
      <c r="R57" s="189" t="s">
        <v>19</v>
      </c>
      <c r="S57" s="190" t="s">
        <v>20</v>
      </c>
      <c r="T57" s="191">
        <f>O57</f>
        <v>0.3334</v>
      </c>
      <c r="U57" s="189">
        <v>1</v>
      </c>
      <c r="V57" s="192" t="s">
        <v>21</v>
      </c>
      <c r="W57" s="56" t="s">
        <v>22</v>
      </c>
      <c r="X57" s="56" t="s">
        <v>23</v>
      </c>
      <c r="Y57" s="56" t="s">
        <v>24</v>
      </c>
      <c r="Z57" s="56" t="s">
        <v>25</v>
      </c>
      <c r="AA57" s="34"/>
      <c r="AB57" s="24"/>
      <c r="AC57" s="24"/>
      <c r="AD57" s="24"/>
    </row>
    <row r="60" spans="1:30">
      <c r="A60" s="57" t="s">
        <v>84</v>
      </c>
      <c r="B60" s="14">
        <v>2</v>
      </c>
      <c r="C60" s="57" t="s">
        <v>84</v>
      </c>
      <c r="D60" s="16" t="s">
        <v>153</v>
      </c>
      <c r="E60" s="14" t="s">
        <v>154</v>
      </c>
      <c r="F60" s="14" t="s">
        <v>155</v>
      </c>
      <c r="G60" s="19">
        <v>1500</v>
      </c>
      <c r="H60" s="14" t="s">
        <v>156</v>
      </c>
      <c r="I60" s="146">
        <v>250</v>
      </c>
      <c r="J60" s="47" t="s">
        <v>122</v>
      </c>
      <c r="K60" s="82" t="s">
        <v>88</v>
      </c>
      <c r="L60" s="82">
        <f>I60*L2/2</f>
        <v>20.8333333333333</v>
      </c>
      <c r="M60" s="79">
        <v>2</v>
      </c>
      <c r="N60" s="82" t="s">
        <v>88</v>
      </c>
      <c r="O60" s="82">
        <f>I60*O2/2</f>
        <v>41.6666666666667</v>
      </c>
      <c r="P60" s="79">
        <v>2</v>
      </c>
      <c r="Q60" s="102">
        <f>I60*Q2</f>
        <v>41.6666666666667</v>
      </c>
      <c r="R60" s="160">
        <f>Q2/11</f>
        <v>0.0151515151515152</v>
      </c>
      <c r="S60" s="19">
        <f>Q60/11</f>
        <v>3.78787878787879</v>
      </c>
      <c r="T60" s="161">
        <f>I60/3</f>
        <v>83.3333333333333</v>
      </c>
      <c r="U60" s="68">
        <f>L60+L61+O60+O61+Q60+T60</f>
        <v>250</v>
      </c>
      <c r="V60" s="19">
        <f>I60-U60</f>
        <v>0</v>
      </c>
      <c r="W60" s="19">
        <f>I60*5</f>
        <v>1250</v>
      </c>
      <c r="X60" s="14" t="s">
        <v>157</v>
      </c>
      <c r="Y60" s="14" t="s">
        <v>158</v>
      </c>
      <c r="Z60" s="14" t="s">
        <v>235</v>
      </c>
      <c r="AA60" s="34"/>
      <c r="AB60" s="24"/>
      <c r="AC60" s="24"/>
      <c r="AD60" s="24"/>
    </row>
    <row r="61" spans="1:30">
      <c r="A61" s="16"/>
      <c r="B61" s="14"/>
      <c r="C61" s="14"/>
      <c r="D61" s="16"/>
      <c r="E61" s="14"/>
      <c r="F61" s="14"/>
      <c r="G61" s="19"/>
      <c r="H61" s="14"/>
      <c r="I61" s="19"/>
      <c r="J61" s="14"/>
      <c r="K61" s="83" t="s">
        <v>89</v>
      </c>
      <c r="L61" s="83">
        <f>L60</f>
        <v>20.8333333333333</v>
      </c>
      <c r="M61" s="16"/>
      <c r="N61" s="83" t="s">
        <v>89</v>
      </c>
      <c r="O61" s="83">
        <f>O60</f>
        <v>41.6666666666667</v>
      </c>
      <c r="P61" s="16"/>
      <c r="Q61" s="16"/>
      <c r="R61" s="16"/>
      <c r="S61" s="16"/>
      <c r="T61" s="14"/>
      <c r="U61" s="14"/>
      <c r="V61" s="14"/>
      <c r="W61" s="19"/>
      <c r="X61" s="14"/>
      <c r="Y61" s="14"/>
      <c r="Z61" s="16"/>
      <c r="AA61" s="24"/>
      <c r="AB61" s="24"/>
      <c r="AC61" s="24"/>
      <c r="AD61" s="24"/>
    </row>
    <row r="62" spans="1:30">
      <c r="A62" s="58"/>
      <c r="B62" s="59"/>
      <c r="C62" s="59"/>
      <c r="D62" s="60"/>
      <c r="E62" s="59"/>
      <c r="F62" s="59"/>
      <c r="G62" s="61"/>
      <c r="H62" s="59"/>
      <c r="I62" s="61"/>
      <c r="J62" s="59"/>
      <c r="K62" s="61"/>
      <c r="L62" s="61"/>
      <c r="M62" s="59"/>
      <c r="N62" s="59"/>
      <c r="O62" s="61"/>
      <c r="P62" s="59"/>
      <c r="Q62" s="61"/>
      <c r="R62" s="193"/>
      <c r="S62" s="61"/>
      <c r="T62" s="50"/>
      <c r="U62" s="61"/>
      <c r="V62" s="61"/>
      <c r="W62" s="61"/>
      <c r="X62" s="59"/>
      <c r="Y62" s="199"/>
      <c r="Z62" s="60"/>
      <c r="AA62" s="24"/>
      <c r="AB62" s="24"/>
      <c r="AC62" s="24"/>
      <c r="AD62" s="24"/>
    </row>
    <row r="63" spans="1:30">
      <c r="A63" s="24"/>
      <c r="B63" s="34"/>
      <c r="C63" s="34"/>
      <c r="D63" s="24"/>
      <c r="E63" s="34"/>
      <c r="F63" s="34"/>
      <c r="G63" s="35">
        <f>SUM(G14:G62)</f>
        <v>101823.6683605</v>
      </c>
      <c r="H63" s="34"/>
      <c r="I63" s="147">
        <f>SUM(I14:I62)</f>
        <v>21790.28</v>
      </c>
      <c r="J63" s="34"/>
      <c r="K63" s="24"/>
      <c r="L63" s="148">
        <f>SUM(L14:L62)</f>
        <v>24999.5282666667</v>
      </c>
      <c r="M63" s="24"/>
      <c r="N63" s="34"/>
      <c r="O63" s="149">
        <f>SUM(O14:O62)</f>
        <v>12119.8300666667</v>
      </c>
      <c r="P63" s="24"/>
      <c r="Q63" s="95">
        <f>SUM(Q14:Q62)</f>
        <v>6059.91499993333</v>
      </c>
      <c r="R63" s="24"/>
      <c r="S63" s="35">
        <f>SUM(S14:S62)</f>
        <v>51884.1618181818</v>
      </c>
      <c r="T63" s="194">
        <f>SUM(T14:T62)</f>
        <v>26689.2457779452</v>
      </c>
      <c r="U63" s="195">
        <f>SUM(U14:U62)</f>
        <v>36388.49</v>
      </c>
      <c r="V63" s="35">
        <v>0</v>
      </c>
      <c r="W63" s="35">
        <f>SUM(W14:W62)</f>
        <v>64629.86</v>
      </c>
      <c r="X63" s="34"/>
      <c r="Y63" s="34"/>
      <c r="Z63" s="24"/>
      <c r="AA63" s="24"/>
      <c r="AB63" s="24"/>
      <c r="AC63" s="24"/>
      <c r="AD63" s="24"/>
    </row>
    <row r="64" spans="1:30">
      <c r="A64" s="24"/>
      <c r="B64" s="34"/>
      <c r="C64" s="34"/>
      <c r="D64" s="24"/>
      <c r="E64" s="34"/>
      <c r="F64" s="34"/>
      <c r="G64" s="35"/>
      <c r="H64" s="34"/>
      <c r="I64" s="35"/>
      <c r="J64" s="34"/>
      <c r="K64" s="24"/>
      <c r="L64" s="24"/>
      <c r="M64" s="24"/>
      <c r="N64" s="34"/>
      <c r="O64" s="34"/>
      <c r="P64" s="24"/>
      <c r="Q64" s="24"/>
      <c r="R64" s="24"/>
      <c r="S64" s="196"/>
      <c r="T64" s="34"/>
      <c r="U64" s="197">
        <f>I63</f>
        <v>21790.28</v>
      </c>
      <c r="V64" s="34"/>
      <c r="W64" s="35"/>
      <c r="X64" s="34"/>
      <c r="Y64" s="34"/>
      <c r="Z64" s="24"/>
      <c r="AA64" s="24"/>
      <c r="AB64" s="24"/>
      <c r="AC64" s="24"/>
      <c r="AD64" s="24"/>
    </row>
    <row r="65" spans="1:30">
      <c r="A65" s="24"/>
      <c r="B65" s="34"/>
      <c r="C65" s="34"/>
      <c r="D65" s="200" t="s">
        <v>99</v>
      </c>
      <c r="E65" s="34"/>
      <c r="F65" s="34"/>
      <c r="G65" s="35"/>
      <c r="H65" s="34"/>
      <c r="I65" s="35"/>
      <c r="J65" s="34"/>
      <c r="K65" s="24"/>
      <c r="L65" s="34"/>
      <c r="M65" s="34"/>
      <c r="N65" s="34"/>
      <c r="O65" s="34"/>
      <c r="P65" s="34"/>
      <c r="Q65" s="211"/>
      <c r="R65" s="34"/>
      <c r="S65" s="34"/>
      <c r="T65" s="34"/>
      <c r="U65" s="34"/>
      <c r="V65" s="34"/>
      <c r="W65" s="35"/>
      <c r="X65" s="34"/>
      <c r="Y65" s="34"/>
      <c r="Z65" s="34"/>
      <c r="AA65" s="34"/>
      <c r="AB65" s="24"/>
      <c r="AC65" s="24"/>
      <c r="AD65" s="24"/>
    </row>
    <row r="66" spans="1:30">
      <c r="A66" s="201" t="s">
        <v>100</v>
      </c>
      <c r="B66" s="202" t="s">
        <v>7</v>
      </c>
      <c r="C66" s="202" t="s">
        <v>8</v>
      </c>
      <c r="D66" s="203" t="s">
        <v>9</v>
      </c>
      <c r="E66" s="204" t="s">
        <v>10</v>
      </c>
      <c r="F66" s="203" t="s">
        <v>11</v>
      </c>
      <c r="G66" s="204" t="s">
        <v>12</v>
      </c>
      <c r="H66" s="204" t="s">
        <v>13</v>
      </c>
      <c r="I66" s="206" t="s">
        <v>14</v>
      </c>
      <c r="J66" s="204" t="s">
        <v>15</v>
      </c>
      <c r="K66" s="207" t="s">
        <v>16</v>
      </c>
      <c r="L66" s="65">
        <v>0.1666</v>
      </c>
      <c r="M66" s="65"/>
      <c r="N66" s="66" t="s">
        <v>18</v>
      </c>
      <c r="O66" s="67">
        <v>0.3334</v>
      </c>
      <c r="P66" s="152">
        <v>0.1666666</v>
      </c>
      <c r="Q66" s="153" t="s">
        <v>19</v>
      </c>
      <c r="R66" s="154" t="s">
        <v>20</v>
      </c>
      <c r="S66" s="154"/>
      <c r="T66" s="155">
        <f>O66</f>
        <v>0.3334</v>
      </c>
      <c r="U66" s="156">
        <v>1</v>
      </c>
      <c r="V66" s="157" t="s">
        <v>21</v>
      </c>
      <c r="W66" s="158" t="s">
        <v>22</v>
      </c>
      <c r="X66" s="159" t="s">
        <v>23</v>
      </c>
      <c r="Y66" s="159" t="s">
        <v>24</v>
      </c>
      <c r="Z66" s="159" t="s">
        <v>25</v>
      </c>
      <c r="AA66" s="34"/>
      <c r="AB66" s="24"/>
      <c r="AC66" s="24"/>
      <c r="AD66" s="24"/>
    </row>
    <row r="67" spans="1:30">
      <c r="A67" s="57">
        <v>45622</v>
      </c>
      <c r="B67" s="14">
        <v>1</v>
      </c>
      <c r="C67" s="47" t="s">
        <v>84</v>
      </c>
      <c r="D67" s="16" t="s">
        <v>101</v>
      </c>
      <c r="E67" s="14" t="str">
        <f>E24</f>
        <v>CIVIL</v>
      </c>
      <c r="F67" s="14" t="s">
        <v>102</v>
      </c>
      <c r="G67" s="19" t="s">
        <v>103</v>
      </c>
      <c r="H67" s="14" t="s">
        <v>39</v>
      </c>
      <c r="I67" s="19">
        <v>0</v>
      </c>
      <c r="J67" s="47" t="s">
        <v>104</v>
      </c>
      <c r="K67" s="208" t="s">
        <v>32</v>
      </c>
      <c r="L67" s="209">
        <f>I67*L2</f>
        <v>0</v>
      </c>
      <c r="M67" s="209"/>
      <c r="N67" s="210" t="s">
        <v>34</v>
      </c>
      <c r="O67" s="85">
        <f>I67/3</f>
        <v>0</v>
      </c>
      <c r="P67" s="102">
        <f>L67</f>
        <v>0</v>
      </c>
      <c r="Q67" s="160">
        <f>Q2/10</f>
        <v>0.0166666666666667</v>
      </c>
      <c r="R67" s="19">
        <f>I67*Q67</f>
        <v>0</v>
      </c>
      <c r="S67" s="19"/>
      <c r="T67" s="161">
        <f>O67</f>
        <v>0</v>
      </c>
      <c r="U67" s="212">
        <f>L67+O67+P67+T67</f>
        <v>0</v>
      </c>
      <c r="V67" s="19">
        <f>I67-U67</f>
        <v>0</v>
      </c>
      <c r="W67" s="19" t="s">
        <v>105</v>
      </c>
      <c r="X67" s="14" t="s">
        <v>52</v>
      </c>
      <c r="Y67" s="198">
        <v>45627</v>
      </c>
      <c r="Z67" s="14" t="s">
        <v>106</v>
      </c>
      <c r="AA67" s="34"/>
      <c r="AB67" s="24"/>
      <c r="AC67" s="24"/>
      <c r="AD67" s="24"/>
    </row>
    <row r="68" spans="1:30">
      <c r="A68" s="57">
        <v>45639</v>
      </c>
      <c r="B68" s="14">
        <v>2</v>
      </c>
      <c r="C68" s="47" t="s">
        <v>84</v>
      </c>
      <c r="D68" s="16" t="s">
        <v>107</v>
      </c>
      <c r="E68" s="14" t="s">
        <v>37</v>
      </c>
      <c r="F68" s="14" t="s">
        <v>108</v>
      </c>
      <c r="G68" s="19" t="s">
        <v>103</v>
      </c>
      <c r="H68" s="14" t="s">
        <v>39</v>
      </c>
      <c r="I68" s="19">
        <v>0</v>
      </c>
      <c r="J68" s="47" t="s">
        <v>104</v>
      </c>
      <c r="K68" s="210" t="s">
        <v>34</v>
      </c>
      <c r="L68" s="85">
        <f>I68*L66</f>
        <v>0</v>
      </c>
      <c r="M68" s="85"/>
      <c r="N68" s="210" t="s">
        <v>34</v>
      </c>
      <c r="O68" s="85">
        <f>I68/3/2</f>
        <v>0</v>
      </c>
      <c r="P68" s="102">
        <f>I68*P66</f>
        <v>0</v>
      </c>
      <c r="Q68" s="160">
        <f>Q67</f>
        <v>0.0166666666666667</v>
      </c>
      <c r="R68" s="19">
        <f>P68*Q68</f>
        <v>0</v>
      </c>
      <c r="S68" s="19"/>
      <c r="T68" s="161">
        <f>I68*T66</f>
        <v>0</v>
      </c>
      <c r="U68" s="212">
        <f>L68+O68+P68+T68</f>
        <v>0</v>
      </c>
      <c r="V68" s="19">
        <f>I68-U68</f>
        <v>0</v>
      </c>
      <c r="W68" s="19" t="s">
        <v>105</v>
      </c>
      <c r="X68" s="14" t="s">
        <v>52</v>
      </c>
      <c r="Y68" s="198">
        <v>45627</v>
      </c>
      <c r="Z68" s="14" t="s">
        <v>109</v>
      </c>
      <c r="AA68" s="34"/>
      <c r="AB68" s="24"/>
      <c r="AC68" s="24"/>
      <c r="AD68" s="24"/>
    </row>
    <row r="69" spans="1:30">
      <c r="A69" s="24"/>
      <c r="B69" s="34"/>
      <c r="C69" s="34"/>
      <c r="D69" s="205"/>
      <c r="E69" s="34"/>
      <c r="F69" s="34"/>
      <c r="G69" s="35"/>
      <c r="H69" s="34"/>
      <c r="I69" s="35"/>
      <c r="J69" s="34"/>
      <c r="K69" s="24"/>
      <c r="L69" s="34"/>
      <c r="M69" s="34"/>
      <c r="N69" s="109" t="s">
        <v>86</v>
      </c>
      <c r="O69" s="88">
        <f>O68</f>
        <v>0</v>
      </c>
      <c r="P69" s="34"/>
      <c r="Q69" s="213"/>
      <c r="R69" s="34"/>
      <c r="S69" s="34"/>
      <c r="T69" s="34"/>
      <c r="U69" s="34"/>
      <c r="V69" s="34"/>
      <c r="W69" s="35"/>
      <c r="X69" s="34"/>
      <c r="Y69" s="34"/>
      <c r="Z69" s="34"/>
      <c r="AA69" s="34"/>
      <c r="AB69" s="24"/>
      <c r="AC69" s="24"/>
      <c r="AD69" s="24"/>
    </row>
    <row r="70" spans="1:30">
      <c r="A70" s="57">
        <v>45685</v>
      </c>
      <c r="B70" s="14">
        <v>3</v>
      </c>
      <c r="C70" s="47" t="s">
        <v>84</v>
      </c>
      <c r="D70" s="16" t="s">
        <v>110</v>
      </c>
      <c r="E70" s="14" t="s">
        <v>37</v>
      </c>
      <c r="F70" s="14" t="s">
        <v>111</v>
      </c>
      <c r="G70" s="19" t="s">
        <v>103</v>
      </c>
      <c r="H70" s="14" t="s">
        <v>39</v>
      </c>
      <c r="I70" s="19">
        <v>0</v>
      </c>
      <c r="J70" s="47" t="s">
        <v>104</v>
      </c>
      <c r="K70" s="210" t="s">
        <v>34</v>
      </c>
      <c r="L70" s="85">
        <f>I70*L68</f>
        <v>0</v>
      </c>
      <c r="M70" s="85"/>
      <c r="N70" s="210" t="s">
        <v>34</v>
      </c>
      <c r="O70" s="85">
        <f>I70/3/2</f>
        <v>0</v>
      </c>
      <c r="P70" s="102">
        <f>I70*P68</f>
        <v>0</v>
      </c>
      <c r="Q70" s="160">
        <f>Q69</f>
        <v>0</v>
      </c>
      <c r="R70" s="19">
        <f>P70*Q70</f>
        <v>0</v>
      </c>
      <c r="S70" s="19"/>
      <c r="T70" s="161">
        <f>I70*T68</f>
        <v>0</v>
      </c>
      <c r="U70" s="212">
        <f>L70+O70+P70+T70</f>
        <v>0</v>
      </c>
      <c r="V70" s="19">
        <f>I70-U70</f>
        <v>0</v>
      </c>
      <c r="W70" s="19" t="s">
        <v>105</v>
      </c>
      <c r="X70" s="14" t="s">
        <v>52</v>
      </c>
      <c r="Y70" s="198">
        <v>45627</v>
      </c>
      <c r="Z70" s="14" t="s">
        <v>109</v>
      </c>
      <c r="AA70" s="34"/>
      <c r="AB70" s="24"/>
      <c r="AC70" s="24"/>
      <c r="AD70" s="24"/>
    </row>
    <row r="71" spans="1:30">
      <c r="A71" s="24"/>
      <c r="B71" s="34"/>
      <c r="C71" s="34"/>
      <c r="D71" s="205"/>
      <c r="E71" s="34"/>
      <c r="F71" s="34"/>
      <c r="G71" s="35"/>
      <c r="H71" s="34"/>
      <c r="I71" s="35"/>
      <c r="J71" s="34"/>
      <c r="K71" s="24"/>
      <c r="L71" s="34"/>
      <c r="M71" s="34"/>
      <c r="N71" s="119" t="s">
        <v>46</v>
      </c>
      <c r="O71" s="70">
        <v>0</v>
      </c>
      <c r="P71" s="34"/>
      <c r="Q71" s="213"/>
      <c r="R71" s="34"/>
      <c r="S71" s="34"/>
      <c r="T71" s="34"/>
      <c r="U71" s="34"/>
      <c r="V71" s="34"/>
      <c r="W71" s="35"/>
      <c r="X71" s="34"/>
      <c r="Y71" s="34"/>
      <c r="Z71" s="34"/>
      <c r="AA71" s="34"/>
      <c r="AB71" s="24"/>
      <c r="AC71" s="24"/>
      <c r="AD71" s="24"/>
    </row>
    <row r="72" spans="1:30">
      <c r="A72" s="57">
        <v>45712</v>
      </c>
      <c r="B72" s="14">
        <v>4</v>
      </c>
      <c r="C72" s="57" t="s">
        <v>84</v>
      </c>
      <c r="D72" s="16" t="s">
        <v>141</v>
      </c>
      <c r="E72" s="14" t="e">
        <f>#REF!</f>
        <v>#REF!</v>
      </c>
      <c r="F72" s="14" t="s">
        <v>142</v>
      </c>
      <c r="G72" s="26">
        <v>759</v>
      </c>
      <c r="H72" s="27" t="s">
        <v>143</v>
      </c>
      <c r="I72" s="146">
        <v>759</v>
      </c>
      <c r="J72" s="47" t="s">
        <v>122</v>
      </c>
      <c r="K72" s="75" t="s">
        <v>32</v>
      </c>
      <c r="L72" s="76">
        <f>I72*L2</f>
        <v>126.5</v>
      </c>
      <c r="M72" s="77" t="s">
        <v>33</v>
      </c>
      <c r="N72" s="84" t="s">
        <v>34</v>
      </c>
      <c r="O72" s="85">
        <f>I72*O2</f>
        <v>253</v>
      </c>
      <c r="P72" s="86">
        <v>1</v>
      </c>
      <c r="Q72" s="102">
        <f>I72*Q2</f>
        <v>126.5</v>
      </c>
      <c r="R72" s="160">
        <f>Q2/11</f>
        <v>0.0151515151515152</v>
      </c>
      <c r="S72" s="19">
        <f t="shared" ref="S72" si="7">Q72/11</f>
        <v>11.5</v>
      </c>
      <c r="T72" s="161">
        <f>I72/3</f>
        <v>253</v>
      </c>
      <c r="U72" s="162">
        <f>L72+O72+Q72+T72</f>
        <v>759</v>
      </c>
      <c r="V72" s="19">
        <f t="shared" ref="V72" si="8">I72-U72</f>
        <v>0</v>
      </c>
      <c r="W72" s="19" t="s">
        <v>144</v>
      </c>
      <c r="X72" s="14" t="s">
        <v>144</v>
      </c>
      <c r="Y72" s="198">
        <f>Y12</f>
        <v>0</v>
      </c>
      <c r="Z72" s="14"/>
      <c r="AA72" s="24"/>
      <c r="AB72" s="24"/>
      <c r="AC72" s="24"/>
      <c r="AD72" s="24"/>
    </row>
    <row r="73" spans="1:30">
      <c r="A73" s="24"/>
      <c r="B73" s="34"/>
      <c r="C73" s="34"/>
      <c r="D73" s="24"/>
      <c r="E73" s="34"/>
      <c r="F73" s="34"/>
      <c r="G73" s="35"/>
      <c r="H73" s="34"/>
      <c r="I73" s="35"/>
      <c r="J73" s="34"/>
      <c r="K73" s="24"/>
      <c r="L73" s="34"/>
      <c r="M73" s="34"/>
      <c r="N73" s="34"/>
      <c r="O73" s="34"/>
      <c r="P73" s="34"/>
      <c r="Q73" s="213"/>
      <c r="R73" s="34"/>
      <c r="S73" s="34"/>
      <c r="T73" s="34"/>
      <c r="U73" s="34"/>
      <c r="V73" s="34"/>
      <c r="W73" s="35"/>
      <c r="X73" s="34"/>
      <c r="Y73" s="34"/>
      <c r="Z73" s="34"/>
      <c r="AA73" s="34"/>
      <c r="AB73" s="24"/>
      <c r="AC73" s="24"/>
      <c r="AD73" s="24"/>
    </row>
    <row r="74" spans="1:30">
      <c r="A74" s="24"/>
      <c r="B74" s="34"/>
      <c r="C74" s="34"/>
      <c r="D74" s="24"/>
      <c r="E74" s="34"/>
      <c r="F74" s="34"/>
      <c r="G74" s="35"/>
      <c r="H74" s="34"/>
      <c r="I74" s="35"/>
      <c r="J74" s="34"/>
      <c r="K74" s="24"/>
      <c r="L74" s="24"/>
      <c r="M74" s="24"/>
      <c r="N74" s="34"/>
      <c r="O74" s="34"/>
      <c r="P74" s="24"/>
      <c r="Q74" s="24"/>
      <c r="R74" s="24"/>
      <c r="S74" s="24"/>
      <c r="T74" s="34"/>
      <c r="U74" s="34"/>
      <c r="V74" s="34"/>
      <c r="W74" s="35"/>
      <c r="X74" s="34"/>
      <c r="Y74" s="34"/>
      <c r="Z74" s="24"/>
      <c r="AA74" s="24"/>
      <c r="AB74" s="24"/>
      <c r="AC74" s="24"/>
      <c r="AD74" s="24"/>
    </row>
    <row r="75" spans="1:30">
      <c r="A75" s="24"/>
      <c r="B75" s="34"/>
      <c r="C75" s="34"/>
      <c r="D75" s="24"/>
      <c r="E75" s="34"/>
      <c r="F75" s="34"/>
      <c r="G75" s="35"/>
      <c r="H75" s="34"/>
      <c r="I75" s="35"/>
      <c r="J75" s="34"/>
      <c r="K75" s="24"/>
      <c r="L75" s="24"/>
      <c r="M75" s="24"/>
      <c r="N75" s="34"/>
      <c r="O75" s="34"/>
      <c r="P75" s="24"/>
      <c r="Q75" s="24"/>
      <c r="R75" s="24"/>
      <c r="S75" s="24"/>
      <c r="T75" s="34"/>
      <c r="U75" s="34"/>
      <c r="V75" s="34"/>
      <c r="W75" s="35"/>
      <c r="X75" s="34"/>
      <c r="Y75" s="34"/>
      <c r="Z75" s="24"/>
      <c r="AA75" s="24"/>
      <c r="AB75" s="24"/>
      <c r="AC75" s="24"/>
      <c r="AD75" s="24"/>
    </row>
    <row r="76" spans="1:30">
      <c r="A76" s="24"/>
      <c r="B76" s="34"/>
      <c r="C76" s="34"/>
      <c r="D76" s="24"/>
      <c r="E76" s="34"/>
      <c r="F76" s="34"/>
      <c r="G76" s="35"/>
      <c r="H76" s="34"/>
      <c r="I76" s="35"/>
      <c r="J76" s="34"/>
      <c r="K76" s="24"/>
      <c r="L76" s="24"/>
      <c r="M76" s="24"/>
      <c r="N76" s="34"/>
      <c r="O76" s="34"/>
      <c r="P76" s="24"/>
      <c r="Q76" s="24"/>
      <c r="R76" s="24"/>
      <c r="S76" s="24"/>
      <c r="T76" s="34"/>
      <c r="U76" s="34"/>
      <c r="V76" s="34"/>
      <c r="W76" s="35"/>
      <c r="X76" s="34"/>
      <c r="Y76" s="34"/>
      <c r="Z76" s="24"/>
      <c r="AA76" s="24"/>
      <c r="AB76" s="24"/>
      <c r="AC76" s="24"/>
      <c r="AD76" s="24"/>
    </row>
  </sheetData>
  <hyperlinks>
    <hyperlink ref="A1" r:id="rId2" display="MENU PRINCIPAL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RECEITAS JANEIRO</vt:lpstr>
      <vt:lpstr>RECEITAS FEVEREIRO</vt:lpstr>
      <vt:lpstr>RECEITAS MARÇO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Tovani</cp:lastModifiedBy>
  <dcterms:created xsi:type="dcterms:W3CDTF">2024-11-07T22:35:00Z</dcterms:created>
  <dcterms:modified xsi:type="dcterms:W3CDTF">2025-04-11T00:05:39Z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7E52CE275337477092D0AF35AAA98AF3_12</vt:lpwstr>
  </property>
  <property fmtid="{D5CDD505-2E9C-101B-9397-08002B2CF9AE}" pid="3" name="KSOProductBuildVer">
    <vt:lpwstr>1046-12.2.0.20782</vt:lpwstr>
  </property>
</Properties>
</file>