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X:\FINANCEIRO\2024\MATRIZ\06 - JUNHO\"/>
    </mc:Choice>
  </mc:AlternateContent>
  <xr:revisionPtr revIDLastSave="0" documentId="13_ncr:1_{5E7C3F63-0E37-4BA7-B0FC-40DC3665B7F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CEITAS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" i="1" l="1"/>
  <c r="Q100" i="1" l="1"/>
  <c r="Q94" i="1"/>
  <c r="Q83" i="1"/>
  <c r="Q22" i="1"/>
  <c r="O96" i="1"/>
  <c r="K129" i="1"/>
  <c r="L98" i="1"/>
  <c r="N98" i="1"/>
  <c r="N97" i="1"/>
  <c r="L97" i="1"/>
  <c r="T96" i="1"/>
  <c r="S96" i="1"/>
  <c r="R96" i="1"/>
  <c r="N96" i="1"/>
  <c r="L96" i="1"/>
  <c r="I96" i="1"/>
  <c r="U91" i="1"/>
  <c r="R91" i="1"/>
  <c r="N91" i="1"/>
  <c r="L91" i="1"/>
  <c r="O91" i="1" l="1"/>
  <c r="S91" i="1" l="1"/>
  <c r="T91" i="1" s="1"/>
  <c r="Q91" i="1"/>
  <c r="K136" i="1" l="1"/>
  <c r="K135" i="1"/>
  <c r="K134" i="1"/>
  <c r="K133" i="1"/>
  <c r="K131" i="1"/>
  <c r="K128" i="1"/>
  <c r="K132" i="1"/>
  <c r="K130" i="1"/>
  <c r="K127" i="1"/>
  <c r="L122" i="1"/>
  <c r="K122" i="1"/>
  <c r="J122" i="1"/>
  <c r="R118" i="1"/>
  <c r="R117" i="1"/>
  <c r="K117" i="1"/>
  <c r="N116" i="1"/>
  <c r="K114" i="1"/>
  <c r="K119" i="1" s="1"/>
  <c r="U94" i="1"/>
  <c r="U96" i="1" s="1"/>
  <c r="R94" i="1"/>
  <c r="N94" i="1"/>
  <c r="L94" i="1"/>
  <c r="N93" i="1"/>
  <c r="U92" i="1"/>
  <c r="R92" i="1"/>
  <c r="N92" i="1"/>
  <c r="L92" i="1"/>
  <c r="K92" i="1"/>
  <c r="J92" i="1"/>
  <c r="U89" i="1"/>
  <c r="R89" i="1"/>
  <c r="N89" i="1"/>
  <c r="N90" i="1" s="1"/>
  <c r="L89" i="1"/>
  <c r="J89" i="1"/>
  <c r="H89" i="1"/>
  <c r="N88" i="1"/>
  <c r="U87" i="1"/>
  <c r="R87" i="1"/>
  <c r="N87" i="1"/>
  <c r="L87" i="1"/>
  <c r="K87" i="1"/>
  <c r="J87" i="1"/>
  <c r="U86" i="1"/>
  <c r="N86" i="1"/>
  <c r="R86" i="1" s="1"/>
  <c r="L86" i="1"/>
  <c r="U84" i="1"/>
  <c r="R84" i="1"/>
  <c r="N84" i="1"/>
  <c r="N85" i="1" s="1"/>
  <c r="L84" i="1"/>
  <c r="J84" i="1"/>
  <c r="H84" i="1"/>
  <c r="U83" i="1"/>
  <c r="N83" i="1"/>
  <c r="R83" i="1" s="1"/>
  <c r="L83" i="1"/>
  <c r="J83" i="1"/>
  <c r="U82" i="1"/>
  <c r="R82" i="1"/>
  <c r="N82" i="1"/>
  <c r="L82" i="1"/>
  <c r="J82" i="1"/>
  <c r="U81" i="1"/>
  <c r="R81" i="1"/>
  <c r="N81" i="1"/>
  <c r="L81" i="1"/>
  <c r="J81" i="1"/>
  <c r="R80" i="1"/>
  <c r="N80" i="1"/>
  <c r="L80" i="1"/>
  <c r="G80" i="1"/>
  <c r="U79" i="1"/>
  <c r="R79" i="1"/>
  <c r="N79" i="1"/>
  <c r="L79" i="1"/>
  <c r="N78" i="1"/>
  <c r="U77" i="1"/>
  <c r="R77" i="1"/>
  <c r="N77" i="1"/>
  <c r="L77" i="1"/>
  <c r="K77" i="1"/>
  <c r="N76" i="1"/>
  <c r="R76" i="1" s="1"/>
  <c r="L76" i="1"/>
  <c r="W75" i="1"/>
  <c r="U75" i="1"/>
  <c r="N75" i="1"/>
  <c r="R75" i="1" s="1"/>
  <c r="L75" i="1"/>
  <c r="U74" i="1"/>
  <c r="N74" i="1"/>
  <c r="R74" i="1" s="1"/>
  <c r="L74" i="1"/>
  <c r="J74" i="1"/>
  <c r="J75" i="1" s="1"/>
  <c r="N73" i="1"/>
  <c r="U72" i="1"/>
  <c r="R72" i="1"/>
  <c r="N72" i="1"/>
  <c r="L72" i="1"/>
  <c r="N71" i="1"/>
  <c r="U70" i="1"/>
  <c r="R70" i="1"/>
  <c r="N70" i="1"/>
  <c r="L70" i="1"/>
  <c r="K70" i="1"/>
  <c r="N69" i="1"/>
  <c r="U68" i="1"/>
  <c r="R68" i="1"/>
  <c r="N68" i="1"/>
  <c r="L68" i="1"/>
  <c r="K68" i="1"/>
  <c r="N67" i="1"/>
  <c r="U66" i="1"/>
  <c r="R66" i="1"/>
  <c r="N66" i="1"/>
  <c r="L66" i="1"/>
  <c r="K66" i="1"/>
  <c r="N65" i="1"/>
  <c r="U64" i="1"/>
  <c r="R64" i="1"/>
  <c r="N64" i="1"/>
  <c r="L64" i="1"/>
  <c r="K64" i="1"/>
  <c r="N63" i="1"/>
  <c r="U62" i="1"/>
  <c r="R62" i="1"/>
  <c r="N62" i="1"/>
  <c r="L62" i="1"/>
  <c r="K62" i="1"/>
  <c r="R61" i="1"/>
  <c r="N61" i="1"/>
  <c r="L61" i="1"/>
  <c r="J61" i="1"/>
  <c r="U60" i="1"/>
  <c r="N60" i="1"/>
  <c r="R60" i="1" s="1"/>
  <c r="L60" i="1"/>
  <c r="V59" i="1"/>
  <c r="P59" i="1"/>
  <c r="N59" i="1"/>
  <c r="L59" i="1"/>
  <c r="K59" i="1"/>
  <c r="K60" i="1" s="1"/>
  <c r="J59" i="1"/>
  <c r="N58" i="1"/>
  <c r="R58" i="1" s="1"/>
  <c r="M58" i="1"/>
  <c r="L58" i="1"/>
  <c r="N57" i="1"/>
  <c r="R56" i="1"/>
  <c r="N56" i="1"/>
  <c r="L56" i="1"/>
  <c r="W55" i="1"/>
  <c r="R55" i="1"/>
  <c r="N55" i="1"/>
  <c r="L55" i="1"/>
  <c r="U54" i="1"/>
  <c r="R54" i="1"/>
  <c r="N54" i="1"/>
  <c r="L54" i="1"/>
  <c r="U53" i="1"/>
  <c r="R53" i="1"/>
  <c r="N53" i="1"/>
  <c r="L53" i="1"/>
  <c r="N52" i="1"/>
  <c r="L52" i="1"/>
  <c r="N51" i="1"/>
  <c r="M51" i="1"/>
  <c r="U50" i="1"/>
  <c r="N50" i="1"/>
  <c r="R50" i="1" s="1"/>
  <c r="L50" i="1"/>
  <c r="N49" i="1"/>
  <c r="U48" i="1"/>
  <c r="R48" i="1"/>
  <c r="N48" i="1"/>
  <c r="L48" i="1"/>
  <c r="K48" i="1"/>
  <c r="U46" i="1"/>
  <c r="R46" i="1"/>
  <c r="N46" i="1"/>
  <c r="N47" i="1" s="1"/>
  <c r="L46" i="1"/>
  <c r="N45" i="1"/>
  <c r="L45" i="1"/>
  <c r="N44" i="1"/>
  <c r="R43" i="1"/>
  <c r="N43" i="1"/>
  <c r="L43" i="1"/>
  <c r="R42" i="1"/>
  <c r="N42" i="1"/>
  <c r="L42" i="1"/>
  <c r="U41" i="1"/>
  <c r="R41" i="1"/>
  <c r="N41" i="1"/>
  <c r="L41" i="1"/>
  <c r="U39" i="1"/>
  <c r="R39" i="1"/>
  <c r="N39" i="1"/>
  <c r="N40" i="1" s="1"/>
  <c r="L39" i="1"/>
  <c r="J39" i="1"/>
  <c r="E39" i="1"/>
  <c r="U38" i="1"/>
  <c r="R38" i="1"/>
  <c r="N38" i="1"/>
  <c r="L38" i="1"/>
  <c r="E38" i="1"/>
  <c r="E42" i="1" s="1"/>
  <c r="N37" i="1"/>
  <c r="W36" i="1"/>
  <c r="V36" i="1"/>
  <c r="U36" i="1"/>
  <c r="R36" i="1"/>
  <c r="N36" i="1"/>
  <c r="L36" i="1"/>
  <c r="J36" i="1"/>
  <c r="N35" i="1"/>
  <c r="R34" i="1"/>
  <c r="N34" i="1"/>
  <c r="L34" i="1"/>
  <c r="U33" i="1"/>
  <c r="R33" i="1"/>
  <c r="N33" i="1"/>
  <c r="L33" i="1"/>
  <c r="U32" i="1"/>
  <c r="R32" i="1"/>
  <c r="N32" i="1"/>
  <c r="L32" i="1"/>
  <c r="N31" i="1"/>
  <c r="M31" i="1"/>
  <c r="U30" i="1"/>
  <c r="R30" i="1"/>
  <c r="N30" i="1"/>
  <c r="L30" i="1"/>
  <c r="N29" i="1"/>
  <c r="U28" i="1"/>
  <c r="R28" i="1"/>
  <c r="N28" i="1"/>
  <c r="L28" i="1"/>
  <c r="K28" i="1"/>
  <c r="K98" i="1" s="1"/>
  <c r="M98" i="1" s="1"/>
  <c r="N27" i="1"/>
  <c r="U26" i="1"/>
  <c r="R26" i="1"/>
  <c r="N26" i="1"/>
  <c r="M26" i="1"/>
  <c r="L26" i="1"/>
  <c r="N25" i="1"/>
  <c r="L25" i="1"/>
  <c r="N24" i="1"/>
  <c r="U23" i="1"/>
  <c r="R23" i="1"/>
  <c r="N23" i="1"/>
  <c r="L23" i="1"/>
  <c r="R22" i="1"/>
  <c r="N22" i="1"/>
  <c r="N99" i="1" s="1"/>
  <c r="L22" i="1"/>
  <c r="U21" i="1"/>
  <c r="N21" i="1"/>
  <c r="R21" i="1" s="1"/>
  <c r="M21" i="1"/>
  <c r="L21" i="1"/>
  <c r="U20" i="1"/>
  <c r="R20" i="1"/>
  <c r="N20" i="1"/>
  <c r="L20" i="1"/>
  <c r="J20" i="1"/>
  <c r="N19" i="1"/>
  <c r="U18" i="1"/>
  <c r="R18" i="1"/>
  <c r="N18" i="1"/>
  <c r="L18" i="1"/>
  <c r="K18" i="1"/>
  <c r="J18" i="1"/>
  <c r="J46" i="1" s="1"/>
  <c r="J53" i="1" s="1"/>
  <c r="N17" i="1"/>
  <c r="U16" i="1"/>
  <c r="R16" i="1"/>
  <c r="N16" i="1"/>
  <c r="L16" i="1"/>
  <c r="U15" i="1"/>
  <c r="R15" i="1"/>
  <c r="N15" i="1"/>
  <c r="L15" i="1"/>
  <c r="J15" i="1"/>
  <c r="E15" i="1"/>
  <c r="U14" i="1"/>
  <c r="R14" i="1"/>
  <c r="N14" i="1"/>
  <c r="M14" i="1"/>
  <c r="L14" i="1"/>
  <c r="A14" i="1"/>
  <c r="X13" i="1"/>
  <c r="U13" i="1"/>
  <c r="N13" i="1"/>
  <c r="L13" i="1"/>
  <c r="N12" i="1"/>
  <c r="M12" i="1"/>
  <c r="M13" i="1" s="1"/>
  <c r="L12" i="1"/>
  <c r="U11" i="1"/>
  <c r="R11" i="1"/>
  <c r="N11" i="1"/>
  <c r="N100" i="1" s="1"/>
  <c r="L11" i="1"/>
  <c r="A11" i="1"/>
  <c r="R10" i="1"/>
  <c r="N10" i="1"/>
  <c r="L10" i="1"/>
  <c r="N9" i="1"/>
  <c r="U8" i="1"/>
  <c r="R8" i="1"/>
  <c r="N8" i="1"/>
  <c r="L8" i="1"/>
  <c r="U7" i="1"/>
  <c r="R7" i="1"/>
  <c r="N7" i="1"/>
  <c r="M7" i="1"/>
  <c r="L7" i="1"/>
  <c r="K7" i="1"/>
  <c r="J7" i="1"/>
  <c r="J8" i="1" s="1"/>
  <c r="J10" i="1" s="1"/>
  <c r="J11" i="1" s="1"/>
  <c r="J12" i="1" s="1"/>
  <c r="J13" i="1" s="1"/>
  <c r="J23" i="1" s="1"/>
  <c r="J25" i="1" s="1"/>
  <c r="J26" i="1" s="1"/>
  <c r="U6" i="1"/>
  <c r="R6" i="1"/>
  <c r="N6" i="1"/>
  <c r="L6" i="1"/>
  <c r="N5" i="1"/>
  <c r="L5" i="1"/>
  <c r="U3" i="1"/>
  <c r="R3" i="1"/>
  <c r="N3" i="1"/>
  <c r="L3" i="1"/>
  <c r="H3" i="1"/>
  <c r="R2" i="1"/>
  <c r="R104" i="1" s="1"/>
  <c r="L101" i="1" l="1"/>
  <c r="O3" i="1"/>
  <c r="N4" i="1"/>
  <c r="O5" i="1"/>
  <c r="R5" i="1"/>
  <c r="O6" i="1"/>
  <c r="O7" i="1"/>
  <c r="O8" i="1"/>
  <c r="O10" i="1"/>
  <c r="O11" i="1"/>
  <c r="L103" i="1"/>
  <c r="R12" i="1"/>
  <c r="O12" i="1"/>
  <c r="R13" i="1"/>
  <c r="O13" i="1"/>
  <c r="O14" i="1"/>
  <c r="O15" i="1"/>
  <c r="O16" i="1"/>
  <c r="J70" i="1"/>
  <c r="J62" i="1"/>
  <c r="O18" i="1"/>
  <c r="J32" i="1"/>
  <c r="J41" i="1" s="1"/>
  <c r="J30" i="1"/>
  <c r="J28" i="1"/>
  <c r="O20" i="1"/>
  <c r="O21" i="1"/>
  <c r="O22" i="1"/>
  <c r="O23" i="1"/>
  <c r="R25" i="1"/>
  <c r="O25" i="1"/>
  <c r="O26" i="1"/>
  <c r="O28" i="1"/>
  <c r="O30" i="1"/>
  <c r="O32" i="1"/>
  <c r="O33" i="1"/>
  <c r="O34" i="1"/>
  <c r="J48" i="1"/>
  <c r="J38" i="1"/>
  <c r="J42" i="1" s="1"/>
  <c r="J45" i="1" s="1"/>
  <c r="J52" i="1" s="1"/>
  <c r="O36" i="1"/>
  <c r="O38" i="1"/>
  <c r="E82" i="1"/>
  <c r="E61" i="1"/>
  <c r="O39" i="1"/>
  <c r="O41" i="1"/>
  <c r="L100" i="1"/>
  <c r="O42" i="1"/>
  <c r="O43" i="1"/>
  <c r="R45" i="1"/>
  <c r="O45" i="1"/>
  <c r="O46" i="1"/>
  <c r="O48" i="1"/>
  <c r="O50" i="1"/>
  <c r="O52" i="1"/>
  <c r="N103" i="1"/>
  <c r="R52" i="1"/>
  <c r="O53" i="1"/>
  <c r="O54" i="1"/>
  <c r="O55" i="1"/>
  <c r="O56" i="1"/>
  <c r="O58" i="1"/>
  <c r="R59" i="1"/>
  <c r="O59" i="1"/>
  <c r="O60" i="1"/>
  <c r="O61" i="1"/>
  <c r="O62" i="1"/>
  <c r="O64" i="1"/>
  <c r="O66" i="1"/>
  <c r="O68" i="1"/>
  <c r="O70" i="1"/>
  <c r="O72" i="1"/>
  <c r="O74" i="1"/>
  <c r="O75" i="1"/>
  <c r="O76" i="1"/>
  <c r="O77" i="1"/>
  <c r="O79" i="1"/>
  <c r="O80" i="1"/>
  <c r="O81" i="1"/>
  <c r="O82" i="1"/>
  <c r="L99" i="1"/>
  <c r="O83" i="1"/>
  <c r="O84" i="1"/>
  <c r="O86" i="1"/>
  <c r="O87" i="1"/>
  <c r="O89" i="1"/>
  <c r="O92" i="1"/>
  <c r="O94" i="1"/>
  <c r="S109" i="1"/>
  <c r="K137" i="1"/>
  <c r="S94" i="1" l="1"/>
  <c r="Q92" i="1"/>
  <c r="S92" i="1"/>
  <c r="T92" i="1" s="1"/>
  <c r="Q89" i="1"/>
  <c r="S89" i="1"/>
  <c r="Q87" i="1"/>
  <c r="S87" i="1"/>
  <c r="T87" i="1" s="1"/>
  <c r="Q86" i="1"/>
  <c r="S86" i="1"/>
  <c r="Q84" i="1"/>
  <c r="S84" i="1"/>
  <c r="S83" i="1"/>
  <c r="T83" i="1" s="1"/>
  <c r="Q82" i="1"/>
  <c r="S82" i="1"/>
  <c r="T82" i="1" s="1"/>
  <c r="Q81" i="1"/>
  <c r="S81" i="1"/>
  <c r="T81" i="1" s="1"/>
  <c r="Q80" i="1"/>
  <c r="S80" i="1"/>
  <c r="T80" i="1" s="1"/>
  <c r="Q79" i="1"/>
  <c r="S79" i="1"/>
  <c r="T79" i="1" s="1"/>
  <c r="Q77" i="1"/>
  <c r="S77" i="1"/>
  <c r="T77" i="1" s="1"/>
  <c r="Q76" i="1"/>
  <c r="S76" i="1"/>
  <c r="Q75" i="1"/>
  <c r="S75" i="1"/>
  <c r="Q74" i="1"/>
  <c r="S74" i="1"/>
  <c r="T74" i="1" s="1"/>
  <c r="Q72" i="1"/>
  <c r="S72" i="1"/>
  <c r="T72" i="1" s="1"/>
  <c r="Q70" i="1"/>
  <c r="S70" i="1"/>
  <c r="T70" i="1" s="1"/>
  <c r="Q68" i="1"/>
  <c r="S68" i="1"/>
  <c r="T68" i="1" s="1"/>
  <c r="Q66" i="1"/>
  <c r="S66" i="1"/>
  <c r="T66" i="1" s="1"/>
  <c r="Q64" i="1"/>
  <c r="S64" i="1"/>
  <c r="T64" i="1" s="1"/>
  <c r="Q62" i="1"/>
  <c r="S62" i="1"/>
  <c r="T62" i="1" s="1"/>
  <c r="Q61" i="1"/>
  <c r="S61" i="1"/>
  <c r="Q60" i="1"/>
  <c r="S60" i="1"/>
  <c r="T60" i="1" s="1"/>
  <c r="Q59" i="1"/>
  <c r="S59" i="1"/>
  <c r="T59" i="1" s="1"/>
  <c r="Q58" i="1"/>
  <c r="S58" i="1"/>
  <c r="T58" i="1" s="1"/>
  <c r="Q56" i="1"/>
  <c r="S56" i="1"/>
  <c r="T56" i="1" s="1"/>
  <c r="Q55" i="1"/>
  <c r="S55" i="1"/>
  <c r="T55" i="1" s="1"/>
  <c r="Q54" i="1"/>
  <c r="S54" i="1"/>
  <c r="T54" i="1" s="1"/>
  <c r="Q53" i="1"/>
  <c r="S53" i="1"/>
  <c r="Q52" i="1"/>
  <c r="Q103" i="1" s="1"/>
  <c r="S52" i="1"/>
  <c r="T52" i="1" s="1"/>
  <c r="Q50" i="1"/>
  <c r="S50" i="1"/>
  <c r="T50" i="1" s="1"/>
  <c r="Q48" i="1"/>
  <c r="S48" i="1"/>
  <c r="T48" i="1" s="1"/>
  <c r="Q46" i="1"/>
  <c r="S46" i="1"/>
  <c r="T46" i="1" s="1"/>
  <c r="Q45" i="1"/>
  <c r="S45" i="1"/>
  <c r="T45" i="1" s="1"/>
  <c r="Q43" i="1"/>
  <c r="S43" i="1"/>
  <c r="T43" i="1" s="1"/>
  <c r="Q42" i="1"/>
  <c r="S42" i="1"/>
  <c r="T42" i="1" s="1"/>
  <c r="Q41" i="1"/>
  <c r="S41" i="1"/>
  <c r="T41" i="1" s="1"/>
  <c r="Q39" i="1"/>
  <c r="S39" i="1"/>
  <c r="T39" i="1" s="1"/>
  <c r="Q38" i="1"/>
  <c r="S38" i="1"/>
  <c r="T38" i="1" s="1"/>
  <c r="Q36" i="1"/>
  <c r="S36" i="1"/>
  <c r="T36" i="1" s="1"/>
  <c r="Q34" i="1"/>
  <c r="S34" i="1"/>
  <c r="Q33" i="1"/>
  <c r="S33" i="1"/>
  <c r="T33" i="1" s="1"/>
  <c r="Q32" i="1"/>
  <c r="S32" i="1"/>
  <c r="T32" i="1" s="1"/>
  <c r="Q30" i="1"/>
  <c r="S30" i="1"/>
  <c r="T30" i="1" s="1"/>
  <c r="Q28" i="1"/>
  <c r="S28" i="1"/>
  <c r="T28" i="1" s="1"/>
  <c r="Q26" i="1"/>
  <c r="S26" i="1"/>
  <c r="T26" i="1" s="1"/>
  <c r="Q25" i="1"/>
  <c r="S25" i="1"/>
  <c r="T25" i="1" s="1"/>
  <c r="Q23" i="1"/>
  <c r="S23" i="1"/>
  <c r="T23" i="1" s="1"/>
  <c r="S22" i="1"/>
  <c r="Q21" i="1"/>
  <c r="S21" i="1"/>
  <c r="T21" i="1" s="1"/>
  <c r="Q20" i="1"/>
  <c r="S20" i="1"/>
  <c r="T20" i="1" s="1"/>
  <c r="Q18" i="1"/>
  <c r="S18" i="1"/>
  <c r="T18" i="1" s="1"/>
  <c r="J77" i="1"/>
  <c r="J64" i="1"/>
  <c r="J66" i="1" s="1"/>
  <c r="J68" i="1" s="1"/>
  <c r="Q16" i="1"/>
  <c r="S16" i="1"/>
  <c r="T16" i="1" s="1"/>
  <c r="Q15" i="1"/>
  <c r="S15" i="1"/>
  <c r="T15" i="1" s="1"/>
  <c r="Q14" i="1"/>
  <c r="S14" i="1"/>
  <c r="T14" i="1" s="1"/>
  <c r="Q13" i="1"/>
  <c r="S13" i="1"/>
  <c r="T13" i="1" s="1"/>
  <c r="Q12" i="1"/>
  <c r="S12" i="1"/>
  <c r="T12" i="1" s="1"/>
  <c r="L106" i="1"/>
  <c r="I103" i="1"/>
  <c r="I109" i="1" s="1"/>
  <c r="Q11" i="1"/>
  <c r="S11" i="1"/>
  <c r="Q10" i="1"/>
  <c r="S10" i="1"/>
  <c r="T10" i="1" s="1"/>
  <c r="Q8" i="1"/>
  <c r="S8" i="1"/>
  <c r="T8" i="1" s="1"/>
  <c r="Q7" i="1"/>
  <c r="S7" i="1"/>
  <c r="T7" i="1" s="1"/>
  <c r="Q6" i="1"/>
  <c r="S6" i="1"/>
  <c r="T6" i="1" s="1"/>
  <c r="Q5" i="1"/>
  <c r="S5" i="1"/>
  <c r="T5" i="1" s="1"/>
  <c r="L102" i="1"/>
  <c r="L107" i="1" s="1"/>
  <c r="N101" i="1"/>
  <c r="N102" i="1" s="1"/>
  <c r="N107" i="1" s="1"/>
  <c r="S3" i="1"/>
  <c r="N111" i="1"/>
  <c r="Q3" i="1"/>
  <c r="L111" i="1"/>
  <c r="S108" i="1"/>
  <c r="S111" i="1" s="1"/>
  <c r="S97" i="1"/>
  <c r="O110" i="1" l="1"/>
  <c r="O107" i="1"/>
  <c r="S105" i="1"/>
  <c r="S104" i="1"/>
  <c r="T97" i="1"/>
  <c r="R107" i="1"/>
  <c r="Q115" i="1"/>
  <c r="R115" i="1" s="1"/>
  <c r="O100" i="1"/>
  <c r="I110" i="1"/>
  <c r="R105" i="1"/>
  <c r="R101" i="1"/>
  <c r="R97" i="1"/>
  <c r="U34" i="1"/>
  <c r="T34" i="1"/>
  <c r="Q116" i="1"/>
  <c r="R116" i="1" s="1"/>
  <c r="Q106" i="1"/>
  <c r="O103" i="1"/>
  <c r="O106" i="1" s="1"/>
  <c r="U61" i="1"/>
  <c r="T61" i="1"/>
  <c r="U109" i="1" l="1"/>
  <c r="R109" i="1"/>
  <c r="R111" i="1"/>
  <c r="K115" i="1"/>
  <c r="I111" i="1"/>
  <c r="O109" i="1"/>
  <c r="O111" i="1" s="1"/>
  <c r="Q97" i="1"/>
  <c r="R114" i="1"/>
  <c r="R119" i="1" l="1"/>
  <c r="Q114" i="1"/>
  <c r="Q99" i="1"/>
  <c r="Q98" i="1"/>
  <c r="Q102" i="1" s="1"/>
  <c r="Q107" i="1" s="1"/>
  <c r="O97" i="1"/>
  <c r="K138" i="1"/>
  <c r="K120" i="1"/>
  <c r="L118" i="1"/>
  <c r="K118" i="1"/>
  <c r="K116" i="1"/>
  <c r="L116" i="1" s="1"/>
  <c r="L115" i="1"/>
  <c r="K123" i="1" l="1"/>
  <c r="K121" i="1"/>
  <c r="L120" i="1"/>
  <c r="L121" i="1" s="1"/>
  <c r="K139" i="1"/>
  <c r="L127" i="1"/>
  <c r="L130" i="1"/>
  <c r="L129" i="1"/>
  <c r="L132" i="1"/>
  <c r="L128" i="1"/>
  <c r="L131" i="1"/>
  <c r="L133" i="1"/>
  <c r="L134" i="1"/>
  <c r="L135" i="1"/>
  <c r="L136" i="1"/>
  <c r="O99" i="1"/>
  <c r="O98" i="1"/>
  <c r="O102" i="1" s="1"/>
  <c r="L137" i="1" l="1"/>
  <c r="L138" i="1" s="1"/>
  <c r="K124" i="1"/>
  <c r="L124" i="1" s="1"/>
  <c r="L123" i="1"/>
</calcChain>
</file>

<file path=xl/sharedStrings.xml><?xml version="1.0" encoding="utf-8"?>
<sst xmlns="http://schemas.openxmlformats.org/spreadsheetml/2006/main" count="698" uniqueCount="312">
  <si>
    <t>MENU PRINCIPAL</t>
  </si>
  <si>
    <t>JUNHO</t>
  </si>
  <si>
    <t>RECEBIMENTOS</t>
  </si>
  <si>
    <t xml:space="preserve">RACHADINHA </t>
  </si>
  <si>
    <t>PART.</t>
  </si>
  <si>
    <t>VALOR</t>
  </si>
  <si>
    <t xml:space="preserve">ESCRITÓRIO </t>
  </si>
  <si>
    <t>SOMATÓRIA</t>
  </si>
  <si>
    <t>DATA PAGTO</t>
  </si>
  <si>
    <t>NUM.PAG.</t>
  </si>
  <si>
    <t>POSIÇÃO</t>
  </si>
  <si>
    <t>CLIENTE</t>
  </si>
  <si>
    <t>ÁREA JURÍDICA</t>
  </si>
  <si>
    <t xml:space="preserve">DESCRIÇÃO DOS SERVIÇOS </t>
  </si>
  <si>
    <t>VALOR CONTRATO</t>
  </si>
  <si>
    <t>PAGAMENTO</t>
  </si>
  <si>
    <t>VALOR RECEBIDO</t>
  </si>
  <si>
    <t>FORMA PAGTO</t>
  </si>
  <si>
    <t xml:space="preserve">CAPTAÇÃO  </t>
  </si>
  <si>
    <t>ATUAÇÃO TÉCNICA</t>
  </si>
  <si>
    <t>CONFERENCIA</t>
  </si>
  <si>
    <t>SALDO A RECEBER</t>
  </si>
  <si>
    <t>PARCELA</t>
  </si>
  <si>
    <t>CONTRATO</t>
  </si>
  <si>
    <t>OBSERVAÇÕES</t>
  </si>
  <si>
    <t>RECEBIDO</t>
  </si>
  <si>
    <t>AMANDA MIRANDA DO PRADO MANZATO</t>
  </si>
  <si>
    <t>FAMÍLIA</t>
  </si>
  <si>
    <t xml:space="preserve"> DIVÓRCIO CONSENSUAL</t>
  </si>
  <si>
    <t>BOLETO PJ JS</t>
  </si>
  <si>
    <t>EDUARDO</t>
  </si>
  <si>
    <t>J.S</t>
  </si>
  <si>
    <t>PARCELA 02 DE 06 (R$250,00)</t>
  </si>
  <si>
    <t>PARCELA REF. MAIO 24</t>
  </si>
  <si>
    <t>NELSON PESTANA</t>
  </si>
  <si>
    <t>CÍVEL</t>
  </si>
  <si>
    <t>CONT. COBR. HON. SUC.</t>
  </si>
  <si>
    <t>ENTR. R$ 2.500,00 + 2 X R$1.035,00</t>
  </si>
  <si>
    <t>PIX JS PJ</t>
  </si>
  <si>
    <t>JÉTER</t>
  </si>
  <si>
    <t>JETER</t>
  </si>
  <si>
    <t>PARCELA 02 DE 02 R$1.035,00</t>
  </si>
  <si>
    <t>COMPL. CONTRATO</t>
  </si>
  <si>
    <t>MARINA RODRIGUES FROES DA CUNHA</t>
  </si>
  <si>
    <t>CRIMINAL</t>
  </si>
  <si>
    <t>QUEIXA CRIME</t>
  </si>
  <si>
    <t>ENTRADA R$305,00 + 18 X R$205,00</t>
  </si>
  <si>
    <t>PARCELA 04 DE 18 - RENEGOCIAÇÃO</t>
  </si>
  <si>
    <t>CONTRATO DEZEMBRO 2023</t>
  </si>
  <si>
    <t xml:space="preserve"> FÁTIMA ROSA ABÍLIO DE PAULA</t>
  </si>
  <si>
    <t>SUCESSÕES</t>
  </si>
  <si>
    <t xml:space="preserve">INV. EXTRAJUDICIAL/ </t>
  </si>
  <si>
    <t>4 X R$1.000,00</t>
  </si>
  <si>
    <t>PARCELA 3 DE 4</t>
  </si>
  <si>
    <t>CONTRATO ABRIL 2024</t>
  </si>
  <si>
    <t>MOISÉS ROCHA DE OLIVEIRA + ANDIARA</t>
  </si>
  <si>
    <t>CONTESTAÇÃO / REINTEGRAÇÃO POSSE</t>
  </si>
  <si>
    <t>25 X R$200,00</t>
  </si>
  <si>
    <t>PARCELA 09 DE 25</t>
  </si>
  <si>
    <t>CONTRATO OUTUBRO 2023</t>
  </si>
  <si>
    <t>ROBSON HENRIQUE MIRANDA DE LIMA</t>
  </si>
  <si>
    <t>FAMILIA</t>
  </si>
  <si>
    <t>AÇÃO DE GUARDA COMP.C.C. REG. VISITAS</t>
  </si>
  <si>
    <t>R$500,00 + 10 X R$450,00</t>
  </si>
  <si>
    <t>CONTRATO MARÇO 2024</t>
  </si>
  <si>
    <t>FÁBIO LEANDRO JERONIMO</t>
  </si>
  <si>
    <t xml:space="preserve"> DIV. C.C GUARDA C.C REG. VISITAS</t>
  </si>
  <si>
    <t>10 X R$300,00</t>
  </si>
  <si>
    <t>SIMONE</t>
  </si>
  <si>
    <t>PARCELA 01 DE 10</t>
  </si>
  <si>
    <t>CONTRATO JUNHO</t>
  </si>
  <si>
    <t>CRISTIANO MOREIRA DE SOUZA</t>
  </si>
  <si>
    <t>CONSULTA</t>
  </si>
  <si>
    <t>PARCELA ÚNICA</t>
  </si>
  <si>
    <t>CRISTIANO</t>
  </si>
  <si>
    <t>VALOR LIQ. R$120,00</t>
  </si>
  <si>
    <t>CAPTAÇÃO EXT. 20% DR CRISTIANO</t>
  </si>
  <si>
    <t>AÇÃO RESC. CONTR. C.C DEVOL. VALOR</t>
  </si>
  <si>
    <t>ENTRADA + 4 x R$500,00</t>
  </si>
  <si>
    <t>PARCELA ENTRADA</t>
  </si>
  <si>
    <t>VALOR LIQ. R$3.200,00</t>
  </si>
  <si>
    <t>ALANA FANTINI SANTIAGO</t>
  </si>
  <si>
    <t>CUMPRIMENTO DE SENTENÇA ALIMENTOS</t>
  </si>
  <si>
    <t>PARCELAS 30% DO VALOR RECEBIDO</t>
  </si>
  <si>
    <t>PARCELA 01</t>
  </si>
  <si>
    <t>CONTRATO MAIO 2024</t>
  </si>
  <si>
    <t>HIROSHI JOSÉ IASSUNICHI</t>
  </si>
  <si>
    <t>DEFESA JEC</t>
  </si>
  <si>
    <t>1 X R$500,00 + 2X  R$350,00 + 6 X  R$300,00</t>
  </si>
  <si>
    <t>PARCELA 02 R$350,00</t>
  </si>
  <si>
    <t>CONTRATO FEVEREIRO</t>
  </si>
  <si>
    <t>LEONARDO DE SOUZA RODRIGUES DO VALE</t>
  </si>
  <si>
    <t>20 X R$250,00</t>
  </si>
  <si>
    <t>BOLETO ITAU</t>
  </si>
  <si>
    <t>JS</t>
  </si>
  <si>
    <t>PARCELA 05 DE 20</t>
  </si>
  <si>
    <t>CARLOS EDUARDO ROMUALDO DA SILVA</t>
  </si>
  <si>
    <t>REURB Q.D</t>
  </si>
  <si>
    <t xml:space="preserve"> CONSTITUIÇÃO ASSOCIAÇÃO QUEBRA DENTES</t>
  </si>
  <si>
    <t>PARCELA 01 DE 25</t>
  </si>
  <si>
    <t>APARECIDA ROSA DA SILVA OLIVEIRA</t>
  </si>
  <si>
    <t>AÇÃO DE MOD. DE CURATELA E INTERDIÇÃO</t>
  </si>
  <si>
    <t>10 X R$400,00</t>
  </si>
  <si>
    <t>PARCELA 04 DE 10</t>
  </si>
  <si>
    <t>ANDRESSA VANESSA MARINI</t>
  </si>
  <si>
    <t xml:space="preserve">AÇÃO DE GUARDA UNIL C.C. REG. VISIT. ALIMENTOS </t>
  </si>
  <si>
    <t>21 X R$ 200,00</t>
  </si>
  <si>
    <t>PARCELA 1 DE 21</t>
  </si>
  <si>
    <t>CONTRATO ABRIL 24</t>
  </si>
  <si>
    <t>SALDO PARCELA R$100,00</t>
  </si>
  <si>
    <t>CLAUDENIR PICOLOTTO</t>
  </si>
  <si>
    <t>EMPRESARIAL</t>
  </si>
  <si>
    <t xml:space="preserve">ASSESSORIA JURÍDICA IMOBILIÁRIA </t>
  </si>
  <si>
    <t>2% FAT. LIQUIDO</t>
  </si>
  <si>
    <t>CHEQUE</t>
  </si>
  <si>
    <t>ELOIZA</t>
  </si>
  <si>
    <t>RESÍDUOS SALDO DEVEDOR</t>
  </si>
  <si>
    <t>REF. MÊS MAIO 2024</t>
  </si>
  <si>
    <t>DARCI APARECIDO MANTOVANI</t>
  </si>
  <si>
    <t>PARCELA 10 DE 25</t>
  </si>
  <si>
    <t>DANIEL BENTO</t>
  </si>
  <si>
    <t>TRABALHISTA</t>
  </si>
  <si>
    <t>JOSÉ AYRES E LUCIENE</t>
  </si>
  <si>
    <t>PARCELA 13 DE 25</t>
  </si>
  <si>
    <t>CONTRATO JUNHO 2023</t>
  </si>
  <si>
    <t>LÁZARO APARECIDO SABINO</t>
  </si>
  <si>
    <t>PARCELA 02 DE 25</t>
  </si>
  <si>
    <t>MARCIA ELIANA DOS SANTOS DA SILVA</t>
  </si>
  <si>
    <t>EXTRAJUDICIAL</t>
  </si>
  <si>
    <t>DEFESA SINDICÂNCIA / P.A.D</t>
  </si>
  <si>
    <t>24 X R$250,00</t>
  </si>
  <si>
    <t>PARCELA 22 DE 24</t>
  </si>
  <si>
    <t>ELENIR MARTINS / ENZO R.M. JESUS</t>
  </si>
  <si>
    <t>CONTESTAÇÃO REVISIONAL DE GUARDA</t>
  </si>
  <si>
    <t>12 X R$200,00 BOLETO</t>
  </si>
  <si>
    <t>PARCELA 08 DE 12</t>
  </si>
  <si>
    <t>SEGUNDA ETAPA BOLETOS</t>
  </si>
  <si>
    <t>LUIS FERNANDO SOARES DA SILVA</t>
  </si>
  <si>
    <t>PREVIDENCIÁRIO</t>
  </si>
  <si>
    <t xml:space="preserve">APOSENTADORIA </t>
  </si>
  <si>
    <t>ENTRADA R$2.350,00 + 3 X R$783,50</t>
  </si>
  <si>
    <t>DINHEIRO</t>
  </si>
  <si>
    <t>ENTRADA</t>
  </si>
  <si>
    <t>RESTA 3 X R$783,50</t>
  </si>
  <si>
    <t>VITOR LEANDRO DORIGHELLO CARARETO</t>
  </si>
  <si>
    <t>INV. PATERN + REVISIONAL DE GUARDA + QUEIXA CRIME</t>
  </si>
  <si>
    <t>08 X R$500,00 + 23 X R$750,00 + 02 X R$500,00</t>
  </si>
  <si>
    <t>PARC. 21 DE 33</t>
  </si>
  <si>
    <t>* ADCIONADO 7 PARCELAS DE R$750,00 REF. QUEIXA CRIME</t>
  </si>
  <si>
    <t>NIVALDO EUGÊNIO DE MELLO /IVONETE VIEIRA DE MELLO</t>
  </si>
  <si>
    <t>ANA ROSA LOPES GUERATO - WANDERLEY GUERATO</t>
  </si>
  <si>
    <t>AÇÃO DECLARATÓRIA C.C INDENIZATÓRIA</t>
  </si>
  <si>
    <t>20 X R$500,00</t>
  </si>
  <si>
    <t>PARCELA 16 DE 20</t>
  </si>
  <si>
    <t>RICCI CONTABILIDADE LTDA</t>
  </si>
  <si>
    <t>EXECUÇÃO DE HONORÁRIOS ALTOTEC</t>
  </si>
  <si>
    <t>33 X R$360,00</t>
  </si>
  <si>
    <t xml:space="preserve">PARCELA 06 DE 33 </t>
  </si>
  <si>
    <t>ACORDO HOMOLOGADO (20%)</t>
  </si>
  <si>
    <t>PAGTO ALTOTEC PARCELA ABRIL  2024</t>
  </si>
  <si>
    <t>ELOÍZA</t>
  </si>
  <si>
    <t>CASSIA REGINA PIRES</t>
  </si>
  <si>
    <t>AÇÃO DE INVENTÁRIO/ARROLAMENTO</t>
  </si>
  <si>
    <t>16 X 312,50 VIA BOL. - VENC DIA 10</t>
  </si>
  <si>
    <t>PARCELA 11 DE 16</t>
  </si>
  <si>
    <t>SUSIMARA DE LIMA DA CRUZ</t>
  </si>
  <si>
    <t xml:space="preserve">AÇÃO DE RESC. CONTR. C.C INEX. DÉB. C.C IND. MOR. MAT. </t>
  </si>
  <si>
    <t>PRÓ-EXITO</t>
  </si>
  <si>
    <t>10% ANTECIPADO + 20 PRÓ-EXITO</t>
  </si>
  <si>
    <t>20% PRÓ-EXITO</t>
  </si>
  <si>
    <t>ANTECIPAÇÃO 10%</t>
  </si>
  <si>
    <t>CONTRATO JUNHO 2024</t>
  </si>
  <si>
    <t>HONORÁRIOS DE SUCUMBÊNCIA</t>
  </si>
  <si>
    <t>DEP. JUD. CONTA PF. JS</t>
  </si>
  <si>
    <t>LUCIANA MARABELI</t>
  </si>
  <si>
    <t>HABILITAÇÃO CRÉDITO TRABALHISTA</t>
  </si>
  <si>
    <t>MARIA REGINA BORT CARDOSO DE FARIA</t>
  </si>
  <si>
    <t>AÇÃO JUDICIAL SOBREPARTILHA</t>
  </si>
  <si>
    <t>12 X R$500,00</t>
  </si>
  <si>
    <t>PARCELA 01 DE 12</t>
  </si>
  <si>
    <t>LUIS CARLOS COSTA</t>
  </si>
  <si>
    <t xml:space="preserve"> CONSTITUIÇÃO ASSOCIAÇÃO QUEBRA DESTES</t>
  </si>
  <si>
    <t>HELP BOMBAS</t>
  </si>
  <si>
    <t>ACORDO JUDICIAL EM EXECUÇÃO SENTENÇA</t>
  </si>
  <si>
    <t>PRÓ EXITO 30% (PARCELADO VÁRIOS CHEQUES)</t>
  </si>
  <si>
    <t>PARCELA 04</t>
  </si>
  <si>
    <t>EDMILSON DOS SANTOS DA SILVA</t>
  </si>
  <si>
    <t xml:space="preserve">AUXÍLIO DOENÇA </t>
  </si>
  <si>
    <t xml:space="preserve"> R$1.400,00 +  30% Atrasados + R$1.000,00</t>
  </si>
  <si>
    <t>RESTA 30% ATRASADOS + R$1.000,00</t>
  </si>
  <si>
    <t>RODRIGO LIRA DE SOUZA</t>
  </si>
  <si>
    <t>OFERTA DE ALIMENTOS /GUARDA /VISITAS</t>
  </si>
  <si>
    <t>14 X R$300,00</t>
  </si>
  <si>
    <t>PARCELA 04 DE 14</t>
  </si>
  <si>
    <t>JOÃO GILBERTO DE MOURA</t>
  </si>
  <si>
    <t>DEFESA RECLAMAÇÃO TRABALHISTA</t>
  </si>
  <si>
    <t>PARCELA 7 DE 10</t>
  </si>
  <si>
    <t xml:space="preserve">SANDRO ROGERIO DOS SANTOS </t>
  </si>
  <si>
    <t>CONTRATO CESSÃO DE DIREITOS DE POSSE</t>
  </si>
  <si>
    <t>FERNANDA NUNES FRAGA</t>
  </si>
  <si>
    <t>PG O2 PARC. / O2 CONTR.</t>
  </si>
  <si>
    <t>EDSON HENRIQUE BOLANDIM</t>
  </si>
  <si>
    <t>PRESTAÇÃO DE CONTAS - EXTRAJUDICIAL</t>
  </si>
  <si>
    <t>BRUNO CARLOS SILVA DE ARAÚJO</t>
  </si>
  <si>
    <t>REQUERIMENTO EXTINÇÃO PUNIBILIDADE</t>
  </si>
  <si>
    <t>4 X R$250,00</t>
  </si>
  <si>
    <t>PAGTO PARCELA 02 DE 04</t>
  </si>
  <si>
    <t>ASSESSORIA EMPRESARIAL</t>
  </si>
  <si>
    <t>12 X R$873,00</t>
  </si>
  <si>
    <t xml:space="preserve">PARCELA 06 DE 12 </t>
  </si>
  <si>
    <t>CONTRATO RENOVADO OUT. 23</t>
  </si>
  <si>
    <t>MÁRCIA APARECIDA SANTOS LORCA</t>
  </si>
  <si>
    <t>CARLA SILVA DOS SANTOS ISMARSI</t>
  </si>
  <si>
    <t>FELIPE RENATO DA SILVA</t>
  </si>
  <si>
    <t>JOSÉ APARECIDO RODRIGUES</t>
  </si>
  <si>
    <t>EDMAR PEREIRA BATISTA</t>
  </si>
  <si>
    <t>PARCELAs 06 a 09 DE 25</t>
  </si>
  <si>
    <t>PAGOU PARCELAS MARÇO A JUNHO 24</t>
  </si>
  <si>
    <t>MICHELE GRACIANO MONTEIRO</t>
  </si>
  <si>
    <t xml:space="preserve">AÇÃO DE GUARDA UNIL. C.C. REG. VIS, C.C ALIMENTOS </t>
  </si>
  <si>
    <t>PARCELA 03 DE 14</t>
  </si>
  <si>
    <t>CONTRATO EM FEVEREIRO</t>
  </si>
  <si>
    <t>JOSÉ DO CARMO PIRES</t>
  </si>
  <si>
    <t>CONTESTAÇÃO AÇÃO INDENIZATÓRIA</t>
  </si>
  <si>
    <t xml:space="preserve">PARCELA 02 DE 06 </t>
  </si>
  <si>
    <t>CARLOS EDUARDO RIBEIRO</t>
  </si>
  <si>
    <t>IMOBILIÁRIO</t>
  </si>
  <si>
    <t>AÇÃO DE OBRIGAÇÃO DE FAZER</t>
  </si>
  <si>
    <t>DEP. JUD. CONTA PJ. JS</t>
  </si>
  <si>
    <t>LOURIVAL JOAQUIM DE OLIVEIRA</t>
  </si>
  <si>
    <t>CRISTIANE DE OLIVEIRA DE SOUZA</t>
  </si>
  <si>
    <t>AÇÃO DE DIVÓRCIO GUARDA VISITAS E ALIMENTOS</t>
  </si>
  <si>
    <t xml:space="preserve"> ENTRADA 500 E MAIS 12 X 500</t>
  </si>
  <si>
    <t>BOLETO PJ ITAÚ</t>
  </si>
  <si>
    <t>PARCELA 08 DE 13</t>
  </si>
  <si>
    <t>CONTRATO NOVEMBRO 2023</t>
  </si>
  <si>
    <t>REF. PARCELA JUNHO 2024</t>
  </si>
  <si>
    <t>GABRIEL DALBÃO RODRIGUES</t>
  </si>
  <si>
    <t xml:space="preserve"> RECLAMAÇÃO TRABALHISTA X KATIA BATALHA</t>
  </si>
  <si>
    <t>8 X R$300,00 + R$364,00 SUCUMBENCIA</t>
  </si>
  <si>
    <t>PARCELA 6  DE 8</t>
  </si>
  <si>
    <t>PRÓ EXITO 30%</t>
  </si>
  <si>
    <t>PAGOU R$500,00 PARA COMPENSAÇÃO</t>
  </si>
  <si>
    <t>ALEXANDRE VITORINA DA MOTA</t>
  </si>
  <si>
    <t>REQ. CONCESSÃO BENEFÍCIO</t>
  </si>
  <si>
    <t>PRÓ-EXITO 30% + 1 BENEFÍCIO</t>
  </si>
  <si>
    <t>W SITA LTDA</t>
  </si>
  <si>
    <t>12 x R$ 1.900</t>
  </si>
  <si>
    <t>PARCELA 09 DE 12</t>
  </si>
  <si>
    <t>CONTRATO RENOV. 01/09/2023</t>
  </si>
  <si>
    <t>PARCELA REF. JANEIRO 2024</t>
  </si>
  <si>
    <t>TRIBUTÁRIO</t>
  </si>
  <si>
    <t>IMPUGNAÇÃO BLOQUEIO DE ATIVOS FINANCEIROS</t>
  </si>
  <si>
    <t>5 X R$700,00</t>
  </si>
  <si>
    <t>PARCELA 02 DE 05</t>
  </si>
  <si>
    <t>REF. PARCELA ABRIL 2024</t>
  </si>
  <si>
    <t>ANDERSON MANZATO</t>
  </si>
  <si>
    <t>PARCELA 03 DE 06 (R$250,00)</t>
  </si>
  <si>
    <t>MARCOS SPITZER</t>
  </si>
  <si>
    <t>PARCELADO</t>
  </si>
  <si>
    <t>PIX PJ ITAÚ</t>
  </si>
  <si>
    <t>PARCELA 02</t>
  </si>
  <si>
    <t>ISMAEL APARECIDO DA SILVA</t>
  </si>
  <si>
    <t>AMANDA MANZATO</t>
  </si>
  <si>
    <t>EDIMILSON PEREIRA DE SOUZA</t>
  </si>
  <si>
    <t>PARCELA 03 DE 25</t>
  </si>
  <si>
    <t>REF. MÊS JUNHO 2024</t>
  </si>
  <si>
    <t>VALOR BRUTO RECEBIDO</t>
  </si>
  <si>
    <t>SUBTOTAL 1</t>
  </si>
  <si>
    <t>CAPTAÇÃO EXTERNA</t>
  </si>
  <si>
    <t>ITABERABA</t>
  </si>
  <si>
    <t>LORRAINE</t>
  </si>
  <si>
    <t>RACHADINHA EXTERNA</t>
  </si>
  <si>
    <t>TOTAL GERAL</t>
  </si>
  <si>
    <t>PAGAMENTO CONFERIDO</t>
  </si>
  <si>
    <t>RESERVA JS ADV.</t>
  </si>
  <si>
    <t>VALOR LIQUIDO RECEBIDO</t>
  </si>
  <si>
    <t>VR. PARTILHAR</t>
  </si>
  <si>
    <t>EXPECTATIVA</t>
  </si>
  <si>
    <t>RACHADINHA 3</t>
  </si>
  <si>
    <t>J.S / JÉTER/ ELOIZA</t>
  </si>
  <si>
    <t>RACHADINHA 4</t>
  </si>
  <si>
    <t>PART. SIMONE</t>
  </si>
  <si>
    <t>RESULTADO MÊS</t>
  </si>
  <si>
    <t>PART. CRIS</t>
  </si>
  <si>
    <t>TOTAL PAGANTES</t>
  </si>
  <si>
    <t>20 DIAS UTÉIS</t>
  </si>
  <si>
    <t>RACHADINHA 5</t>
  </si>
  <si>
    <t>PART. SIMONE + CRIS</t>
  </si>
  <si>
    <t>MÉDIA PAGANTES</t>
  </si>
  <si>
    <t>RACHADINHA 6</t>
  </si>
  <si>
    <t>PART. SIM.+CRIS+EDÚ</t>
  </si>
  <si>
    <t>EXPECTATIVA ACUMULADA</t>
  </si>
  <si>
    <t>ACUMULADO</t>
  </si>
  <si>
    <t>SUPERAVIT</t>
  </si>
  <si>
    <t>MEDIA MENSAL</t>
  </si>
  <si>
    <t>PROBABILIDADE</t>
  </si>
  <si>
    <t xml:space="preserve"> ÁREAS DE AT. JURÍDICA</t>
  </si>
  <si>
    <t>PERCENTUAL</t>
  </si>
  <si>
    <t>CIVEL</t>
  </si>
  <si>
    <t xml:space="preserve"> EMPRES / TRIBUTÁRIO</t>
  </si>
  <si>
    <t>TOTAL</t>
  </si>
  <si>
    <t>RECEITA BRUTA</t>
  </si>
  <si>
    <t>Conferência</t>
  </si>
  <si>
    <t>ARISTIDES ALVES DA SILVA</t>
  </si>
  <si>
    <t>AÇÃO REVISIONAL DE ALIMENTOS</t>
  </si>
  <si>
    <t>ENTRADA R$1.000,00 + 17 X R$500,00</t>
  </si>
  <si>
    <t>03/07/204</t>
  </si>
  <si>
    <t>PIX PJ ITÁU / SILVANA</t>
  </si>
  <si>
    <t>PARCELA 03 DE 17 R$500,00</t>
  </si>
  <si>
    <t>PARC. 03 DE 10 R$450,00</t>
  </si>
  <si>
    <t>6 X R$250,00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</si>
</sst>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22"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rgb="FF80008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theme="0"/>
      <name val="Calibri"/>
      <family val="2"/>
    </font>
    <font>
      <sz val="10"/>
      <color rgb="FF000000"/>
      <name val="Calibri"/>
      <family val="2"/>
    </font>
    <font>
      <b/>
      <sz val="10"/>
      <color theme="0"/>
      <name val="Calibri"/>
      <family val="2"/>
    </font>
    <font>
      <b/>
      <sz val="11"/>
      <color rgb="FF7030A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rgb="FF00B05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82299264503923"/>
        <bgColor rgb="FF00B050"/>
      </patternFill>
    </fill>
    <fill>
      <patternFill patternType="solid">
        <fgColor rgb="FFA9D08E"/>
        <bgColor indexed="64"/>
      </patternFill>
    </fill>
    <fill>
      <patternFill patternType="solid">
        <fgColor theme="1" tint="0.1498458815271462"/>
        <bgColor rgb="FF3F3151"/>
      </patternFill>
    </fill>
    <fill>
      <patternFill patternType="solid">
        <fgColor theme="1" tint="0.1498458815271462"/>
        <bgColor indexed="64"/>
      </patternFill>
    </fill>
    <fill>
      <patternFill patternType="solid">
        <fgColor rgb="FF7030A0"/>
        <bgColor rgb="FF7030A0"/>
      </patternFill>
    </fill>
    <fill>
      <patternFill patternType="solid">
        <fgColor theme="0"/>
        <bgColor rgb="FF7030A0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rgb="FF00FF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7C8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CC"/>
        <bgColor rgb="FFFFFF00"/>
      </patternFill>
    </fill>
    <fill>
      <patternFill patternType="solid">
        <fgColor rgb="FF00B0F0"/>
        <bgColor rgb="FF00B050"/>
      </patternFill>
    </fill>
    <fill>
      <patternFill patternType="solid">
        <fgColor rgb="FF00FFCC"/>
        <bgColor rgb="FF00B050"/>
      </patternFill>
    </fill>
    <fill>
      <patternFill patternType="solid">
        <fgColor rgb="FFFF3399"/>
        <bgColor rgb="FF3F3151"/>
      </patternFill>
    </fill>
    <fill>
      <patternFill patternType="solid">
        <fgColor rgb="FFFF3399"/>
        <bgColor indexed="64"/>
      </patternFill>
    </fill>
    <fill>
      <patternFill patternType="solid">
        <fgColor rgb="FFFF99CC"/>
        <bgColor rgb="FF00B050"/>
      </patternFill>
    </fill>
    <fill>
      <patternFill patternType="solid">
        <fgColor theme="1"/>
        <bgColor rgb="FF00B050"/>
      </patternFill>
    </fill>
    <fill>
      <patternFill patternType="solid">
        <fgColor rgb="FF760000"/>
        <bgColor rgb="FF974806"/>
      </patternFill>
    </fill>
    <fill>
      <patternFill patternType="solid">
        <fgColor rgb="FF00B050"/>
        <bgColor rgb="FF974806"/>
      </patternFill>
    </fill>
    <fill>
      <patternFill patternType="solid">
        <fgColor rgb="FF800000"/>
        <bgColor indexed="64"/>
      </patternFill>
    </fill>
    <fill>
      <patternFill patternType="solid">
        <fgColor theme="8" tint="0.39982299264503923"/>
        <bgColor rgb="FF009900"/>
      </patternFill>
    </fill>
    <fill>
      <patternFill patternType="solid">
        <fgColor rgb="FFC6E0B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800000"/>
        <bgColor rgb="FF974806"/>
      </patternFill>
    </fill>
    <fill>
      <patternFill patternType="solid">
        <fgColor rgb="FF9BC2E6"/>
        <bgColor rgb="FF009900"/>
      </patternFill>
    </fill>
    <fill>
      <patternFill patternType="solid">
        <fgColor rgb="FF760000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85351115451523"/>
        <bgColor rgb="FF009900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3399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rgb="FFA9D08E"/>
        <bgColor rgb="FF00B050"/>
      </patternFill>
    </fill>
    <fill>
      <patternFill patternType="solid">
        <fgColor rgb="FFF8CBAD"/>
        <bgColor indexed="64"/>
      </patternFill>
    </fill>
    <fill>
      <patternFill patternType="solid">
        <fgColor rgb="FFFF0066"/>
        <bgColor rgb="FFE36C09"/>
      </patternFill>
    </fill>
    <fill>
      <patternFill patternType="solid">
        <fgColor rgb="FFFFCC00"/>
        <bgColor indexed="64"/>
      </patternFill>
    </fill>
    <fill>
      <patternFill patternType="solid">
        <fgColor theme="9" tint="0.39982299264503923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8" tint="0.39991454817346722"/>
        <bgColor rgb="FF009900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00B05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9" fillId="0" borderId="0" applyNumberFormat="0" applyFill="0" applyBorder="0" applyAlignment="0" applyProtection="0"/>
    <xf numFmtId="44" fontId="20" fillId="0" borderId="0" applyFont="0" applyFill="0" applyBorder="0" applyAlignment="0" applyProtection="0"/>
  </cellStyleXfs>
  <cellXfs count="32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4" fillId="4" borderId="1" xfId="3" applyFont="1" applyFill="1" applyBorder="1"/>
    <xf numFmtId="164" fontId="5" fillId="5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14" fontId="5" fillId="2" borderId="1" xfId="0" applyNumberFormat="1" applyFont="1" applyFill="1" applyBorder="1" applyAlignment="1">
      <alignment horizontal="center"/>
    </xf>
    <xf numFmtId="164" fontId="8" fillId="6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164" fontId="8" fillId="0" borderId="1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164" fontId="9" fillId="9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justify" vertical="center"/>
    </xf>
    <xf numFmtId="164" fontId="5" fillId="7" borderId="1" xfId="0" applyNumberFormat="1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/>
    <xf numFmtId="0" fontId="5" fillId="3" borderId="1" xfId="0" applyFont="1" applyFill="1" applyBorder="1"/>
    <xf numFmtId="0" fontId="5" fillId="10" borderId="1" xfId="0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/>
    </xf>
    <xf numFmtId="0" fontId="8" fillId="6" borderId="1" xfId="0" applyFont="1" applyFill="1" applyBorder="1" applyAlignment="1">
      <alignment horizontal="center"/>
    </xf>
    <xf numFmtId="164" fontId="8" fillId="11" borderId="1" xfId="0" applyNumberFormat="1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14" fontId="5" fillId="14" borderId="1" xfId="0" applyNumberFormat="1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2" xfId="0" applyFont="1" applyBorder="1"/>
    <xf numFmtId="14" fontId="5" fillId="2" borderId="0" xfId="0" applyNumberFormat="1" applyFont="1" applyFill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0" fillId="0" borderId="1" xfId="0" applyFont="1" applyBorder="1"/>
    <xf numFmtId="0" fontId="9" fillId="1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164" fontId="5" fillId="13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8" fillId="8" borderId="1" xfId="0" applyNumberFormat="1" applyFont="1" applyFill="1" applyBorder="1" applyAlignment="1">
      <alignment horizontal="center"/>
    </xf>
    <xf numFmtId="164" fontId="8" fillId="0" borderId="2" xfId="0" applyNumberFormat="1" applyFont="1" applyBorder="1" applyAlignment="1">
      <alignment horizontal="center" vertical="center"/>
    </xf>
    <xf numFmtId="164" fontId="11" fillId="17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4" fontId="8" fillId="2" borderId="1" xfId="1" applyNumberFormat="1" applyFont="1" applyFill="1" applyBorder="1" applyAlignment="1">
      <alignment horizontal="center" vertical="center"/>
    </xf>
    <xf numFmtId="164" fontId="7" fillId="18" borderId="1" xfId="0" applyNumberFormat="1" applyFont="1" applyFill="1" applyBorder="1" applyAlignment="1">
      <alignment horizontal="center" vertical="center"/>
    </xf>
    <xf numFmtId="10" fontId="7" fillId="19" borderId="1" xfId="2" applyNumberFormat="1" applyFont="1" applyFill="1" applyBorder="1" applyAlignment="1">
      <alignment horizontal="center" vertical="center"/>
    </xf>
    <xf numFmtId="164" fontId="11" fillId="20" borderId="1" xfId="0" applyNumberFormat="1" applyFont="1" applyFill="1" applyBorder="1" applyAlignment="1">
      <alignment horizontal="center" vertical="center"/>
    </xf>
    <xf numFmtId="10" fontId="11" fillId="21" borderId="1" xfId="2" applyNumberFormat="1" applyFont="1" applyFill="1" applyBorder="1" applyAlignment="1">
      <alignment horizontal="center" vertical="center"/>
    </xf>
    <xf numFmtId="10" fontId="11" fillId="22" borderId="1" xfId="2" applyNumberFormat="1" applyFont="1" applyFill="1" applyBorder="1" applyAlignment="1">
      <alignment horizontal="center" vertical="center"/>
    </xf>
    <xf numFmtId="0" fontId="7" fillId="23" borderId="1" xfId="2" applyNumberFormat="1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/>
    </xf>
    <xf numFmtId="164" fontId="9" fillId="24" borderId="1" xfId="0" applyNumberFormat="1" applyFont="1" applyFill="1" applyBorder="1" applyAlignment="1">
      <alignment horizontal="center"/>
    </xf>
    <xf numFmtId="164" fontId="8" fillId="7" borderId="1" xfId="0" applyNumberFormat="1" applyFont="1" applyFill="1" applyBorder="1" applyAlignment="1">
      <alignment horizontal="center"/>
    </xf>
    <xf numFmtId="164" fontId="9" fillId="17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 vertical="center" wrapText="1"/>
    </xf>
    <xf numFmtId="164" fontId="8" fillId="25" borderId="1" xfId="0" applyNumberFormat="1" applyFont="1" applyFill="1" applyBorder="1" applyAlignment="1">
      <alignment horizontal="center"/>
    </xf>
    <xf numFmtId="164" fontId="5" fillId="26" borderId="1" xfId="0" applyNumberFormat="1" applyFont="1" applyFill="1" applyBorder="1" applyAlignment="1">
      <alignment horizontal="center"/>
    </xf>
    <xf numFmtId="164" fontId="5" fillId="8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8" fillId="27" borderId="1" xfId="0" applyNumberFormat="1" applyFont="1" applyFill="1" applyBorder="1" applyAlignment="1">
      <alignment horizontal="center" vertical="center" wrapText="1"/>
    </xf>
    <xf numFmtId="164" fontId="8" fillId="26" borderId="1" xfId="0" applyNumberFormat="1" applyFont="1" applyFill="1" applyBorder="1" applyAlignment="1">
      <alignment horizontal="center" vertical="center" wrapText="1"/>
    </xf>
    <xf numFmtId="164" fontId="8" fillId="26" borderId="1" xfId="0" applyNumberFormat="1" applyFont="1" applyFill="1" applyBorder="1" applyAlignment="1">
      <alignment horizontal="center"/>
    </xf>
    <xf numFmtId="164" fontId="8" fillId="28" borderId="1" xfId="0" applyNumberFormat="1" applyFont="1" applyFill="1" applyBorder="1" applyAlignment="1">
      <alignment horizontal="center"/>
    </xf>
    <xf numFmtId="164" fontId="8" fillId="29" borderId="1" xfId="0" applyNumberFormat="1" applyFont="1" applyFill="1" applyBorder="1" applyAlignment="1">
      <alignment horizontal="center"/>
    </xf>
    <xf numFmtId="0" fontId="8" fillId="29" borderId="1" xfId="0" applyFont="1" applyFill="1" applyBorder="1" applyAlignment="1">
      <alignment horizontal="center"/>
    </xf>
    <xf numFmtId="164" fontId="9" fillId="30" borderId="1" xfId="1" applyNumberFormat="1" applyFont="1" applyFill="1" applyBorder="1" applyAlignment="1">
      <alignment horizontal="center" vertical="center"/>
    </xf>
    <xf numFmtId="164" fontId="11" fillId="30" borderId="1" xfId="0" applyNumberFormat="1" applyFont="1" applyFill="1" applyBorder="1" applyAlignment="1">
      <alignment horizontal="center"/>
    </xf>
    <xf numFmtId="164" fontId="8" fillId="6" borderId="1" xfId="1" applyNumberFormat="1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164" fontId="8" fillId="31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/>
    <xf numFmtId="164" fontId="5" fillId="10" borderId="1" xfId="0" applyNumberFormat="1" applyFont="1" applyFill="1" applyBorder="1" applyAlignment="1">
      <alignment horizontal="center"/>
    </xf>
    <xf numFmtId="164" fontId="8" fillId="32" borderId="1" xfId="0" applyNumberFormat="1" applyFont="1" applyFill="1" applyBorder="1" applyAlignment="1">
      <alignment horizontal="center" vertical="center"/>
    </xf>
    <xf numFmtId="164" fontId="5" fillId="11" borderId="1" xfId="4" applyNumberFormat="1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33" borderId="1" xfId="0" applyNumberFormat="1" applyFont="1" applyFill="1" applyBorder="1" applyAlignment="1">
      <alignment horizontal="center" vertical="center" wrapText="1"/>
    </xf>
    <xf numFmtId="164" fontId="8" fillId="7" borderId="1" xfId="0" applyNumberFormat="1" applyFont="1" applyFill="1" applyBorder="1" applyAlignment="1">
      <alignment horizontal="center" vertical="center" wrapText="1"/>
    </xf>
    <xf numFmtId="164" fontId="8" fillId="34" borderId="1" xfId="0" applyNumberFormat="1" applyFont="1" applyFill="1" applyBorder="1" applyAlignment="1">
      <alignment horizontal="center" vertical="center" wrapText="1"/>
    </xf>
    <xf numFmtId="164" fontId="8" fillId="35" borderId="1" xfId="0" applyNumberFormat="1" applyFont="1" applyFill="1" applyBorder="1" applyAlignment="1">
      <alignment horizontal="center" vertical="center" wrapText="1"/>
    </xf>
    <xf numFmtId="164" fontId="5" fillId="12" borderId="1" xfId="0" applyNumberFormat="1" applyFont="1" applyFill="1" applyBorder="1" applyAlignment="1">
      <alignment horizontal="center"/>
    </xf>
    <xf numFmtId="164" fontId="5" fillId="7" borderId="4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64" fontId="5" fillId="13" borderId="1" xfId="0" applyNumberFormat="1" applyFont="1" applyFill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 vertical="center"/>
    </xf>
    <xf numFmtId="164" fontId="5" fillId="15" borderId="1" xfId="0" applyNumberFormat="1" applyFont="1" applyFill="1" applyBorder="1" applyAlignment="1">
      <alignment horizontal="center"/>
    </xf>
    <xf numFmtId="164" fontId="5" fillId="7" borderId="1" xfId="0" applyNumberFormat="1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/>
    </xf>
    <xf numFmtId="164" fontId="10" fillId="14" borderId="1" xfId="0" applyNumberFormat="1" applyFont="1" applyFill="1" applyBorder="1" applyAlignment="1">
      <alignment horizontal="center"/>
    </xf>
    <xf numFmtId="164" fontId="8" fillId="36" borderId="1" xfId="1" applyNumberFormat="1" applyFont="1" applyFill="1" applyBorder="1" applyAlignment="1">
      <alignment horizontal="center" vertical="center"/>
    </xf>
    <xf numFmtId="164" fontId="8" fillId="35" borderId="1" xfId="0" applyNumberFormat="1" applyFont="1" applyFill="1" applyBorder="1" applyAlignment="1">
      <alignment horizontal="center"/>
    </xf>
    <xf numFmtId="164" fontId="9" fillId="37" borderId="1" xfId="0" applyNumberFormat="1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9" fillId="30" borderId="1" xfId="0" applyFont="1" applyFill="1" applyBorder="1" applyAlignment="1">
      <alignment horizontal="center"/>
    </xf>
    <xf numFmtId="164" fontId="8" fillId="31" borderId="4" xfId="0" applyNumberFormat="1" applyFont="1" applyFill="1" applyBorder="1" applyAlignment="1">
      <alignment horizontal="center" vertical="center"/>
    </xf>
    <xf numFmtId="164" fontId="9" fillId="16" borderId="1" xfId="0" applyNumberFormat="1" applyFont="1" applyFill="1" applyBorder="1" applyAlignment="1">
      <alignment horizontal="center"/>
    </xf>
    <xf numFmtId="164" fontId="9" fillId="30" borderId="1" xfId="0" applyNumberFormat="1" applyFont="1" applyFill="1" applyBorder="1" applyAlignment="1">
      <alignment horizontal="center"/>
    </xf>
    <xf numFmtId="164" fontId="5" fillId="13" borderId="1" xfId="1" applyNumberFormat="1" applyFont="1" applyFill="1" applyBorder="1" applyAlignment="1">
      <alignment horizontal="center" vertical="center"/>
    </xf>
    <xf numFmtId="164" fontId="10" fillId="31" borderId="1" xfId="0" applyNumberFormat="1" applyFont="1" applyFill="1" applyBorder="1" applyAlignment="1">
      <alignment horizontal="center" vertical="center"/>
    </xf>
    <xf numFmtId="164" fontId="9" fillId="17" borderId="1" xfId="0" applyNumberFormat="1" applyFont="1" applyFill="1" applyBorder="1" applyAlignment="1">
      <alignment horizontal="center" vertical="center"/>
    </xf>
    <xf numFmtId="0" fontId="8" fillId="29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/>
    </xf>
    <xf numFmtId="164" fontId="11" fillId="38" borderId="1" xfId="0" applyNumberFormat="1" applyFont="1" applyFill="1" applyBorder="1" applyAlignment="1">
      <alignment horizontal="center" vertical="center"/>
    </xf>
    <xf numFmtId="164" fontId="11" fillId="39" borderId="1" xfId="0" applyNumberFormat="1" applyFont="1" applyFill="1" applyBorder="1" applyAlignment="1">
      <alignment horizontal="center" vertical="center"/>
    </xf>
    <xf numFmtId="164" fontId="7" fillId="23" borderId="1" xfId="2" applyNumberFormat="1" applyFont="1" applyFill="1" applyBorder="1" applyAlignment="1">
      <alignment horizontal="center" vertical="center"/>
    </xf>
    <xf numFmtId="10" fontId="11" fillId="40" borderId="1" xfId="0" applyNumberFormat="1" applyFont="1" applyFill="1" applyBorder="1" applyAlignment="1">
      <alignment horizontal="center"/>
    </xf>
    <xf numFmtId="10" fontId="11" fillId="2" borderId="1" xfId="2" applyNumberFormat="1" applyFont="1" applyFill="1" applyBorder="1" applyAlignment="1">
      <alignment horizontal="center"/>
    </xf>
    <xf numFmtId="164" fontId="7" fillId="41" borderId="1" xfId="0" applyNumberFormat="1" applyFont="1" applyFill="1" applyBorder="1" applyAlignment="1">
      <alignment horizontal="center" vertical="center"/>
    </xf>
    <xf numFmtId="164" fontId="7" fillId="42" borderId="1" xfId="0" applyNumberFormat="1" applyFont="1" applyFill="1" applyBorder="1" applyAlignment="1">
      <alignment horizontal="center" vertical="center"/>
    </xf>
    <xf numFmtId="164" fontId="7" fillId="43" borderId="1" xfId="0" applyNumberFormat="1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/>
    </xf>
    <xf numFmtId="164" fontId="9" fillId="44" borderId="1" xfId="0" applyNumberFormat="1" applyFont="1" applyFill="1" applyBorder="1" applyAlignment="1">
      <alignment horizontal="center" vertical="center"/>
    </xf>
    <xf numFmtId="164" fontId="8" fillId="41" borderId="1" xfId="0" applyNumberFormat="1" applyFont="1" applyFill="1" applyBorder="1" applyAlignment="1">
      <alignment horizontal="center" vertical="center"/>
    </xf>
    <xf numFmtId="164" fontId="8" fillId="42" borderId="1" xfId="0" applyNumberFormat="1" applyFont="1" applyFill="1" applyBorder="1" applyAlignment="1">
      <alignment horizontal="center" vertical="center"/>
    </xf>
    <xf numFmtId="17" fontId="5" fillId="0" borderId="1" xfId="0" applyNumberFormat="1" applyFont="1" applyBorder="1" applyAlignment="1">
      <alignment horizontal="center"/>
    </xf>
    <xf numFmtId="164" fontId="9" fillId="44" borderId="1" xfId="0" applyNumberFormat="1" applyFont="1" applyFill="1" applyBorder="1" applyAlignment="1">
      <alignment horizontal="center" vertical="center" wrapText="1"/>
    </xf>
    <xf numFmtId="164" fontId="8" fillId="41" borderId="1" xfId="0" applyNumberFormat="1" applyFont="1" applyFill="1" applyBorder="1" applyAlignment="1">
      <alignment horizontal="center" vertical="center" wrapText="1"/>
    </xf>
    <xf numFmtId="164" fontId="8" fillId="42" borderId="1" xfId="0" applyNumberFormat="1" applyFont="1" applyFill="1" applyBorder="1" applyAlignment="1">
      <alignment horizontal="center" vertical="center" wrapText="1"/>
    </xf>
    <xf numFmtId="164" fontId="9" fillId="38" borderId="1" xfId="0" applyNumberFormat="1" applyFont="1" applyFill="1" applyBorder="1" applyAlignment="1">
      <alignment horizontal="center"/>
    </xf>
    <xf numFmtId="164" fontId="10" fillId="45" borderId="1" xfId="0" applyNumberFormat="1" applyFont="1" applyFill="1" applyBorder="1" applyAlignment="1">
      <alignment horizontal="center"/>
    </xf>
    <xf numFmtId="164" fontId="10" fillId="42" borderId="1" xfId="0" applyNumberFormat="1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/>
    </xf>
    <xf numFmtId="164" fontId="9" fillId="46" borderId="1" xfId="0" applyNumberFormat="1" applyFont="1" applyFill="1" applyBorder="1" applyAlignment="1">
      <alignment horizontal="center"/>
    </xf>
    <xf numFmtId="164" fontId="5" fillId="47" borderId="1" xfId="0" applyNumberFormat="1" applyFont="1" applyFill="1" applyBorder="1" applyAlignment="1">
      <alignment horizontal="center"/>
    </xf>
    <xf numFmtId="164" fontId="9" fillId="40" borderId="1" xfId="0" applyNumberFormat="1" applyFont="1" applyFill="1" applyBorder="1" applyAlignment="1">
      <alignment horizontal="center"/>
    </xf>
    <xf numFmtId="164" fontId="5" fillId="42" borderId="1" xfId="0" applyNumberFormat="1" applyFont="1" applyFill="1" applyBorder="1" applyAlignment="1">
      <alignment horizontal="center"/>
    </xf>
    <xf numFmtId="164" fontId="8" fillId="3" borderId="1" xfId="0" applyNumberFormat="1" applyFont="1" applyFill="1" applyBorder="1"/>
    <xf numFmtId="164" fontId="8" fillId="45" borderId="1" xfId="0" applyNumberFormat="1" applyFont="1" applyFill="1" applyBorder="1" applyAlignment="1">
      <alignment horizontal="center"/>
    </xf>
    <xf numFmtId="0" fontId="5" fillId="0" borderId="4" xfId="0" applyFont="1" applyBorder="1"/>
    <xf numFmtId="164" fontId="5" fillId="48" borderId="1" xfId="0" applyNumberFormat="1" applyFont="1" applyFill="1" applyBorder="1" applyAlignment="1">
      <alignment horizontal="center"/>
    </xf>
    <xf numFmtId="164" fontId="8" fillId="41" borderId="1" xfId="0" applyNumberFormat="1" applyFont="1" applyFill="1" applyBorder="1" applyAlignment="1">
      <alignment horizontal="center"/>
    </xf>
    <xf numFmtId="164" fontId="8" fillId="48" borderId="1" xfId="0" applyNumberFormat="1" applyFont="1" applyFill="1" applyBorder="1" applyAlignment="1">
      <alignment horizontal="center"/>
    </xf>
    <xf numFmtId="164" fontId="8" fillId="42" borderId="1" xfId="0" applyNumberFormat="1" applyFont="1" applyFill="1" applyBorder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4" fontId="9" fillId="40" borderId="1" xfId="0" applyNumberFormat="1" applyFont="1" applyFill="1" applyBorder="1" applyAlignment="1">
      <alignment horizontal="center" vertical="center"/>
    </xf>
    <xf numFmtId="164" fontId="5" fillId="48" borderId="1" xfId="0" applyNumberFormat="1" applyFont="1" applyFill="1" applyBorder="1" applyAlignment="1">
      <alignment horizontal="center" vertical="center"/>
    </xf>
    <xf numFmtId="164" fontId="5" fillId="42" borderId="1" xfId="0" applyNumberFormat="1" applyFont="1" applyFill="1" applyBorder="1" applyAlignment="1">
      <alignment horizontal="center" vertical="center"/>
    </xf>
    <xf numFmtId="164" fontId="5" fillId="49" borderId="1" xfId="0" applyNumberFormat="1" applyFont="1" applyFill="1" applyBorder="1" applyAlignment="1">
      <alignment horizontal="center"/>
    </xf>
    <xf numFmtId="164" fontId="8" fillId="50" borderId="1" xfId="0" applyNumberFormat="1" applyFont="1" applyFill="1" applyBorder="1" applyAlignment="1">
      <alignment horizontal="center" vertical="center"/>
    </xf>
    <xf numFmtId="164" fontId="5" fillId="51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52" borderId="1" xfId="0" applyFont="1" applyFill="1" applyBorder="1" applyAlignment="1">
      <alignment horizontal="center"/>
    </xf>
    <xf numFmtId="0" fontId="8" fillId="0" borderId="1" xfId="0" applyFont="1" applyBorder="1"/>
    <xf numFmtId="164" fontId="10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left"/>
    </xf>
    <xf numFmtId="164" fontId="6" fillId="2" borderId="1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4" fontId="8" fillId="25" borderId="4" xfId="0" applyNumberFormat="1" applyFont="1" applyFill="1" applyBorder="1" applyAlignment="1">
      <alignment horizontal="center"/>
    </xf>
    <xf numFmtId="0" fontId="5" fillId="26" borderId="1" xfId="0" applyFont="1" applyFill="1" applyBorder="1" applyAlignment="1">
      <alignment horizontal="center"/>
    </xf>
    <xf numFmtId="164" fontId="5" fillId="52" borderId="1" xfId="0" applyNumberFormat="1" applyFont="1" applyFill="1" applyBorder="1" applyAlignment="1">
      <alignment horizontal="center"/>
    </xf>
    <xf numFmtId="0" fontId="9" fillId="24" borderId="4" xfId="0" applyFont="1" applyFill="1" applyBorder="1" applyAlignment="1">
      <alignment horizontal="center"/>
    </xf>
    <xf numFmtId="164" fontId="9" fillId="53" borderId="1" xfId="0" applyNumberFormat="1" applyFont="1" applyFill="1" applyBorder="1" applyAlignment="1">
      <alignment horizontal="center"/>
    </xf>
    <xf numFmtId="164" fontId="8" fillId="36" borderId="1" xfId="1" applyNumberFormat="1" applyFont="1" applyFill="1" applyBorder="1" applyAlignment="1">
      <alignment horizontal="center" vertical="center" wrapText="1"/>
    </xf>
    <xf numFmtId="164" fontId="8" fillId="31" borderId="4" xfId="0" applyNumberFormat="1" applyFont="1" applyFill="1" applyBorder="1" applyAlignment="1">
      <alignment horizontal="center" vertical="center" wrapText="1"/>
    </xf>
    <xf numFmtId="164" fontId="8" fillId="31" borderId="1" xfId="0" applyNumberFormat="1" applyFont="1" applyFill="1" applyBorder="1" applyAlignment="1">
      <alignment horizontal="center" vertical="center" wrapText="1"/>
    </xf>
    <xf numFmtId="164" fontId="8" fillId="54" borderId="1" xfId="0" applyNumberFormat="1" applyFont="1" applyFill="1" applyBorder="1" applyAlignment="1">
      <alignment horizontal="center" vertical="center" wrapText="1"/>
    </xf>
    <xf numFmtId="164" fontId="5" fillId="11" borderId="1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64" fontId="9" fillId="2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64" fontId="6" fillId="55" borderId="1" xfId="0" applyNumberFormat="1" applyFont="1" applyFill="1" applyBorder="1" applyAlignment="1">
      <alignment horizontal="center"/>
    </xf>
    <xf numFmtId="164" fontId="7" fillId="55" borderId="1" xfId="1" applyNumberFormat="1" applyFont="1" applyFill="1" applyBorder="1" applyAlignment="1">
      <alignment horizontal="center" vertical="center"/>
    </xf>
    <xf numFmtId="164" fontId="7" fillId="56" borderId="1" xfId="0" applyNumberFormat="1" applyFont="1" applyFill="1" applyBorder="1" applyAlignment="1">
      <alignment horizontal="center" vertical="center"/>
    </xf>
    <xf numFmtId="164" fontId="6" fillId="19" borderId="1" xfId="0" applyNumberFormat="1" applyFont="1" applyFill="1" applyBorder="1" applyAlignment="1">
      <alignment horizontal="center"/>
    </xf>
    <xf numFmtId="164" fontId="11" fillId="9" borderId="1" xfId="0" applyNumberFormat="1" applyFont="1" applyFill="1" applyBorder="1" applyAlignment="1">
      <alignment horizontal="center"/>
    </xf>
    <xf numFmtId="164" fontId="6" fillId="35" borderId="1" xfId="0" applyNumberFormat="1" applyFont="1" applyFill="1" applyBorder="1" applyAlignment="1">
      <alignment horizontal="center"/>
    </xf>
    <xf numFmtId="164" fontId="11" fillId="24" borderId="1" xfId="0" applyNumberFormat="1" applyFont="1" applyFill="1" applyBorder="1" applyAlignment="1">
      <alignment horizontal="center"/>
    </xf>
    <xf numFmtId="0" fontId="11" fillId="17" borderId="0" xfId="0" applyFont="1" applyFill="1" applyAlignment="1">
      <alignment horizontal="center"/>
    </xf>
    <xf numFmtId="164" fontId="6" fillId="57" borderId="1" xfId="0" applyNumberFormat="1" applyFont="1" applyFill="1" applyBorder="1" applyAlignment="1">
      <alignment horizontal="center"/>
    </xf>
    <xf numFmtId="164" fontId="8" fillId="16" borderId="1" xfId="0" applyNumberFormat="1" applyFont="1" applyFill="1" applyBorder="1" applyAlignment="1">
      <alignment horizontal="center"/>
    </xf>
    <xf numFmtId="164" fontId="5" fillId="16" borderId="1" xfId="0" applyNumberFormat="1" applyFont="1" applyFill="1" applyBorder="1" applyAlignment="1">
      <alignment horizontal="center"/>
    </xf>
    <xf numFmtId="164" fontId="11" fillId="22" borderId="1" xfId="2" applyNumberFormat="1" applyFont="1" applyFill="1" applyBorder="1" applyAlignment="1">
      <alignment horizontal="center" vertical="center"/>
    </xf>
    <xf numFmtId="164" fontId="9" fillId="58" borderId="1" xfId="0" applyNumberFormat="1" applyFont="1" applyFill="1" applyBorder="1" applyAlignment="1">
      <alignment horizontal="center"/>
    </xf>
    <xf numFmtId="164" fontId="11" fillId="17" borderId="0" xfId="0" applyNumberFormat="1" applyFont="1" applyFill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6" fillId="59" borderId="1" xfId="0" applyFont="1" applyFill="1" applyBorder="1" applyAlignment="1">
      <alignment horizontal="center"/>
    </xf>
    <xf numFmtId="164" fontId="6" fillId="59" borderId="1" xfId="0" applyNumberFormat="1" applyFont="1" applyFill="1" applyBorder="1" applyAlignment="1">
      <alignment horizontal="center"/>
    </xf>
    <xf numFmtId="164" fontId="6" fillId="47" borderId="1" xfId="0" applyNumberFormat="1" applyFont="1" applyFill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1" fillId="6" borderId="6" xfId="0" applyNumberFormat="1" applyFont="1" applyFill="1" applyBorder="1" applyAlignment="1">
      <alignment horizontal="left"/>
    </xf>
    <xf numFmtId="164" fontId="1" fillId="6" borderId="7" xfId="0" applyNumberFormat="1" applyFont="1" applyFill="1" applyBorder="1" applyAlignment="1">
      <alignment horizontal="center"/>
    </xf>
    <xf numFmtId="10" fontId="1" fillId="6" borderId="8" xfId="2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10" fontId="1" fillId="2" borderId="2" xfId="2" applyNumberFormat="1" applyFont="1" applyFill="1" applyBorder="1" applyAlignment="1">
      <alignment horizontal="center"/>
    </xf>
    <xf numFmtId="0" fontId="2" fillId="29" borderId="1" xfId="0" applyFont="1" applyFill="1" applyBorder="1" applyAlignment="1">
      <alignment horizontal="center"/>
    </xf>
    <xf numFmtId="164" fontId="12" fillId="29" borderId="1" xfId="0" applyNumberFormat="1" applyFont="1" applyFill="1" applyBorder="1" applyAlignment="1">
      <alignment horizontal="center"/>
    </xf>
    <xf numFmtId="0" fontId="3" fillId="29" borderId="1" xfId="2" applyNumberFormat="1" applyFont="1" applyFill="1" applyBorder="1" applyAlignment="1">
      <alignment horizontal="center"/>
    </xf>
    <xf numFmtId="164" fontId="1" fillId="8" borderId="9" xfId="0" applyNumberFormat="1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10" fontId="1" fillId="8" borderId="10" xfId="2" applyNumberFormat="1" applyFont="1" applyFill="1" applyBorder="1" applyAlignment="1">
      <alignment horizontal="center"/>
    </xf>
    <xf numFmtId="0" fontId="13" fillId="30" borderId="1" xfId="0" applyFont="1" applyFill="1" applyBorder="1" applyAlignment="1">
      <alignment horizontal="center"/>
    </xf>
    <xf numFmtId="0" fontId="13" fillId="30" borderId="1" xfId="2" applyNumberFormat="1" applyFont="1" applyFill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9" fontId="12" fillId="0" borderId="1" xfId="2" applyFont="1" applyBorder="1" applyAlignment="1">
      <alignment horizontal="center"/>
    </xf>
    <xf numFmtId="0" fontId="3" fillId="3" borderId="1" xfId="2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1" fillId="6" borderId="9" xfId="0" applyNumberFormat="1" applyFont="1" applyFill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10" fontId="1" fillId="6" borderId="10" xfId="2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3" borderId="0" xfId="2" applyNumberFormat="1" applyFont="1" applyFill="1" applyAlignment="1">
      <alignment horizontal="center"/>
    </xf>
    <xf numFmtId="164" fontId="0" fillId="60" borderId="9" xfId="0" applyNumberFormat="1" applyFill="1" applyBorder="1" applyAlignment="1">
      <alignment horizontal="left"/>
    </xf>
    <xf numFmtId="164" fontId="0" fillId="60" borderId="1" xfId="0" applyNumberFormat="1" applyFill="1" applyBorder="1" applyAlignment="1">
      <alignment horizontal="center"/>
    </xf>
    <xf numFmtId="10" fontId="0" fillId="60" borderId="10" xfId="2" applyNumberFormat="1" applyFont="1" applyFill="1" applyBorder="1" applyAlignment="1">
      <alignment horizontal="center"/>
    </xf>
    <xf numFmtId="164" fontId="0" fillId="0" borderId="11" xfId="0" applyNumberFormat="1" applyBorder="1" applyAlignment="1">
      <alignment horizontal="left"/>
    </xf>
    <xf numFmtId="10" fontId="0" fillId="0" borderId="12" xfId="0" applyNumberFormat="1" applyBorder="1" applyAlignment="1">
      <alignment horizontal="center"/>
    </xf>
    <xf numFmtId="164" fontId="14" fillId="30" borderId="13" xfId="0" applyNumberFormat="1" applyFont="1" applyFill="1" applyBorder="1" applyAlignment="1">
      <alignment horizontal="left"/>
    </xf>
    <xf numFmtId="164" fontId="14" fillId="30" borderId="1" xfId="0" applyNumberFormat="1" applyFont="1" applyFill="1" applyBorder="1" applyAlignment="1">
      <alignment horizontal="center"/>
    </xf>
    <xf numFmtId="10" fontId="14" fillId="30" borderId="10" xfId="2" applyNumberFormat="1" applyFon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64" fontId="1" fillId="61" borderId="14" xfId="0" applyNumberFormat="1" applyFont="1" applyFill="1" applyBorder="1" applyAlignment="1">
      <alignment horizontal="left"/>
    </xf>
    <xf numFmtId="164" fontId="1" fillId="61" borderId="15" xfId="0" applyNumberFormat="1" applyFont="1" applyFill="1" applyBorder="1" applyAlignment="1">
      <alignment horizontal="center"/>
    </xf>
    <xf numFmtId="10" fontId="1" fillId="61" borderId="16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164" fontId="0" fillId="62" borderId="1" xfId="0" applyNumberForma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0" fontId="1" fillId="7" borderId="1" xfId="2" applyNumberFormat="1" applyFont="1" applyFill="1" applyBorder="1" applyAlignment="1">
      <alignment horizontal="center"/>
    </xf>
    <xf numFmtId="164" fontId="16" fillId="42" borderId="1" xfId="0" applyNumberFormat="1" applyFont="1" applyFill="1" applyBorder="1" applyAlignment="1">
      <alignment horizontal="center"/>
    </xf>
    <xf numFmtId="10" fontId="1" fillId="42" borderId="1" xfId="2" applyNumberFormat="1" applyFont="1" applyFill="1" applyBorder="1" applyAlignment="1">
      <alignment horizontal="center"/>
    </xf>
    <xf numFmtId="10" fontId="1" fillId="6" borderId="1" xfId="2" applyNumberFormat="1" applyFont="1" applyFill="1" applyBorder="1" applyAlignment="1">
      <alignment horizontal="center"/>
    </xf>
    <xf numFmtId="164" fontId="5" fillId="63" borderId="1" xfId="0" applyNumberFormat="1" applyFont="1" applyFill="1" applyBorder="1" applyAlignment="1">
      <alignment horizontal="center"/>
    </xf>
    <xf numFmtId="164" fontId="8" fillId="51" borderId="1" xfId="0" applyNumberFormat="1" applyFont="1" applyFill="1" applyBorder="1" applyAlignment="1">
      <alignment horizontal="center"/>
    </xf>
    <xf numFmtId="17" fontId="8" fillId="0" borderId="1" xfId="0" applyNumberFormat="1" applyFont="1" applyBorder="1" applyAlignment="1">
      <alignment horizontal="center"/>
    </xf>
    <xf numFmtId="164" fontId="8" fillId="50" borderId="1" xfId="0" applyNumberFormat="1" applyFont="1" applyFill="1" applyBorder="1" applyAlignment="1">
      <alignment horizontal="center" vertical="center" wrapText="1"/>
    </xf>
    <xf numFmtId="164" fontId="5" fillId="64" borderId="1" xfId="0" applyNumberFormat="1" applyFont="1" applyFill="1" applyBorder="1" applyAlignment="1">
      <alignment horizontal="center"/>
    </xf>
    <xf numFmtId="164" fontId="8" fillId="65" borderId="1" xfId="0" applyNumberFormat="1" applyFont="1" applyFill="1" applyBorder="1" applyAlignment="1">
      <alignment horizontal="center" vertical="center"/>
    </xf>
    <xf numFmtId="164" fontId="7" fillId="3" borderId="0" xfId="0" applyNumberFormat="1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164" fontId="11" fillId="46" borderId="1" xfId="0" applyNumberFormat="1" applyFont="1" applyFill="1" applyBorder="1" applyAlignment="1">
      <alignment horizontal="center"/>
    </xf>
    <xf numFmtId="164" fontId="6" fillId="66" borderId="1" xfId="0" applyNumberFormat="1" applyFont="1" applyFill="1" applyBorder="1" applyAlignment="1">
      <alignment horizontal="center"/>
    </xf>
    <xf numFmtId="164" fontId="6" fillId="15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5" fillId="55" borderId="1" xfId="0" applyNumberFormat="1" applyFont="1" applyFill="1" applyBorder="1" applyAlignment="1">
      <alignment horizontal="center"/>
    </xf>
    <xf numFmtId="164" fontId="17" fillId="3" borderId="1" xfId="0" applyNumberFormat="1" applyFont="1" applyFill="1" applyBorder="1" applyAlignment="1">
      <alignment horizontal="center"/>
    </xf>
    <xf numFmtId="164" fontId="18" fillId="3" borderId="1" xfId="0" applyNumberFormat="1" applyFont="1" applyFill="1" applyBorder="1" applyAlignment="1">
      <alignment horizontal="center"/>
    </xf>
    <xf numFmtId="164" fontId="3" fillId="29" borderId="1" xfId="0" applyNumberFormat="1" applyFont="1" applyFill="1" applyBorder="1" applyAlignment="1">
      <alignment horizontal="center"/>
    </xf>
    <xf numFmtId="164" fontId="13" fillId="30" borderId="1" xfId="2" applyNumberFormat="1" applyFont="1" applyFill="1" applyBorder="1" applyAlignment="1">
      <alignment horizontal="center"/>
    </xf>
    <xf numFmtId="164" fontId="3" fillId="3" borderId="1" xfId="2" applyNumberFormat="1" applyFont="1" applyFill="1" applyBorder="1" applyAlignment="1">
      <alignment horizontal="center"/>
    </xf>
    <xf numFmtId="164" fontId="3" fillId="3" borderId="0" xfId="2" applyNumberFormat="1" applyFont="1" applyFill="1" applyAlignment="1">
      <alignment horizontal="center"/>
    </xf>
    <xf numFmtId="164" fontId="14" fillId="9" borderId="1" xfId="0" applyNumberFormat="1" applyFont="1" applyFill="1" applyBorder="1" applyAlignment="1">
      <alignment horizontal="center"/>
    </xf>
    <xf numFmtId="10" fontId="14" fillId="9" borderId="1" xfId="2" applyNumberFormat="1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 vertical="center" wrapText="1"/>
    </xf>
    <xf numFmtId="164" fontId="1" fillId="11" borderId="1" xfId="0" applyNumberFormat="1" applyFont="1" applyFill="1" applyBorder="1" applyAlignment="1">
      <alignment horizontal="center"/>
    </xf>
    <xf numFmtId="10" fontId="1" fillId="11" borderId="1" xfId="2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0" fontId="0" fillId="10" borderId="1" xfId="2" applyNumberFormat="1" applyFont="1" applyFill="1" applyBorder="1" applyAlignment="1">
      <alignment horizontal="center"/>
    </xf>
    <xf numFmtId="0" fontId="14" fillId="12" borderId="1" xfId="0" applyFont="1" applyFill="1" applyBorder="1" applyAlignment="1">
      <alignment horizontal="center"/>
    </xf>
    <xf numFmtId="164" fontId="14" fillId="12" borderId="1" xfId="0" applyNumberFormat="1" applyFont="1" applyFill="1" applyBorder="1" applyAlignment="1">
      <alignment horizontal="center"/>
    </xf>
    <xf numFmtId="10" fontId="14" fillId="12" borderId="1" xfId="2" applyNumberFormat="1" applyFont="1" applyFill="1" applyBorder="1" applyAlignment="1">
      <alignment horizontal="center"/>
    </xf>
    <xf numFmtId="0" fontId="1" fillId="67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164" fontId="1" fillId="13" borderId="1" xfId="0" applyNumberFormat="1" applyFont="1" applyFill="1" applyBorder="1" applyAlignment="1">
      <alignment horizontal="center"/>
    </xf>
    <xf numFmtId="10" fontId="1" fillId="13" borderId="1" xfId="2" applyNumberFormat="1" applyFont="1" applyFill="1" applyBorder="1" applyAlignment="1">
      <alignment horizontal="center"/>
    </xf>
    <xf numFmtId="164" fontId="14" fillId="8" borderId="1" xfId="0" applyNumberFormat="1" applyFont="1" applyFill="1" applyBorder="1" applyAlignment="1">
      <alignment horizontal="center"/>
    </xf>
    <xf numFmtId="10" fontId="1" fillId="8" borderId="1" xfId="2" applyNumberFormat="1" applyFont="1" applyFill="1" applyBorder="1" applyAlignment="1">
      <alignment horizontal="center"/>
    </xf>
    <xf numFmtId="0" fontId="1" fillId="2" borderId="1" xfId="0" applyFont="1" applyFill="1" applyBorder="1"/>
    <xf numFmtId="10" fontId="1" fillId="2" borderId="1" xfId="0" applyNumberFormat="1" applyFont="1" applyFill="1" applyBorder="1" applyAlignment="1">
      <alignment horizontal="center"/>
    </xf>
    <xf numFmtId="0" fontId="1" fillId="49" borderId="1" xfId="0" applyFont="1" applyFill="1" applyBorder="1"/>
    <xf numFmtId="164" fontId="1" fillId="49" borderId="1" xfId="0" applyNumberFormat="1" applyFont="1" applyFill="1" applyBorder="1" applyAlignment="1">
      <alignment horizontal="center"/>
    </xf>
    <xf numFmtId="9" fontId="1" fillId="49" borderId="1" xfId="2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/>
    <xf numFmtId="0" fontId="16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164" fontId="21" fillId="0" borderId="1" xfId="0" applyNumberFormat="1" applyFont="1" applyBorder="1" applyAlignment="1">
      <alignment horizontal="center" vertical="center"/>
    </xf>
    <xf numFmtId="164" fontId="21" fillId="0" borderId="2" xfId="0" applyNumberFormat="1" applyFont="1" applyBorder="1" applyAlignment="1">
      <alignment horizontal="center" vertical="center"/>
    </xf>
    <xf numFmtId="164" fontId="16" fillId="6" borderId="1" xfId="0" applyNumberFormat="1" applyFont="1" applyFill="1" applyBorder="1" applyAlignment="1">
      <alignment horizontal="center"/>
    </xf>
    <xf numFmtId="164" fontId="16" fillId="25" borderId="4" xfId="0" applyNumberFormat="1" applyFont="1" applyFill="1" applyBorder="1" applyAlignment="1">
      <alignment horizontal="center"/>
    </xf>
    <xf numFmtId="164" fontId="16" fillId="25" borderId="1" xfId="0" applyNumberFormat="1" applyFont="1" applyFill="1" applyBorder="1" applyAlignment="1">
      <alignment horizontal="center"/>
    </xf>
    <xf numFmtId="164" fontId="16" fillId="26" borderId="1" xfId="0" applyNumberFormat="1" applyFont="1" applyFill="1" applyBorder="1" applyAlignment="1">
      <alignment horizontal="center"/>
    </xf>
    <xf numFmtId="164" fontId="14" fillId="17" borderId="1" xfId="0" applyNumberFormat="1" applyFont="1" applyFill="1" applyBorder="1" applyAlignment="1">
      <alignment horizontal="center"/>
    </xf>
    <xf numFmtId="164" fontId="14" fillId="46" borderId="1" xfId="0" applyNumberFormat="1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/>
    </xf>
    <xf numFmtId="164" fontId="16" fillId="68" borderId="1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17" fontId="16" fillId="0" borderId="1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1" xfId="0" applyFont="1" applyBorder="1"/>
    <xf numFmtId="164" fontId="0" fillId="67" borderId="1" xfId="0" applyNumberFormat="1" applyFill="1" applyBorder="1" applyAlignment="1">
      <alignment horizontal="center"/>
    </xf>
    <xf numFmtId="10" fontId="0" fillId="67" borderId="1" xfId="2" applyNumberFormat="1" applyFont="1" applyFill="1" applyBorder="1" applyAlignment="1">
      <alignment horizontal="center"/>
    </xf>
  </cellXfs>
  <cellStyles count="5">
    <cellStyle name="Hiperlink" xfId="3" builtinId="8"/>
    <cellStyle name="Moeda 3" xfId="4" xr:uid="{00000000-0005-0000-0000-000031000000}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00FFCC"/>
      <color rgb="FF99FFCC"/>
      <color rgb="FFFF6600"/>
      <color rgb="FFFF7C80"/>
      <color rgb="FFFF3399"/>
      <color rgb="FFFF99CC"/>
      <color rgb="FFA5A5A5"/>
      <color rgb="FF0A0D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2400300</xdr:colOff>
      <xdr:row>0</xdr:row>
      <xdr:rowOff>171450</xdr:rowOff>
    </xdr:from>
    <xdr:to>
      <xdr:col>2</xdr:col>
      <xdr:colOff>2657475</xdr:colOff>
      <xdr:row>0</xdr:row>
      <xdr:rowOff>180975</xdr:rowOff>
    </xdr:to>
    <xdr:sp macro="" textlink="">
      <xdr:nvSpPr>
        <xdr:cNvPr id="2" name="Estrela: 5 Ponta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495800" y="171450"/>
          <a:ext cx="257175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3057218</xdr:colOff>
      <xdr:row>6</xdr:row>
      <xdr:rowOff>1</xdr:rowOff>
    </xdr:from>
    <xdr:to>
      <xdr:col>3</xdr:col>
      <xdr:colOff>3194802</xdr:colOff>
      <xdr:row>7</xdr:row>
      <xdr:rowOff>7682</xdr:rowOff>
    </xdr:to>
    <xdr:sp macro="" textlink="">
      <xdr:nvSpPr>
        <xdr:cNvPr id="3" name="Estrela: 5 Ponta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848600" y="1143000"/>
          <a:ext cx="0" cy="19812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3072581</xdr:colOff>
      <xdr:row>6</xdr:row>
      <xdr:rowOff>153630</xdr:rowOff>
    </xdr:from>
    <xdr:to>
      <xdr:col>4</xdr:col>
      <xdr:colOff>7000</xdr:colOff>
      <xdr:row>7</xdr:row>
      <xdr:rowOff>183843</xdr:rowOff>
    </xdr:to>
    <xdr:sp macro="" textlink="">
      <xdr:nvSpPr>
        <xdr:cNvPr id="4" name="Estrela: 5 Ponta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848600" y="1296035"/>
          <a:ext cx="6985" cy="22098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3041855</xdr:colOff>
      <xdr:row>8</xdr:row>
      <xdr:rowOff>161310</xdr:rowOff>
    </xdr:from>
    <xdr:to>
      <xdr:col>3</xdr:col>
      <xdr:colOff>3185584</xdr:colOff>
      <xdr:row>10</xdr:row>
      <xdr:rowOff>31750</xdr:rowOff>
    </xdr:to>
    <xdr:sp macro="" textlink="">
      <xdr:nvSpPr>
        <xdr:cNvPr id="5" name="Estrela: 5 Ponta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48600" y="1685290"/>
          <a:ext cx="0" cy="25146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2788913</xdr:colOff>
      <xdr:row>39</xdr:row>
      <xdr:rowOff>155472</xdr:rowOff>
    </xdr:from>
    <xdr:to>
      <xdr:col>3</xdr:col>
      <xdr:colOff>3000375</xdr:colOff>
      <xdr:row>41</xdr:row>
      <xdr:rowOff>10551</xdr:rowOff>
    </xdr:to>
    <xdr:sp macro="" textlink="">
      <xdr:nvSpPr>
        <xdr:cNvPr id="6" name="Estrela: 5 Ponta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flipH="1">
          <a:off x="7598410" y="7584440"/>
          <a:ext cx="212090" cy="23622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2800350</xdr:colOff>
      <xdr:row>50</xdr:row>
      <xdr:rowOff>133350</xdr:rowOff>
    </xdr:from>
    <xdr:to>
      <xdr:col>3</xdr:col>
      <xdr:colOff>2930253</xdr:colOff>
      <xdr:row>51</xdr:row>
      <xdr:rowOff>178929</xdr:rowOff>
    </xdr:to>
    <xdr:sp macro="" textlink="">
      <xdr:nvSpPr>
        <xdr:cNvPr id="7" name="Estrela: 5 Ponta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610475" y="9629775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2695576</xdr:colOff>
      <xdr:row>2</xdr:row>
      <xdr:rowOff>28576</xdr:rowOff>
    </xdr:from>
    <xdr:to>
      <xdr:col>3</xdr:col>
      <xdr:colOff>2943226</xdr:colOff>
      <xdr:row>2</xdr:row>
      <xdr:rowOff>180975</xdr:rowOff>
    </xdr:to>
    <xdr:sp macro="" textlink="">
      <xdr:nvSpPr>
        <xdr:cNvPr id="8" name="Estrela: 5 Ponta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505700" y="409575"/>
          <a:ext cx="247650" cy="1524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2733675</xdr:colOff>
      <xdr:row>3</xdr:row>
      <xdr:rowOff>95250</xdr:rowOff>
    </xdr:from>
    <xdr:to>
      <xdr:col>3</xdr:col>
      <xdr:colOff>2863578</xdr:colOff>
      <xdr:row>4</xdr:row>
      <xdr:rowOff>140829</xdr:rowOff>
    </xdr:to>
    <xdr:sp macro="" textlink="">
      <xdr:nvSpPr>
        <xdr:cNvPr id="9" name="Estrela: 5 Pontas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543800" y="666750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2828925</xdr:colOff>
      <xdr:row>5</xdr:row>
      <xdr:rowOff>161925</xdr:rowOff>
    </xdr:from>
    <xdr:to>
      <xdr:col>3</xdr:col>
      <xdr:colOff>2958828</xdr:colOff>
      <xdr:row>7</xdr:row>
      <xdr:rowOff>17004</xdr:rowOff>
    </xdr:to>
    <xdr:sp macro="" textlink="">
      <xdr:nvSpPr>
        <xdr:cNvPr id="11" name="Estrela: 5 Pontas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7639050" y="1114425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2809875</xdr:colOff>
      <xdr:row>8</xdr:row>
      <xdr:rowOff>161925</xdr:rowOff>
    </xdr:from>
    <xdr:to>
      <xdr:col>3</xdr:col>
      <xdr:colOff>2939778</xdr:colOff>
      <xdr:row>10</xdr:row>
      <xdr:rowOff>17004</xdr:rowOff>
    </xdr:to>
    <xdr:sp macro="" textlink="">
      <xdr:nvSpPr>
        <xdr:cNvPr id="13" name="Estrela: 5 Pontas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7620000" y="1685925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3057218</xdr:colOff>
      <xdr:row>10</xdr:row>
      <xdr:rowOff>1</xdr:rowOff>
    </xdr:from>
    <xdr:to>
      <xdr:col>3</xdr:col>
      <xdr:colOff>3194802</xdr:colOff>
      <xdr:row>11</xdr:row>
      <xdr:rowOff>7682</xdr:rowOff>
    </xdr:to>
    <xdr:sp macro="" textlink="">
      <xdr:nvSpPr>
        <xdr:cNvPr id="15" name="Estrela: 5 Pontas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7848600" y="1905000"/>
          <a:ext cx="0" cy="19812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3072581</xdr:colOff>
      <xdr:row>10</xdr:row>
      <xdr:rowOff>153630</xdr:rowOff>
    </xdr:from>
    <xdr:to>
      <xdr:col>4</xdr:col>
      <xdr:colOff>7000</xdr:colOff>
      <xdr:row>11</xdr:row>
      <xdr:rowOff>183843</xdr:rowOff>
    </xdr:to>
    <xdr:sp macro="" textlink="">
      <xdr:nvSpPr>
        <xdr:cNvPr id="16" name="Estrela: 5 Pontas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7848600" y="2058035"/>
          <a:ext cx="6985" cy="22098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10</xdr:row>
      <xdr:rowOff>1</xdr:rowOff>
    </xdr:from>
    <xdr:to>
      <xdr:col>7</xdr:col>
      <xdr:colOff>3194802</xdr:colOff>
      <xdr:row>11</xdr:row>
      <xdr:rowOff>7682</xdr:rowOff>
    </xdr:to>
    <xdr:sp macro="" textlink="">
      <xdr:nvSpPr>
        <xdr:cNvPr id="18" name="Estrela: 5 Pontas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6202025" y="1905000"/>
          <a:ext cx="0" cy="19812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10</xdr:row>
      <xdr:rowOff>153630</xdr:rowOff>
    </xdr:from>
    <xdr:to>
      <xdr:col>8</xdr:col>
      <xdr:colOff>7000</xdr:colOff>
      <xdr:row>11</xdr:row>
      <xdr:rowOff>183843</xdr:rowOff>
    </xdr:to>
    <xdr:sp macro="" textlink="">
      <xdr:nvSpPr>
        <xdr:cNvPr id="19" name="Estrela: 5 Pontas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6202025" y="2058035"/>
          <a:ext cx="6985" cy="22098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3057218</xdr:colOff>
      <xdr:row>11</xdr:row>
      <xdr:rowOff>1</xdr:rowOff>
    </xdr:from>
    <xdr:to>
      <xdr:col>3</xdr:col>
      <xdr:colOff>3194802</xdr:colOff>
      <xdr:row>12</xdr:row>
      <xdr:rowOff>7682</xdr:rowOff>
    </xdr:to>
    <xdr:sp macro="" textlink="">
      <xdr:nvSpPr>
        <xdr:cNvPr id="21" name="Estrela: 5 Pontas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7848600" y="2095500"/>
          <a:ext cx="0" cy="19812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3072581</xdr:colOff>
      <xdr:row>11</xdr:row>
      <xdr:rowOff>153630</xdr:rowOff>
    </xdr:from>
    <xdr:to>
      <xdr:col>4</xdr:col>
      <xdr:colOff>7000</xdr:colOff>
      <xdr:row>12</xdr:row>
      <xdr:rowOff>183843</xdr:rowOff>
    </xdr:to>
    <xdr:sp macro="" textlink="">
      <xdr:nvSpPr>
        <xdr:cNvPr id="22" name="Estrela: 5 Pontas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7848600" y="2248535"/>
          <a:ext cx="6985" cy="22098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11</xdr:row>
      <xdr:rowOff>1</xdr:rowOff>
    </xdr:from>
    <xdr:to>
      <xdr:col>7</xdr:col>
      <xdr:colOff>3194802</xdr:colOff>
      <xdr:row>12</xdr:row>
      <xdr:rowOff>7682</xdr:rowOff>
    </xdr:to>
    <xdr:sp macro="" textlink="">
      <xdr:nvSpPr>
        <xdr:cNvPr id="23" name="Estrela: 5 Pontas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6202025" y="2095500"/>
          <a:ext cx="0" cy="19812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11</xdr:row>
      <xdr:rowOff>153630</xdr:rowOff>
    </xdr:from>
    <xdr:to>
      <xdr:col>8</xdr:col>
      <xdr:colOff>7000</xdr:colOff>
      <xdr:row>12</xdr:row>
      <xdr:rowOff>183843</xdr:rowOff>
    </xdr:to>
    <xdr:sp macro="" textlink="">
      <xdr:nvSpPr>
        <xdr:cNvPr id="24" name="Estrela: 5 Pontas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6202025" y="2248535"/>
          <a:ext cx="6985" cy="22098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3041855</xdr:colOff>
      <xdr:row>18</xdr:row>
      <xdr:rowOff>161311</xdr:rowOff>
    </xdr:from>
    <xdr:to>
      <xdr:col>3</xdr:col>
      <xdr:colOff>3179439</xdr:colOff>
      <xdr:row>19</xdr:row>
      <xdr:rowOff>191525</xdr:rowOff>
    </xdr:to>
    <xdr:sp macro="" textlink="">
      <xdr:nvSpPr>
        <xdr:cNvPr id="26" name="Estrela: 5 Pontas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7848600" y="3590290"/>
          <a:ext cx="0" cy="21971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3041856</xdr:colOff>
      <xdr:row>21</xdr:row>
      <xdr:rowOff>184355</xdr:rowOff>
    </xdr:from>
    <xdr:to>
      <xdr:col>3</xdr:col>
      <xdr:colOff>3179440</xdr:colOff>
      <xdr:row>23</xdr:row>
      <xdr:rowOff>22532</xdr:rowOff>
    </xdr:to>
    <xdr:sp macro="" textlink="">
      <xdr:nvSpPr>
        <xdr:cNvPr id="27" name="Estrela: 5 Pontas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7848600" y="4184650"/>
          <a:ext cx="0" cy="21907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3057218</xdr:colOff>
      <xdr:row>13</xdr:row>
      <xdr:rowOff>1</xdr:rowOff>
    </xdr:from>
    <xdr:to>
      <xdr:col>3</xdr:col>
      <xdr:colOff>3194802</xdr:colOff>
      <xdr:row>14</xdr:row>
      <xdr:rowOff>7682</xdr:rowOff>
    </xdr:to>
    <xdr:sp macro="" textlink="">
      <xdr:nvSpPr>
        <xdr:cNvPr id="30" name="Estrela: 5 Pontas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7848600" y="2476500"/>
          <a:ext cx="0" cy="19812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3072581</xdr:colOff>
      <xdr:row>20</xdr:row>
      <xdr:rowOff>153630</xdr:rowOff>
    </xdr:from>
    <xdr:to>
      <xdr:col>4</xdr:col>
      <xdr:colOff>7000</xdr:colOff>
      <xdr:row>21</xdr:row>
      <xdr:rowOff>183843</xdr:rowOff>
    </xdr:to>
    <xdr:sp macro="" textlink="">
      <xdr:nvSpPr>
        <xdr:cNvPr id="32" name="Estrela: 5 Pontas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7848600" y="3963035"/>
          <a:ext cx="6985" cy="22098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3057218</xdr:colOff>
      <xdr:row>23</xdr:row>
      <xdr:rowOff>1</xdr:rowOff>
    </xdr:from>
    <xdr:to>
      <xdr:col>3</xdr:col>
      <xdr:colOff>3194802</xdr:colOff>
      <xdr:row>24</xdr:row>
      <xdr:rowOff>7682</xdr:rowOff>
    </xdr:to>
    <xdr:sp macro="" textlink="">
      <xdr:nvSpPr>
        <xdr:cNvPr id="34" name="Estrela: 5 Pontas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7848600" y="4381500"/>
          <a:ext cx="0" cy="19812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3072581</xdr:colOff>
      <xdr:row>23</xdr:row>
      <xdr:rowOff>153630</xdr:rowOff>
    </xdr:from>
    <xdr:to>
      <xdr:col>4</xdr:col>
      <xdr:colOff>7000</xdr:colOff>
      <xdr:row>24</xdr:row>
      <xdr:rowOff>183843</xdr:rowOff>
    </xdr:to>
    <xdr:sp macro="" textlink="">
      <xdr:nvSpPr>
        <xdr:cNvPr id="35" name="Estrela: 5 Pontas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7848600" y="4534535"/>
          <a:ext cx="6985" cy="22098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23</xdr:row>
      <xdr:rowOff>1</xdr:rowOff>
    </xdr:from>
    <xdr:to>
      <xdr:col>7</xdr:col>
      <xdr:colOff>3194802</xdr:colOff>
      <xdr:row>24</xdr:row>
      <xdr:rowOff>7682</xdr:rowOff>
    </xdr:to>
    <xdr:sp macro="" textlink="">
      <xdr:nvSpPr>
        <xdr:cNvPr id="36" name="Estrela: 5 Pontas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6202025" y="4381500"/>
          <a:ext cx="0" cy="19812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23</xdr:row>
      <xdr:rowOff>153630</xdr:rowOff>
    </xdr:from>
    <xdr:to>
      <xdr:col>8</xdr:col>
      <xdr:colOff>7000</xdr:colOff>
      <xdr:row>24</xdr:row>
      <xdr:rowOff>183843</xdr:rowOff>
    </xdr:to>
    <xdr:sp macro="" textlink="">
      <xdr:nvSpPr>
        <xdr:cNvPr id="37" name="Estrela: 5 Pontas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6202025" y="4534535"/>
          <a:ext cx="6985" cy="22098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3057218</xdr:colOff>
      <xdr:row>24</xdr:row>
      <xdr:rowOff>1</xdr:rowOff>
    </xdr:from>
    <xdr:to>
      <xdr:col>3</xdr:col>
      <xdr:colOff>3194802</xdr:colOff>
      <xdr:row>93</xdr:row>
      <xdr:rowOff>7682</xdr:rowOff>
    </xdr:to>
    <xdr:sp macro="" textlink="">
      <xdr:nvSpPr>
        <xdr:cNvPr id="38" name="Estrela: 5 Pontas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7848600" y="4572000"/>
          <a:ext cx="0" cy="1293304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3072581</xdr:colOff>
      <xdr:row>24</xdr:row>
      <xdr:rowOff>153630</xdr:rowOff>
    </xdr:from>
    <xdr:to>
      <xdr:col>4</xdr:col>
      <xdr:colOff>7000</xdr:colOff>
      <xdr:row>93</xdr:row>
      <xdr:rowOff>183843</xdr:rowOff>
    </xdr:to>
    <xdr:sp macro="" textlink="">
      <xdr:nvSpPr>
        <xdr:cNvPr id="39" name="Estrela: 5 Pontas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7848600" y="4725035"/>
          <a:ext cx="6985" cy="1295590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24</xdr:row>
      <xdr:rowOff>1</xdr:rowOff>
    </xdr:from>
    <xdr:to>
      <xdr:col>7</xdr:col>
      <xdr:colOff>3194802</xdr:colOff>
      <xdr:row>93</xdr:row>
      <xdr:rowOff>7682</xdr:rowOff>
    </xdr:to>
    <xdr:sp macro="" textlink="">
      <xdr:nvSpPr>
        <xdr:cNvPr id="40" name="Estrela: 5 Pontas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6202025" y="4572000"/>
          <a:ext cx="0" cy="1293304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24</xdr:row>
      <xdr:rowOff>153630</xdr:rowOff>
    </xdr:from>
    <xdr:to>
      <xdr:col>8</xdr:col>
      <xdr:colOff>7000</xdr:colOff>
      <xdr:row>93</xdr:row>
      <xdr:rowOff>183843</xdr:rowOff>
    </xdr:to>
    <xdr:sp macro="" textlink="">
      <xdr:nvSpPr>
        <xdr:cNvPr id="41" name="Estrela: 5 Pontas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6202025" y="4725035"/>
          <a:ext cx="6985" cy="1295590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3034173</xdr:colOff>
      <xdr:row>26</xdr:row>
      <xdr:rowOff>145948</xdr:rowOff>
    </xdr:from>
    <xdr:to>
      <xdr:col>3</xdr:col>
      <xdr:colOff>3171757</xdr:colOff>
      <xdr:row>93</xdr:row>
      <xdr:rowOff>176161</xdr:rowOff>
    </xdr:to>
    <xdr:sp macro="" textlink="">
      <xdr:nvSpPr>
        <xdr:cNvPr id="42" name="Estrela: 5 Pontas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7844155" y="5098415"/>
          <a:ext cx="4445" cy="1257490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3058583</xdr:colOff>
      <xdr:row>28</xdr:row>
      <xdr:rowOff>169333</xdr:rowOff>
    </xdr:from>
    <xdr:to>
      <xdr:col>4</xdr:col>
      <xdr:colOff>0</xdr:colOff>
      <xdr:row>30</xdr:row>
      <xdr:rowOff>10583</xdr:rowOff>
    </xdr:to>
    <xdr:sp macro="" textlink="">
      <xdr:nvSpPr>
        <xdr:cNvPr id="44" name="Estrela: 5 Pontas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7848600" y="5502910"/>
          <a:ext cx="0" cy="2222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3041854</xdr:colOff>
      <xdr:row>28</xdr:row>
      <xdr:rowOff>7682</xdr:rowOff>
    </xdr:from>
    <xdr:to>
      <xdr:col>3</xdr:col>
      <xdr:colOff>3179438</xdr:colOff>
      <xdr:row>29</xdr:row>
      <xdr:rowOff>37895</xdr:rowOff>
    </xdr:to>
    <xdr:sp macro="" textlink="">
      <xdr:nvSpPr>
        <xdr:cNvPr id="45" name="Estrela: 5 Pontas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7848600" y="5341620"/>
          <a:ext cx="0" cy="22034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2838450</xdr:colOff>
      <xdr:row>7</xdr:row>
      <xdr:rowOff>0</xdr:rowOff>
    </xdr:from>
    <xdr:to>
      <xdr:col>3</xdr:col>
      <xdr:colOff>2968353</xdr:colOff>
      <xdr:row>8</xdr:row>
      <xdr:rowOff>45579</xdr:rowOff>
    </xdr:to>
    <xdr:sp macro="" textlink="">
      <xdr:nvSpPr>
        <xdr:cNvPr id="46" name="Estrela: 5 Pontas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7648575" y="1333500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2857500</xdr:colOff>
      <xdr:row>9</xdr:row>
      <xdr:rowOff>133350</xdr:rowOff>
    </xdr:from>
    <xdr:to>
      <xdr:col>3</xdr:col>
      <xdr:colOff>2987403</xdr:colOff>
      <xdr:row>10</xdr:row>
      <xdr:rowOff>178929</xdr:rowOff>
    </xdr:to>
    <xdr:sp macro="" textlink="">
      <xdr:nvSpPr>
        <xdr:cNvPr id="47" name="Estrela: 5 Pontas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7667625" y="1847850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2828925</xdr:colOff>
      <xdr:row>10</xdr:row>
      <xdr:rowOff>161925</xdr:rowOff>
    </xdr:from>
    <xdr:to>
      <xdr:col>3</xdr:col>
      <xdr:colOff>2958828</xdr:colOff>
      <xdr:row>12</xdr:row>
      <xdr:rowOff>17004</xdr:rowOff>
    </xdr:to>
    <xdr:sp macro="" textlink="">
      <xdr:nvSpPr>
        <xdr:cNvPr id="48" name="Estrela: 5 Pontas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7639050" y="2066925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2819400</xdr:colOff>
      <xdr:row>12</xdr:row>
      <xdr:rowOff>38100</xdr:rowOff>
    </xdr:from>
    <xdr:to>
      <xdr:col>3</xdr:col>
      <xdr:colOff>3019425</xdr:colOff>
      <xdr:row>13</xdr:row>
      <xdr:rowOff>38100</xdr:rowOff>
    </xdr:to>
    <xdr:sp macro="" textlink="">
      <xdr:nvSpPr>
        <xdr:cNvPr id="49" name="Estrela: 5 Pontas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7629525" y="2324100"/>
          <a:ext cx="200025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2847975</xdr:colOff>
      <xdr:row>13</xdr:row>
      <xdr:rowOff>0</xdr:rowOff>
    </xdr:from>
    <xdr:to>
      <xdr:col>3</xdr:col>
      <xdr:colOff>2977878</xdr:colOff>
      <xdr:row>14</xdr:row>
      <xdr:rowOff>7479</xdr:rowOff>
    </xdr:to>
    <xdr:sp macro="" textlink="">
      <xdr:nvSpPr>
        <xdr:cNvPr id="50" name="Estrela: 5 Pontas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7658100" y="2476500"/>
          <a:ext cx="129540" cy="1974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2867025</xdr:colOff>
      <xdr:row>13</xdr:row>
      <xdr:rowOff>180975</xdr:rowOff>
    </xdr:from>
    <xdr:to>
      <xdr:col>3</xdr:col>
      <xdr:colOff>2996928</xdr:colOff>
      <xdr:row>15</xdr:row>
      <xdr:rowOff>36054</xdr:rowOff>
    </xdr:to>
    <xdr:sp macro="" textlink="">
      <xdr:nvSpPr>
        <xdr:cNvPr id="51" name="Estrela: 5 Pontas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7677150" y="2657475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2857500</xdr:colOff>
      <xdr:row>14</xdr:row>
      <xdr:rowOff>142875</xdr:rowOff>
    </xdr:from>
    <xdr:to>
      <xdr:col>3</xdr:col>
      <xdr:colOff>2987403</xdr:colOff>
      <xdr:row>15</xdr:row>
      <xdr:rowOff>188454</xdr:rowOff>
    </xdr:to>
    <xdr:sp macro="" textlink="">
      <xdr:nvSpPr>
        <xdr:cNvPr id="52" name="Estrela: 5 Pontas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7667625" y="2809875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2819400</xdr:colOff>
      <xdr:row>16</xdr:row>
      <xdr:rowOff>133350</xdr:rowOff>
    </xdr:from>
    <xdr:to>
      <xdr:col>3</xdr:col>
      <xdr:colOff>2949303</xdr:colOff>
      <xdr:row>17</xdr:row>
      <xdr:rowOff>178929</xdr:rowOff>
    </xdr:to>
    <xdr:sp macro="" textlink="">
      <xdr:nvSpPr>
        <xdr:cNvPr id="53" name="Estrela: 5 Pontas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7629525" y="3181350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2819400</xdr:colOff>
      <xdr:row>18</xdr:row>
      <xdr:rowOff>133350</xdr:rowOff>
    </xdr:from>
    <xdr:to>
      <xdr:col>3</xdr:col>
      <xdr:colOff>2949303</xdr:colOff>
      <xdr:row>19</xdr:row>
      <xdr:rowOff>178929</xdr:rowOff>
    </xdr:to>
    <xdr:sp macro="" textlink="">
      <xdr:nvSpPr>
        <xdr:cNvPr id="54" name="Estrela: 5 Pontas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7629525" y="3562350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2828925</xdr:colOff>
      <xdr:row>19</xdr:row>
      <xdr:rowOff>152400</xdr:rowOff>
    </xdr:from>
    <xdr:to>
      <xdr:col>3</xdr:col>
      <xdr:colOff>2958828</xdr:colOff>
      <xdr:row>21</xdr:row>
      <xdr:rowOff>7479</xdr:rowOff>
    </xdr:to>
    <xdr:sp macro="" textlink="">
      <xdr:nvSpPr>
        <xdr:cNvPr id="55" name="Estrela: 5 Pontas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7639050" y="3771900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2838450</xdr:colOff>
      <xdr:row>20</xdr:row>
      <xdr:rowOff>180975</xdr:rowOff>
    </xdr:from>
    <xdr:to>
      <xdr:col>3</xdr:col>
      <xdr:colOff>2968353</xdr:colOff>
      <xdr:row>22</xdr:row>
      <xdr:rowOff>36054</xdr:rowOff>
    </xdr:to>
    <xdr:sp macro="" textlink="">
      <xdr:nvSpPr>
        <xdr:cNvPr id="56" name="Estrela: 5 Pontas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7648575" y="3990975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2819400</xdr:colOff>
      <xdr:row>22</xdr:row>
      <xdr:rowOff>0</xdr:rowOff>
    </xdr:from>
    <xdr:to>
      <xdr:col>3</xdr:col>
      <xdr:colOff>2949303</xdr:colOff>
      <xdr:row>23</xdr:row>
      <xdr:rowOff>45579</xdr:rowOff>
    </xdr:to>
    <xdr:sp macro="" textlink="">
      <xdr:nvSpPr>
        <xdr:cNvPr id="57" name="Estrela: 5 Pontas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7629525" y="4191000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2781300</xdr:colOff>
      <xdr:row>23</xdr:row>
      <xdr:rowOff>123825</xdr:rowOff>
    </xdr:from>
    <xdr:to>
      <xdr:col>3</xdr:col>
      <xdr:colOff>2911203</xdr:colOff>
      <xdr:row>24</xdr:row>
      <xdr:rowOff>169404</xdr:rowOff>
    </xdr:to>
    <xdr:sp macro="" textlink="">
      <xdr:nvSpPr>
        <xdr:cNvPr id="58" name="Estrela: 5 Pontas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7591425" y="4505325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2800350</xdr:colOff>
      <xdr:row>26</xdr:row>
      <xdr:rowOff>171450</xdr:rowOff>
    </xdr:from>
    <xdr:to>
      <xdr:col>3</xdr:col>
      <xdr:colOff>2930253</xdr:colOff>
      <xdr:row>28</xdr:row>
      <xdr:rowOff>26529</xdr:rowOff>
    </xdr:to>
    <xdr:sp macro="" textlink="">
      <xdr:nvSpPr>
        <xdr:cNvPr id="60" name="Estrela: 5 Pontas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7610475" y="5124450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3034174</xdr:colOff>
      <xdr:row>30</xdr:row>
      <xdr:rowOff>107540</xdr:rowOff>
    </xdr:from>
    <xdr:to>
      <xdr:col>3</xdr:col>
      <xdr:colOff>3118670</xdr:colOff>
      <xdr:row>93</xdr:row>
      <xdr:rowOff>22534</xdr:rowOff>
    </xdr:to>
    <xdr:sp macro="" textlink="">
      <xdr:nvSpPr>
        <xdr:cNvPr id="62" name="Estrela: 5 Pontas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7844155" y="5822315"/>
          <a:ext cx="4445" cy="1169733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3057217</xdr:colOff>
      <xdr:row>30</xdr:row>
      <xdr:rowOff>184356</xdr:rowOff>
    </xdr:from>
    <xdr:to>
      <xdr:col>3</xdr:col>
      <xdr:colOff>3194801</xdr:colOff>
      <xdr:row>32</xdr:row>
      <xdr:rowOff>22533</xdr:rowOff>
    </xdr:to>
    <xdr:sp macro="" textlink="">
      <xdr:nvSpPr>
        <xdr:cNvPr id="64" name="Estrela: 5 Pontas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7848600" y="5899150"/>
          <a:ext cx="0" cy="21907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3064899</xdr:colOff>
      <xdr:row>32</xdr:row>
      <xdr:rowOff>176673</xdr:rowOff>
    </xdr:from>
    <xdr:to>
      <xdr:col>3</xdr:col>
      <xdr:colOff>3202483</xdr:colOff>
      <xdr:row>34</xdr:row>
      <xdr:rowOff>14851</xdr:rowOff>
    </xdr:to>
    <xdr:sp macro="" textlink="">
      <xdr:nvSpPr>
        <xdr:cNvPr id="65" name="Estrela: 5 Pontas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7848600" y="6272530"/>
          <a:ext cx="0" cy="21907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3037417</xdr:colOff>
      <xdr:row>35</xdr:row>
      <xdr:rowOff>0</xdr:rowOff>
    </xdr:from>
    <xdr:to>
      <xdr:col>3</xdr:col>
      <xdr:colOff>3175001</xdr:colOff>
      <xdr:row>36</xdr:row>
      <xdr:rowOff>31750</xdr:rowOff>
    </xdr:to>
    <xdr:sp macro="" textlink="">
      <xdr:nvSpPr>
        <xdr:cNvPr id="66" name="Estrela: 5 Pontas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7847330" y="6667500"/>
          <a:ext cx="1270" cy="2222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3041855</xdr:colOff>
      <xdr:row>36</xdr:row>
      <xdr:rowOff>153629</xdr:rowOff>
    </xdr:from>
    <xdr:to>
      <xdr:col>3</xdr:col>
      <xdr:colOff>3171758</xdr:colOff>
      <xdr:row>93</xdr:row>
      <xdr:rowOff>7171</xdr:rowOff>
    </xdr:to>
    <xdr:sp macro="" textlink="">
      <xdr:nvSpPr>
        <xdr:cNvPr id="68" name="Estrela: 5 Pontas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7848600" y="7011035"/>
          <a:ext cx="0" cy="1049337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3034173</xdr:colOff>
      <xdr:row>37</xdr:row>
      <xdr:rowOff>145948</xdr:rowOff>
    </xdr:from>
    <xdr:to>
      <xdr:col>3</xdr:col>
      <xdr:colOff>3171757</xdr:colOff>
      <xdr:row>38</xdr:row>
      <xdr:rowOff>176161</xdr:rowOff>
    </xdr:to>
    <xdr:sp macro="" textlink="">
      <xdr:nvSpPr>
        <xdr:cNvPr id="70" name="Estrela: 5 Pontas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7844155" y="7193915"/>
          <a:ext cx="4445" cy="22098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2867025</xdr:colOff>
      <xdr:row>4</xdr:row>
      <xdr:rowOff>161925</xdr:rowOff>
    </xdr:from>
    <xdr:to>
      <xdr:col>3</xdr:col>
      <xdr:colOff>2996928</xdr:colOff>
      <xdr:row>6</xdr:row>
      <xdr:rowOff>17004</xdr:rowOff>
    </xdr:to>
    <xdr:sp macro="" textlink="">
      <xdr:nvSpPr>
        <xdr:cNvPr id="72" name="Estrela: 5 Pontas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7677150" y="923925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2800350</xdr:colOff>
      <xdr:row>24</xdr:row>
      <xdr:rowOff>161925</xdr:rowOff>
    </xdr:from>
    <xdr:to>
      <xdr:col>3</xdr:col>
      <xdr:colOff>2930253</xdr:colOff>
      <xdr:row>26</xdr:row>
      <xdr:rowOff>17004</xdr:rowOff>
    </xdr:to>
    <xdr:sp macro="" textlink="">
      <xdr:nvSpPr>
        <xdr:cNvPr id="73" name="Estrela: 5 Pontas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7610475" y="4733925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2857500</xdr:colOff>
      <xdr:row>28</xdr:row>
      <xdr:rowOff>123825</xdr:rowOff>
    </xdr:from>
    <xdr:to>
      <xdr:col>3</xdr:col>
      <xdr:colOff>2987403</xdr:colOff>
      <xdr:row>29</xdr:row>
      <xdr:rowOff>169404</xdr:rowOff>
    </xdr:to>
    <xdr:sp macro="" textlink="">
      <xdr:nvSpPr>
        <xdr:cNvPr id="74" name="Estrela: 5 Pontas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7667625" y="5457825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2790825</xdr:colOff>
      <xdr:row>30</xdr:row>
      <xdr:rowOff>114300</xdr:rowOff>
    </xdr:from>
    <xdr:to>
      <xdr:col>3</xdr:col>
      <xdr:colOff>2920728</xdr:colOff>
      <xdr:row>31</xdr:row>
      <xdr:rowOff>159879</xdr:rowOff>
    </xdr:to>
    <xdr:sp macro="" textlink="">
      <xdr:nvSpPr>
        <xdr:cNvPr id="75" name="Estrela: 5 Pontas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7600950" y="5829300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2828925</xdr:colOff>
      <xdr:row>31</xdr:row>
      <xdr:rowOff>114300</xdr:rowOff>
    </xdr:from>
    <xdr:to>
      <xdr:col>3</xdr:col>
      <xdr:colOff>2958828</xdr:colOff>
      <xdr:row>32</xdr:row>
      <xdr:rowOff>159879</xdr:rowOff>
    </xdr:to>
    <xdr:sp macro="" textlink="">
      <xdr:nvSpPr>
        <xdr:cNvPr id="76" name="Estrela: 5 Pontas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7639050" y="6019800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2838450</xdr:colOff>
      <xdr:row>32</xdr:row>
      <xdr:rowOff>142875</xdr:rowOff>
    </xdr:from>
    <xdr:to>
      <xdr:col>3</xdr:col>
      <xdr:colOff>2968353</xdr:colOff>
      <xdr:row>33</xdr:row>
      <xdr:rowOff>188454</xdr:rowOff>
    </xdr:to>
    <xdr:sp macro="" textlink="">
      <xdr:nvSpPr>
        <xdr:cNvPr id="77" name="Estrela: 5 Pontas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7648575" y="6238875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2809875</xdr:colOff>
      <xdr:row>34</xdr:row>
      <xdr:rowOff>161925</xdr:rowOff>
    </xdr:from>
    <xdr:to>
      <xdr:col>3</xdr:col>
      <xdr:colOff>2939778</xdr:colOff>
      <xdr:row>36</xdr:row>
      <xdr:rowOff>17004</xdr:rowOff>
    </xdr:to>
    <xdr:sp macro="" textlink="">
      <xdr:nvSpPr>
        <xdr:cNvPr id="78" name="Estrela: 5 Pontas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7620000" y="6638925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2819400</xdr:colOff>
      <xdr:row>36</xdr:row>
      <xdr:rowOff>161925</xdr:rowOff>
    </xdr:from>
    <xdr:to>
      <xdr:col>3</xdr:col>
      <xdr:colOff>2949303</xdr:colOff>
      <xdr:row>38</xdr:row>
      <xdr:rowOff>17004</xdr:rowOff>
    </xdr:to>
    <xdr:sp macro="" textlink="">
      <xdr:nvSpPr>
        <xdr:cNvPr id="79" name="Estrela: 5 Pontas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7629525" y="7019925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2809875</xdr:colOff>
      <xdr:row>37</xdr:row>
      <xdr:rowOff>171450</xdr:rowOff>
    </xdr:from>
    <xdr:to>
      <xdr:col>3</xdr:col>
      <xdr:colOff>2939778</xdr:colOff>
      <xdr:row>39</xdr:row>
      <xdr:rowOff>26529</xdr:rowOff>
    </xdr:to>
    <xdr:sp macro="" textlink="">
      <xdr:nvSpPr>
        <xdr:cNvPr id="80" name="Estrela: 5 Pontas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7620000" y="7219950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3064899</xdr:colOff>
      <xdr:row>41</xdr:row>
      <xdr:rowOff>176673</xdr:rowOff>
    </xdr:from>
    <xdr:to>
      <xdr:col>3</xdr:col>
      <xdr:colOff>3202483</xdr:colOff>
      <xdr:row>43</xdr:row>
      <xdr:rowOff>14851</xdr:rowOff>
    </xdr:to>
    <xdr:sp macro="" textlink="">
      <xdr:nvSpPr>
        <xdr:cNvPr id="10" name="Estrela: 5 Pontas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7848600" y="7972425"/>
          <a:ext cx="0" cy="20510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2838450</xdr:colOff>
      <xdr:row>41</xdr:row>
      <xdr:rowOff>142875</xdr:rowOff>
    </xdr:from>
    <xdr:to>
      <xdr:col>3</xdr:col>
      <xdr:colOff>2968353</xdr:colOff>
      <xdr:row>42</xdr:row>
      <xdr:rowOff>188454</xdr:rowOff>
    </xdr:to>
    <xdr:sp macro="" textlink="">
      <xdr:nvSpPr>
        <xdr:cNvPr id="12" name="Estrela: 5 Pontas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7648575" y="7953375"/>
          <a:ext cx="129540" cy="20701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2838450</xdr:colOff>
      <xdr:row>40</xdr:row>
      <xdr:rowOff>152400</xdr:rowOff>
    </xdr:from>
    <xdr:to>
      <xdr:col>3</xdr:col>
      <xdr:colOff>2968353</xdr:colOff>
      <xdr:row>42</xdr:row>
      <xdr:rowOff>7479</xdr:rowOff>
    </xdr:to>
    <xdr:sp macro="" textlink="">
      <xdr:nvSpPr>
        <xdr:cNvPr id="14" name="Estrela: 5 Pontas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648575" y="7772400"/>
          <a:ext cx="129540" cy="20701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43</xdr:row>
      <xdr:rowOff>1</xdr:rowOff>
    </xdr:from>
    <xdr:to>
      <xdr:col>7</xdr:col>
      <xdr:colOff>3194802</xdr:colOff>
      <xdr:row>44</xdr:row>
      <xdr:rowOff>7682</xdr:rowOff>
    </xdr:to>
    <xdr:sp macro="" textlink="">
      <xdr:nvSpPr>
        <xdr:cNvPr id="83" name="Estrela: 5 Pontas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16202025" y="8162925"/>
          <a:ext cx="0" cy="19812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43</xdr:row>
      <xdr:rowOff>153630</xdr:rowOff>
    </xdr:from>
    <xdr:to>
      <xdr:col>8</xdr:col>
      <xdr:colOff>7000</xdr:colOff>
      <xdr:row>44</xdr:row>
      <xdr:rowOff>183843</xdr:rowOff>
    </xdr:to>
    <xdr:sp macro="" textlink="">
      <xdr:nvSpPr>
        <xdr:cNvPr id="84" name="Estrela: 5 Pontas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16202025" y="8315960"/>
          <a:ext cx="6985" cy="22098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2781300</xdr:colOff>
      <xdr:row>43</xdr:row>
      <xdr:rowOff>123825</xdr:rowOff>
    </xdr:from>
    <xdr:to>
      <xdr:col>3</xdr:col>
      <xdr:colOff>2911203</xdr:colOff>
      <xdr:row>44</xdr:row>
      <xdr:rowOff>169404</xdr:rowOff>
    </xdr:to>
    <xdr:sp macro="" textlink="">
      <xdr:nvSpPr>
        <xdr:cNvPr id="85" name="Estrela: 5 Pontas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7591425" y="8286750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3041855</xdr:colOff>
      <xdr:row>49</xdr:row>
      <xdr:rowOff>0</xdr:rowOff>
    </xdr:from>
    <xdr:to>
      <xdr:col>3</xdr:col>
      <xdr:colOff>3179439</xdr:colOff>
      <xdr:row>50</xdr:row>
      <xdr:rowOff>7170</xdr:rowOff>
    </xdr:to>
    <xdr:sp macro="" textlink="">
      <xdr:nvSpPr>
        <xdr:cNvPr id="71" name="Estrela: 5 Pontas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7848600" y="9305925"/>
          <a:ext cx="0" cy="1974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3026491</xdr:colOff>
      <xdr:row>47</xdr:row>
      <xdr:rowOff>7681</xdr:rowOff>
    </xdr:from>
    <xdr:to>
      <xdr:col>3</xdr:col>
      <xdr:colOff>3187802</xdr:colOff>
      <xdr:row>48</xdr:row>
      <xdr:rowOff>22533</xdr:rowOff>
    </xdr:to>
    <xdr:sp macro="" textlink="">
      <xdr:nvSpPr>
        <xdr:cNvPr id="86" name="Estrela: 5 Pontas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7836535" y="8932545"/>
          <a:ext cx="12065" cy="20510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2828925</xdr:colOff>
      <xdr:row>105</xdr:row>
      <xdr:rowOff>123825</xdr:rowOff>
    </xdr:from>
    <xdr:to>
      <xdr:col>3</xdr:col>
      <xdr:colOff>2958828</xdr:colOff>
      <xdr:row>106</xdr:row>
      <xdr:rowOff>169404</xdr:rowOff>
    </xdr:to>
    <xdr:sp macro="" textlink="">
      <xdr:nvSpPr>
        <xdr:cNvPr id="87" name="Estrela: 5 Pontas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7639050" y="19907250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2847975</xdr:colOff>
      <xdr:row>46</xdr:row>
      <xdr:rowOff>152400</xdr:rowOff>
    </xdr:from>
    <xdr:to>
      <xdr:col>3</xdr:col>
      <xdr:colOff>2977878</xdr:colOff>
      <xdr:row>48</xdr:row>
      <xdr:rowOff>7479</xdr:rowOff>
    </xdr:to>
    <xdr:sp macro="" textlink="">
      <xdr:nvSpPr>
        <xdr:cNvPr id="88" name="Estrela: 5 Pontas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7658100" y="8886825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2857500</xdr:colOff>
      <xdr:row>48</xdr:row>
      <xdr:rowOff>180975</xdr:rowOff>
    </xdr:from>
    <xdr:to>
      <xdr:col>3</xdr:col>
      <xdr:colOff>2987403</xdr:colOff>
      <xdr:row>50</xdr:row>
      <xdr:rowOff>36054</xdr:rowOff>
    </xdr:to>
    <xdr:sp macro="" textlink="">
      <xdr:nvSpPr>
        <xdr:cNvPr id="89" name="Estrela: 5 Pontas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7667625" y="9296400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2876550</xdr:colOff>
      <xdr:row>45</xdr:row>
      <xdr:rowOff>0</xdr:rowOff>
    </xdr:from>
    <xdr:to>
      <xdr:col>3</xdr:col>
      <xdr:colOff>3006453</xdr:colOff>
      <xdr:row>46</xdr:row>
      <xdr:rowOff>45579</xdr:rowOff>
    </xdr:to>
    <xdr:sp macro="" textlink="">
      <xdr:nvSpPr>
        <xdr:cNvPr id="91" name="Estrela: 5 Pontas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7686675" y="8543925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3057525</xdr:colOff>
      <xdr:row>52</xdr:row>
      <xdr:rowOff>0</xdr:rowOff>
    </xdr:from>
    <xdr:to>
      <xdr:col>4</xdr:col>
      <xdr:colOff>18436</xdr:colOff>
      <xdr:row>93</xdr:row>
      <xdr:rowOff>14852</xdr:rowOff>
    </xdr:to>
    <xdr:sp macro="" textlink="">
      <xdr:nvSpPr>
        <xdr:cNvPr id="81" name="Estrela: 5 Pontas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7848600" y="9877425"/>
          <a:ext cx="18415" cy="763460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3026492</xdr:colOff>
      <xdr:row>52</xdr:row>
      <xdr:rowOff>176673</xdr:rowOff>
    </xdr:from>
    <xdr:to>
      <xdr:col>3</xdr:col>
      <xdr:colOff>3187803</xdr:colOff>
      <xdr:row>53</xdr:row>
      <xdr:rowOff>191525</xdr:rowOff>
    </xdr:to>
    <xdr:sp macro="" textlink="">
      <xdr:nvSpPr>
        <xdr:cNvPr id="90" name="Estrela: 5 Pontas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7836535" y="10053955"/>
          <a:ext cx="12065" cy="20447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2733675</xdr:colOff>
      <xdr:row>52</xdr:row>
      <xdr:rowOff>19050</xdr:rowOff>
    </xdr:from>
    <xdr:to>
      <xdr:col>3</xdr:col>
      <xdr:colOff>2990850</xdr:colOff>
      <xdr:row>53</xdr:row>
      <xdr:rowOff>28575</xdr:rowOff>
    </xdr:to>
    <xdr:sp macro="" textlink="">
      <xdr:nvSpPr>
        <xdr:cNvPr id="92" name="Estrela: 5 Pontas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7543800" y="9896475"/>
          <a:ext cx="257175" cy="2000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2809875</xdr:colOff>
      <xdr:row>58</xdr:row>
      <xdr:rowOff>22860</xdr:rowOff>
    </xdr:from>
    <xdr:to>
      <xdr:col>3</xdr:col>
      <xdr:colOff>2988310</xdr:colOff>
      <xdr:row>59</xdr:row>
      <xdr:rowOff>54610</xdr:rowOff>
    </xdr:to>
    <xdr:sp macro="" textlink="">
      <xdr:nvSpPr>
        <xdr:cNvPr id="93" name="Estrela: 5 Pontas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7620000" y="11043285"/>
          <a:ext cx="178435" cy="2222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2809875</xdr:colOff>
      <xdr:row>52</xdr:row>
      <xdr:rowOff>180975</xdr:rowOff>
    </xdr:from>
    <xdr:to>
      <xdr:col>3</xdr:col>
      <xdr:colOff>2939778</xdr:colOff>
      <xdr:row>54</xdr:row>
      <xdr:rowOff>36054</xdr:rowOff>
    </xdr:to>
    <xdr:sp macro="" textlink="">
      <xdr:nvSpPr>
        <xdr:cNvPr id="94" name="Estrela: 5 Pontas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7620000" y="10058400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3041855</xdr:colOff>
      <xdr:row>58</xdr:row>
      <xdr:rowOff>0</xdr:rowOff>
    </xdr:from>
    <xdr:to>
      <xdr:col>3</xdr:col>
      <xdr:colOff>3179439</xdr:colOff>
      <xdr:row>93</xdr:row>
      <xdr:rowOff>7170</xdr:rowOff>
    </xdr:to>
    <xdr:sp macro="" textlink="">
      <xdr:nvSpPr>
        <xdr:cNvPr id="17" name="Estrela: 5 Pontas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7848600" y="11020425"/>
          <a:ext cx="0" cy="64839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3072581</xdr:colOff>
      <xdr:row>57</xdr:row>
      <xdr:rowOff>153630</xdr:rowOff>
    </xdr:from>
    <xdr:to>
      <xdr:col>4</xdr:col>
      <xdr:colOff>7000</xdr:colOff>
      <xdr:row>58</xdr:row>
      <xdr:rowOff>183843</xdr:rowOff>
    </xdr:to>
    <xdr:sp macro="" textlink="">
      <xdr:nvSpPr>
        <xdr:cNvPr id="25" name="Estrela: 5 Pontas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7848600" y="10982960"/>
          <a:ext cx="6985" cy="22098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2774156</xdr:colOff>
      <xdr:row>57</xdr:row>
      <xdr:rowOff>0</xdr:rowOff>
    </xdr:from>
    <xdr:to>
      <xdr:col>3</xdr:col>
      <xdr:colOff>2952750</xdr:colOff>
      <xdr:row>58</xdr:row>
      <xdr:rowOff>66676</xdr:rowOff>
    </xdr:to>
    <xdr:sp macro="" textlink="">
      <xdr:nvSpPr>
        <xdr:cNvPr id="29" name="Estrela: 5 Pontas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7583805" y="10829925"/>
          <a:ext cx="179070" cy="25717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2786063</xdr:colOff>
      <xdr:row>54</xdr:row>
      <xdr:rowOff>0</xdr:rowOff>
    </xdr:from>
    <xdr:to>
      <xdr:col>3</xdr:col>
      <xdr:colOff>2964657</xdr:colOff>
      <xdr:row>55</xdr:row>
      <xdr:rowOff>66676</xdr:rowOff>
    </xdr:to>
    <xdr:sp macro="" textlink="">
      <xdr:nvSpPr>
        <xdr:cNvPr id="31" name="Estrela: 5 Pontas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7595870" y="10258425"/>
          <a:ext cx="178435" cy="25717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2821781</xdr:colOff>
      <xdr:row>55</xdr:row>
      <xdr:rowOff>11907</xdr:rowOff>
    </xdr:from>
    <xdr:to>
      <xdr:col>3</xdr:col>
      <xdr:colOff>3000375</xdr:colOff>
      <xdr:row>56</xdr:row>
      <xdr:rowOff>78583</xdr:rowOff>
    </xdr:to>
    <xdr:sp macro="" textlink="">
      <xdr:nvSpPr>
        <xdr:cNvPr id="33" name="Estrela: 5 Pontas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7631430" y="10460355"/>
          <a:ext cx="179070" cy="25717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3038475</xdr:colOff>
      <xdr:row>58</xdr:row>
      <xdr:rowOff>161925</xdr:rowOff>
    </xdr:from>
    <xdr:to>
      <xdr:col>3</xdr:col>
      <xdr:colOff>3199786</xdr:colOff>
      <xdr:row>59</xdr:row>
      <xdr:rowOff>176777</xdr:rowOff>
    </xdr:to>
    <xdr:sp macro="" textlink="">
      <xdr:nvSpPr>
        <xdr:cNvPr id="43" name="Estrela: 5 Pontas 64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7848600" y="11182350"/>
          <a:ext cx="0" cy="20510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3068586</xdr:colOff>
      <xdr:row>62</xdr:row>
      <xdr:rowOff>142261</xdr:rowOff>
    </xdr:from>
    <xdr:to>
      <xdr:col>4</xdr:col>
      <xdr:colOff>5770</xdr:colOff>
      <xdr:row>63</xdr:row>
      <xdr:rowOff>172475</xdr:rowOff>
    </xdr:to>
    <xdr:sp macro="" textlink="">
      <xdr:nvSpPr>
        <xdr:cNvPr id="28" name="Estrela: 5 Pontas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7848600" y="11924665"/>
          <a:ext cx="5715" cy="22034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3068586</xdr:colOff>
      <xdr:row>60</xdr:row>
      <xdr:rowOff>161311</xdr:rowOff>
    </xdr:from>
    <xdr:to>
      <xdr:col>4</xdr:col>
      <xdr:colOff>5770</xdr:colOff>
      <xdr:row>62</xdr:row>
      <xdr:rowOff>1025</xdr:rowOff>
    </xdr:to>
    <xdr:sp macro="" textlink="">
      <xdr:nvSpPr>
        <xdr:cNvPr id="61" name="Estrela: 5 Pontas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7848600" y="11562715"/>
          <a:ext cx="5715" cy="22034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3068586</xdr:colOff>
      <xdr:row>65</xdr:row>
      <xdr:rowOff>9525</xdr:rowOff>
    </xdr:from>
    <xdr:to>
      <xdr:col>4</xdr:col>
      <xdr:colOff>5770</xdr:colOff>
      <xdr:row>66</xdr:row>
      <xdr:rowOff>10550</xdr:rowOff>
    </xdr:to>
    <xdr:sp macro="" textlink="">
      <xdr:nvSpPr>
        <xdr:cNvPr id="63" name="Estrela: 5 Pontas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7848600" y="12363450"/>
          <a:ext cx="5715" cy="19113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3057525</xdr:colOff>
      <xdr:row>60</xdr:row>
      <xdr:rowOff>0</xdr:rowOff>
    </xdr:from>
    <xdr:to>
      <xdr:col>4</xdr:col>
      <xdr:colOff>18436</xdr:colOff>
      <xdr:row>61</xdr:row>
      <xdr:rowOff>14852</xdr:rowOff>
    </xdr:to>
    <xdr:sp macro="" textlink="">
      <xdr:nvSpPr>
        <xdr:cNvPr id="69" name="Estrela: 5 Pontas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7848600" y="11401425"/>
          <a:ext cx="18415" cy="20510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2850092</xdr:colOff>
      <xdr:row>70</xdr:row>
      <xdr:rowOff>21167</xdr:rowOff>
    </xdr:from>
    <xdr:to>
      <xdr:col>3</xdr:col>
      <xdr:colOff>3107267</xdr:colOff>
      <xdr:row>71</xdr:row>
      <xdr:rowOff>30692</xdr:rowOff>
    </xdr:to>
    <xdr:sp macro="" textlink="">
      <xdr:nvSpPr>
        <xdr:cNvPr id="99" name="Estrela: 5 Pontas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7660005" y="13327380"/>
          <a:ext cx="188595" cy="2000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2861734</xdr:colOff>
      <xdr:row>70</xdr:row>
      <xdr:rowOff>187325</xdr:rowOff>
    </xdr:from>
    <xdr:to>
      <xdr:col>3</xdr:col>
      <xdr:colOff>3118909</xdr:colOff>
      <xdr:row>72</xdr:row>
      <xdr:rowOff>6350</xdr:rowOff>
    </xdr:to>
    <xdr:sp macro="" textlink="">
      <xdr:nvSpPr>
        <xdr:cNvPr id="100" name="Estrela: 5 Pontas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7671435" y="13493750"/>
          <a:ext cx="177165" cy="2000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3034173</xdr:colOff>
      <xdr:row>72</xdr:row>
      <xdr:rowOff>184355</xdr:rowOff>
    </xdr:from>
    <xdr:to>
      <xdr:col>3</xdr:col>
      <xdr:colOff>3171757</xdr:colOff>
      <xdr:row>74</xdr:row>
      <xdr:rowOff>0</xdr:rowOff>
    </xdr:to>
    <xdr:sp macro="" textlink="">
      <xdr:nvSpPr>
        <xdr:cNvPr id="102" name="Estrela: 5 Pontas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7844155" y="13871575"/>
          <a:ext cx="4445" cy="1968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2838450</xdr:colOff>
      <xdr:row>78</xdr:row>
      <xdr:rowOff>119380</xdr:rowOff>
    </xdr:from>
    <xdr:to>
      <xdr:col>3</xdr:col>
      <xdr:colOff>2968353</xdr:colOff>
      <xdr:row>79</xdr:row>
      <xdr:rowOff>164959</xdr:rowOff>
    </xdr:to>
    <xdr:sp macro="" textlink="">
      <xdr:nvSpPr>
        <xdr:cNvPr id="106" name="Estrela: 5 Pontas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7648575" y="14949805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2893060</xdr:colOff>
      <xdr:row>77</xdr:row>
      <xdr:rowOff>154940</xdr:rowOff>
    </xdr:from>
    <xdr:to>
      <xdr:col>3</xdr:col>
      <xdr:colOff>3022600</xdr:colOff>
      <xdr:row>79</xdr:row>
      <xdr:rowOff>9525</xdr:rowOff>
    </xdr:to>
    <xdr:sp macro="" textlink="">
      <xdr:nvSpPr>
        <xdr:cNvPr id="20" name="Estrela: 5 Pontas 8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7703185" y="14794865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2845435</xdr:colOff>
      <xdr:row>74</xdr:row>
      <xdr:rowOff>130810</xdr:rowOff>
    </xdr:from>
    <xdr:to>
      <xdr:col>3</xdr:col>
      <xdr:colOff>2974975</xdr:colOff>
      <xdr:row>76</xdr:row>
      <xdr:rowOff>175895</xdr:rowOff>
    </xdr:to>
    <xdr:sp macro="" textlink="">
      <xdr:nvSpPr>
        <xdr:cNvPr id="59" name="Estrela: 5 Pontas 86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7655560" y="14199235"/>
          <a:ext cx="129540" cy="4260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2845435</xdr:colOff>
      <xdr:row>72</xdr:row>
      <xdr:rowOff>142875</xdr:rowOff>
    </xdr:from>
    <xdr:to>
      <xdr:col>3</xdr:col>
      <xdr:colOff>2974975</xdr:colOff>
      <xdr:row>73</xdr:row>
      <xdr:rowOff>187960</xdr:rowOff>
    </xdr:to>
    <xdr:sp macro="" textlink="">
      <xdr:nvSpPr>
        <xdr:cNvPr id="67" name="Estrela: 5 Pontas 8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7655560" y="13830300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2869565</xdr:colOff>
      <xdr:row>73</xdr:row>
      <xdr:rowOff>154305</xdr:rowOff>
    </xdr:from>
    <xdr:to>
      <xdr:col>3</xdr:col>
      <xdr:colOff>2999105</xdr:colOff>
      <xdr:row>76</xdr:row>
      <xdr:rowOff>8890</xdr:rowOff>
    </xdr:to>
    <xdr:sp macro="" textlink="">
      <xdr:nvSpPr>
        <xdr:cNvPr id="82" name="Estrela: 5 Pontas 86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7679690" y="14032230"/>
          <a:ext cx="129540" cy="4260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2857500</xdr:colOff>
      <xdr:row>69</xdr:row>
      <xdr:rowOff>0</xdr:rowOff>
    </xdr:from>
    <xdr:to>
      <xdr:col>3</xdr:col>
      <xdr:colOff>2987040</xdr:colOff>
      <xdr:row>70</xdr:row>
      <xdr:rowOff>45085</xdr:rowOff>
    </xdr:to>
    <xdr:sp macro="" textlink="">
      <xdr:nvSpPr>
        <xdr:cNvPr id="95" name="Estrela: 5 Pontas 86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7667625" y="13115925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2881630</xdr:colOff>
      <xdr:row>66</xdr:row>
      <xdr:rowOff>154940</xdr:rowOff>
    </xdr:from>
    <xdr:to>
      <xdr:col>3</xdr:col>
      <xdr:colOff>3011170</xdr:colOff>
      <xdr:row>68</xdr:row>
      <xdr:rowOff>9525</xdr:rowOff>
    </xdr:to>
    <xdr:sp macro="" textlink="">
      <xdr:nvSpPr>
        <xdr:cNvPr id="96" name="Estrela: 5 Pontas 86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7691755" y="12699365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2845435</xdr:colOff>
      <xdr:row>64</xdr:row>
      <xdr:rowOff>142875</xdr:rowOff>
    </xdr:from>
    <xdr:to>
      <xdr:col>3</xdr:col>
      <xdr:colOff>2974975</xdr:colOff>
      <xdr:row>65</xdr:row>
      <xdr:rowOff>187960</xdr:rowOff>
    </xdr:to>
    <xdr:sp macro="" textlink="">
      <xdr:nvSpPr>
        <xdr:cNvPr id="97" name="Estrela: 5 Pontas 8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7655560" y="12306300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2833370</xdr:colOff>
      <xdr:row>58</xdr:row>
      <xdr:rowOff>167005</xdr:rowOff>
    </xdr:from>
    <xdr:to>
      <xdr:col>3</xdr:col>
      <xdr:colOff>2962910</xdr:colOff>
      <xdr:row>60</xdr:row>
      <xdr:rowOff>21590</xdr:rowOff>
    </xdr:to>
    <xdr:sp macro="" textlink="">
      <xdr:nvSpPr>
        <xdr:cNvPr id="98" name="Estrela: 5 Pontas 8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7643495" y="11187430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2881630</xdr:colOff>
      <xdr:row>59</xdr:row>
      <xdr:rowOff>154940</xdr:rowOff>
    </xdr:from>
    <xdr:to>
      <xdr:col>3</xdr:col>
      <xdr:colOff>3011170</xdr:colOff>
      <xdr:row>61</xdr:row>
      <xdr:rowOff>9525</xdr:rowOff>
    </xdr:to>
    <xdr:sp macro="" textlink="">
      <xdr:nvSpPr>
        <xdr:cNvPr id="101" name="Estrela: 5 Pontas 8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7691755" y="11365865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2869565</xdr:colOff>
      <xdr:row>60</xdr:row>
      <xdr:rowOff>178435</xdr:rowOff>
    </xdr:from>
    <xdr:to>
      <xdr:col>3</xdr:col>
      <xdr:colOff>2999105</xdr:colOff>
      <xdr:row>62</xdr:row>
      <xdr:rowOff>33020</xdr:rowOff>
    </xdr:to>
    <xdr:sp macro="" textlink="">
      <xdr:nvSpPr>
        <xdr:cNvPr id="103" name="Estrela: 5 Pontas 8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7679690" y="11579860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2869565</xdr:colOff>
      <xdr:row>63</xdr:row>
      <xdr:rowOff>0</xdr:rowOff>
    </xdr:from>
    <xdr:to>
      <xdr:col>3</xdr:col>
      <xdr:colOff>2999105</xdr:colOff>
      <xdr:row>64</xdr:row>
      <xdr:rowOff>45085</xdr:rowOff>
    </xdr:to>
    <xdr:sp macro="" textlink="">
      <xdr:nvSpPr>
        <xdr:cNvPr id="104" name="Estrela: 5 Pontas 86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7679690" y="11972925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3041855</xdr:colOff>
      <xdr:row>81</xdr:row>
      <xdr:rowOff>145948</xdr:rowOff>
    </xdr:from>
    <xdr:to>
      <xdr:col>3</xdr:col>
      <xdr:colOff>3179439</xdr:colOff>
      <xdr:row>82</xdr:row>
      <xdr:rowOff>176161</xdr:rowOff>
    </xdr:to>
    <xdr:sp macro="" textlink="">
      <xdr:nvSpPr>
        <xdr:cNvPr id="109" name="Estrela: 5 Pontas 4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7848600" y="15547340"/>
          <a:ext cx="0" cy="22098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3041855</xdr:colOff>
      <xdr:row>84</xdr:row>
      <xdr:rowOff>7682</xdr:rowOff>
    </xdr:from>
    <xdr:to>
      <xdr:col>3</xdr:col>
      <xdr:colOff>3179439</xdr:colOff>
      <xdr:row>85</xdr:row>
      <xdr:rowOff>23043</xdr:rowOff>
    </xdr:to>
    <xdr:sp macro="" textlink="">
      <xdr:nvSpPr>
        <xdr:cNvPr id="111" name="Estrela: 5 Pontas 54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7848600" y="15981045"/>
          <a:ext cx="0" cy="20574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3003448</xdr:colOff>
      <xdr:row>85</xdr:row>
      <xdr:rowOff>7681</xdr:rowOff>
    </xdr:from>
    <xdr:to>
      <xdr:col>3</xdr:col>
      <xdr:colOff>3164759</xdr:colOff>
      <xdr:row>85</xdr:row>
      <xdr:rowOff>22534</xdr:rowOff>
    </xdr:to>
    <xdr:sp macro="" textlink="">
      <xdr:nvSpPr>
        <xdr:cNvPr id="112" name="Estrela: 5 Pontas 56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7813040" y="16171545"/>
          <a:ext cx="35560" cy="1460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2878455</xdr:colOff>
      <xdr:row>80</xdr:row>
      <xdr:rowOff>154940</xdr:rowOff>
    </xdr:from>
    <xdr:to>
      <xdr:col>3</xdr:col>
      <xdr:colOff>3007995</xdr:colOff>
      <xdr:row>82</xdr:row>
      <xdr:rowOff>9525</xdr:rowOff>
    </xdr:to>
    <xdr:sp macro="" textlink="">
      <xdr:nvSpPr>
        <xdr:cNvPr id="105" name="Estrela: 5 Pontas 8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7688580" y="15366365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2842260</xdr:colOff>
      <xdr:row>82</xdr:row>
      <xdr:rowOff>12065</xdr:rowOff>
    </xdr:from>
    <xdr:to>
      <xdr:col>3</xdr:col>
      <xdr:colOff>2971800</xdr:colOff>
      <xdr:row>83</xdr:row>
      <xdr:rowOff>57150</xdr:rowOff>
    </xdr:to>
    <xdr:sp macro="" textlink="">
      <xdr:nvSpPr>
        <xdr:cNvPr id="108" name="Estrela: 5 Pontas 86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7652385" y="15604490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2865755</xdr:colOff>
      <xdr:row>82</xdr:row>
      <xdr:rowOff>178435</xdr:rowOff>
    </xdr:from>
    <xdr:to>
      <xdr:col>3</xdr:col>
      <xdr:colOff>2995295</xdr:colOff>
      <xdr:row>84</xdr:row>
      <xdr:rowOff>33020</xdr:rowOff>
    </xdr:to>
    <xdr:sp macro="" textlink="">
      <xdr:nvSpPr>
        <xdr:cNvPr id="110" name="Estrela: 5 Pontas 8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7675880" y="15770860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2877820</xdr:colOff>
      <xdr:row>84</xdr:row>
      <xdr:rowOff>107315</xdr:rowOff>
    </xdr:from>
    <xdr:to>
      <xdr:col>3</xdr:col>
      <xdr:colOff>3007360</xdr:colOff>
      <xdr:row>85</xdr:row>
      <xdr:rowOff>152400</xdr:rowOff>
    </xdr:to>
    <xdr:sp macro="" textlink="">
      <xdr:nvSpPr>
        <xdr:cNvPr id="113" name="Estrela: 5 Pontas 8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7687945" y="16080740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3072581</xdr:colOff>
      <xdr:row>85</xdr:row>
      <xdr:rowOff>153630</xdr:rowOff>
    </xdr:from>
    <xdr:to>
      <xdr:col>4</xdr:col>
      <xdr:colOff>7000</xdr:colOff>
      <xdr:row>93</xdr:row>
      <xdr:rowOff>183843</xdr:rowOff>
    </xdr:to>
    <xdr:sp macro="" textlink="">
      <xdr:nvSpPr>
        <xdr:cNvPr id="114" name="Estrela: 5 Pontas 3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7848600" y="16316960"/>
          <a:ext cx="6985" cy="136398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3034173</xdr:colOff>
      <xdr:row>86</xdr:row>
      <xdr:rowOff>1</xdr:rowOff>
    </xdr:from>
    <xdr:to>
      <xdr:col>3</xdr:col>
      <xdr:colOff>3171757</xdr:colOff>
      <xdr:row>87</xdr:row>
      <xdr:rowOff>30215</xdr:rowOff>
    </xdr:to>
    <xdr:sp macro="" textlink="">
      <xdr:nvSpPr>
        <xdr:cNvPr id="118" name="Estrela: 5 Pontas 2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7844155" y="16354425"/>
          <a:ext cx="4445" cy="22034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3041855</xdr:colOff>
      <xdr:row>87</xdr:row>
      <xdr:rowOff>145948</xdr:rowOff>
    </xdr:from>
    <xdr:to>
      <xdr:col>3</xdr:col>
      <xdr:colOff>3179439</xdr:colOff>
      <xdr:row>91</xdr:row>
      <xdr:rowOff>176161</xdr:rowOff>
    </xdr:to>
    <xdr:sp macro="" textlink="">
      <xdr:nvSpPr>
        <xdr:cNvPr id="119" name="Estrela: 5 Pontas 4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7848600" y="16690340"/>
          <a:ext cx="0" cy="60198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3041855</xdr:colOff>
      <xdr:row>87</xdr:row>
      <xdr:rowOff>161311</xdr:rowOff>
    </xdr:from>
    <xdr:to>
      <xdr:col>3</xdr:col>
      <xdr:colOff>3179439</xdr:colOff>
      <xdr:row>91</xdr:row>
      <xdr:rowOff>191525</xdr:rowOff>
    </xdr:to>
    <xdr:sp macro="" textlink="">
      <xdr:nvSpPr>
        <xdr:cNvPr id="120" name="Estrela: 5 Pontas 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7848600" y="16706215"/>
          <a:ext cx="0" cy="60071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3057218</xdr:colOff>
      <xdr:row>87</xdr:row>
      <xdr:rowOff>0</xdr:rowOff>
    </xdr:from>
    <xdr:to>
      <xdr:col>3</xdr:col>
      <xdr:colOff>3194802</xdr:colOff>
      <xdr:row>91</xdr:row>
      <xdr:rowOff>30214</xdr:rowOff>
    </xdr:to>
    <xdr:sp macro="" textlink="">
      <xdr:nvSpPr>
        <xdr:cNvPr id="121" name="Estrela: 5 Pontas 72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7848600" y="16544925"/>
          <a:ext cx="0" cy="60134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2834005</xdr:colOff>
      <xdr:row>85</xdr:row>
      <xdr:rowOff>179070</xdr:rowOff>
    </xdr:from>
    <xdr:to>
      <xdr:col>3</xdr:col>
      <xdr:colOff>2963545</xdr:colOff>
      <xdr:row>87</xdr:row>
      <xdr:rowOff>33655</xdr:rowOff>
    </xdr:to>
    <xdr:sp macro="" textlink="">
      <xdr:nvSpPr>
        <xdr:cNvPr id="122" name="Estrela: 5 Pontas 86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7644130" y="16342995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2869565</xdr:colOff>
      <xdr:row>87</xdr:row>
      <xdr:rowOff>154940</xdr:rowOff>
    </xdr:from>
    <xdr:to>
      <xdr:col>3</xdr:col>
      <xdr:colOff>2999105</xdr:colOff>
      <xdr:row>89</xdr:row>
      <xdr:rowOff>9525</xdr:rowOff>
    </xdr:to>
    <xdr:sp macro="" textlink="">
      <xdr:nvSpPr>
        <xdr:cNvPr id="123" name="Estrela: 5 Pontas 8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7679690" y="16699865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2809875</xdr:colOff>
      <xdr:row>90</xdr:row>
      <xdr:rowOff>71437</xdr:rowOff>
    </xdr:from>
    <xdr:to>
      <xdr:col>3</xdr:col>
      <xdr:colOff>2939415</xdr:colOff>
      <xdr:row>92</xdr:row>
      <xdr:rowOff>116522</xdr:rowOff>
    </xdr:to>
    <xdr:sp macro="" textlink="">
      <xdr:nvSpPr>
        <xdr:cNvPr id="124" name="Estrela: 5 Pontas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7620000" y="17192625"/>
          <a:ext cx="129540" cy="4260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2857500</xdr:colOff>
      <xdr:row>92</xdr:row>
      <xdr:rowOff>142875</xdr:rowOff>
    </xdr:from>
    <xdr:to>
      <xdr:col>3</xdr:col>
      <xdr:colOff>2987040</xdr:colOff>
      <xdr:row>93</xdr:row>
      <xdr:rowOff>187960</xdr:rowOff>
    </xdr:to>
    <xdr:sp macro="" textlink="">
      <xdr:nvSpPr>
        <xdr:cNvPr id="125" name="Estrela: 5 Pontas 8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7667625" y="17449800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3026833</xdr:colOff>
      <xdr:row>90</xdr:row>
      <xdr:rowOff>0</xdr:rowOff>
    </xdr:from>
    <xdr:to>
      <xdr:col>3</xdr:col>
      <xdr:colOff>3164417</xdr:colOff>
      <xdr:row>91</xdr:row>
      <xdr:rowOff>0</xdr:rowOff>
    </xdr:to>
    <xdr:sp macro="" textlink="">
      <xdr:nvSpPr>
        <xdr:cNvPr id="107" name="Estrela: 5 Pontas 106">
          <a:extLst>
            <a:ext uri="{FF2B5EF4-FFF2-40B4-BE49-F238E27FC236}">
              <a16:creationId xmlns:a16="http://schemas.microsoft.com/office/drawing/2014/main" id="{57A7ABAC-7AC1-4916-B02F-7B3BB463DA7D}"/>
            </a:ext>
          </a:extLst>
        </xdr:cNvPr>
        <xdr:cNvSpPr/>
      </xdr:nvSpPr>
      <xdr:spPr>
        <a:xfrm>
          <a:off x="6017683" y="9334500"/>
          <a:ext cx="137584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3041855</xdr:colOff>
      <xdr:row>89</xdr:row>
      <xdr:rowOff>0</xdr:rowOff>
    </xdr:from>
    <xdr:to>
      <xdr:col>3</xdr:col>
      <xdr:colOff>3179439</xdr:colOff>
      <xdr:row>90</xdr:row>
      <xdr:rowOff>30215</xdr:rowOff>
    </xdr:to>
    <xdr:sp macro="" textlink="">
      <xdr:nvSpPr>
        <xdr:cNvPr id="115" name="Estrela: 5 Pontas 114">
          <a:extLst>
            <a:ext uri="{FF2B5EF4-FFF2-40B4-BE49-F238E27FC236}">
              <a16:creationId xmlns:a16="http://schemas.microsoft.com/office/drawing/2014/main" id="{DC4899EB-9AB1-426E-BC43-E36C6EC0D0B8}"/>
            </a:ext>
          </a:extLst>
        </xdr:cNvPr>
        <xdr:cNvSpPr/>
      </xdr:nvSpPr>
      <xdr:spPr>
        <a:xfrm>
          <a:off x="6032705" y="9144000"/>
          <a:ext cx="137584" cy="22071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2881313</xdr:colOff>
      <xdr:row>89</xdr:row>
      <xdr:rowOff>119063</xdr:rowOff>
    </xdr:from>
    <xdr:to>
      <xdr:col>3</xdr:col>
      <xdr:colOff>3011216</xdr:colOff>
      <xdr:row>90</xdr:row>
      <xdr:rowOff>164642</xdr:rowOff>
    </xdr:to>
    <xdr:sp macro="" textlink="">
      <xdr:nvSpPr>
        <xdr:cNvPr id="116" name="Estrela: 5 Pontas 115">
          <a:extLst>
            <a:ext uri="{FF2B5EF4-FFF2-40B4-BE49-F238E27FC236}">
              <a16:creationId xmlns:a16="http://schemas.microsoft.com/office/drawing/2014/main" id="{3CC35FBA-BDA2-45C0-A9A0-90D2FA674938}"/>
            </a:ext>
          </a:extLst>
        </xdr:cNvPr>
        <xdr:cNvSpPr/>
      </xdr:nvSpPr>
      <xdr:spPr>
        <a:xfrm>
          <a:off x="7691438" y="17049751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JS%20Advogados\FINANCEIRO\2024\03%20-%20MAR&#199;O\MAR&#199;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FINANCEIRO\2024\MATRIZ\05%20-%20MAIO\2%20-%20RECEIT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93;REAS%20DE%20ATUA&#199;&#195;O/ASSESSORIA%20EMPRESARIAL/CLIENTES/01%20-%20Claudenir%20Picolotto/DEMONSTRATIVO%20PAGTO%20HONOR&#193;RIOS/DEMONSTRATIVO%20RECEBIMENTOS%20ACUMULADO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JS%20Advogados\FINANCEIRO\2024\04%20-%20ABRIL\ABR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PRINCIPAL"/>
      <sheetName val="RECEITAS"/>
      <sheetName val="DESPESAS"/>
      <sheetName val="ESCRITÓRIO"/>
      <sheetName val="RESERVA JS ADVOGADOS"/>
      <sheetName val="DEMONSTRATIVO"/>
      <sheetName val="J.S"/>
      <sheetName val="JÉTER"/>
      <sheetName val="ELOÍZA"/>
      <sheetName val="CRISTIANO"/>
      <sheetName val="EDUARDO"/>
      <sheetName val="ALEXANDRE"/>
      <sheetName val="RAIMUNDO"/>
      <sheetName val="LORRAINE"/>
      <sheetName val="RENAN"/>
    </sheetNames>
    <sheetDataSet>
      <sheetData sheetId="0">
        <row r="1">
          <cell r="A1" t="str">
            <v>MENU PRINCIPAL</v>
          </cell>
        </row>
      </sheetData>
      <sheetData sheetId="1">
        <row r="3">
          <cell r="L3">
            <v>0.1</v>
          </cell>
        </row>
        <row r="64">
          <cell r="H64" t="str">
            <v>ENTRADA R$350,00 + 6 X R$250,00</v>
          </cell>
        </row>
      </sheetData>
      <sheetData sheetId="2" refreshError="1"/>
      <sheetData sheetId="3">
        <row r="10">
          <cell r="D10">
            <v>6965.7331500000018</v>
          </cell>
        </row>
      </sheetData>
      <sheetData sheetId="4">
        <row r="3">
          <cell r="H3">
            <v>2500</v>
          </cell>
        </row>
      </sheetData>
      <sheetData sheetId="5">
        <row r="5">
          <cell r="F5">
            <v>13515.39725</v>
          </cell>
        </row>
      </sheetData>
      <sheetData sheetId="6">
        <row r="4">
          <cell r="G4">
            <v>6433.8657916666652</v>
          </cell>
        </row>
      </sheetData>
      <sheetData sheetId="7">
        <row r="4">
          <cell r="G4">
            <v>6784.0649583333325</v>
          </cell>
        </row>
      </sheetData>
      <sheetData sheetId="8">
        <row r="4">
          <cell r="G4">
            <v>4028.6823250000011</v>
          </cell>
        </row>
      </sheetData>
      <sheetData sheetId="9">
        <row r="4">
          <cell r="G4">
            <v>6374.2885416666686</v>
          </cell>
        </row>
      </sheetData>
      <sheetData sheetId="10" refreshError="1"/>
      <sheetData sheetId="11" refreshError="1"/>
      <sheetData sheetId="12">
        <row r="4">
          <cell r="H4">
            <v>2.5746666666665305</v>
          </cell>
        </row>
      </sheetData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TAS"/>
      <sheetName val="PREVIDENCIÁRIO"/>
      <sheetName val="SUCESSÕES"/>
      <sheetName val="CÍVEL"/>
      <sheetName val="FAMÍLIA"/>
      <sheetName val="TRABALHISTA"/>
      <sheetName val="CRIMINAL"/>
      <sheetName val="REURB Q.D"/>
      <sheetName val="EMPR-TRIBUT"/>
      <sheetName val="EXTRAJUD"/>
    </sheetNames>
    <sheetDataSet>
      <sheetData sheetId="0">
        <row r="58">
          <cell r="S58">
            <v>10930</v>
          </cell>
        </row>
        <row r="141">
          <cell r="J141">
            <v>41666.666666666701</v>
          </cell>
        </row>
        <row r="147">
          <cell r="J147">
            <v>367144.78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 refreshError="1">
        <row r="29">
          <cell r="I29">
            <v>4800.0479999999998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PRINCIPAL"/>
      <sheetName val="RECEITAS"/>
      <sheetName val="DESPESAS"/>
      <sheetName val="ESCRITÓRIO"/>
      <sheetName val="RESERVA JS ADV"/>
      <sheetName val="DEMONSTRATIVO"/>
      <sheetName val="J.S"/>
      <sheetName val="JÉTER"/>
      <sheetName val="ELOÍZA"/>
      <sheetName val="CRISTIANO"/>
      <sheetName val="EDUARDO"/>
      <sheetName val="RAIMUNDO"/>
      <sheetName val="LORRAINE"/>
      <sheetName val="ALEXANDRE"/>
      <sheetName val="RENAN"/>
    </sheetNames>
    <sheetDataSet>
      <sheetData sheetId="0" refreshError="1"/>
      <sheetData sheetId="1" refreshError="1">
        <row r="99">
          <cell r="I99" t="str">
            <v>META ANUAL</v>
          </cell>
          <cell r="J99">
            <v>500000</v>
          </cell>
        </row>
      </sheetData>
      <sheetData sheetId="2" refreshError="1"/>
      <sheetData sheetId="3" refreshError="1"/>
      <sheetData sheetId="4" refreshError="1"/>
      <sheetData sheetId="5">
        <row r="8">
          <cell r="E8">
            <v>14051.877500000001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1%20-%20MENU%20PRINCIP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D139"/>
  <sheetViews>
    <sheetView tabSelected="1" topLeftCell="A52" zoomScale="80" zoomScaleNormal="80" workbookViewId="0">
      <selection activeCell="V75" sqref="V75"/>
    </sheetView>
  </sheetViews>
  <sheetFormatPr defaultColWidth="9" defaultRowHeight="15"/>
  <cols>
    <col min="1" max="2" width="15.7109375" customWidth="1"/>
    <col min="3" max="3" width="40.7109375" style="3" customWidth="1"/>
    <col min="4" max="4" width="45.5703125" customWidth="1"/>
    <col min="5" max="5" width="20.7109375" customWidth="1"/>
    <col min="6" max="6" width="44.5703125" style="4" customWidth="1"/>
    <col min="7" max="7" width="20.7109375" style="4" customWidth="1"/>
    <col min="8" max="8" width="39.28515625" style="4" customWidth="1"/>
    <col min="9" max="9" width="20.7109375" style="4" customWidth="1"/>
    <col min="10" max="10" width="23.42578125" style="4" customWidth="1"/>
    <col min="11" max="12" width="20.7109375" style="4" customWidth="1"/>
    <col min="13" max="13" width="21.5703125" style="4" customWidth="1"/>
    <col min="14" max="14" width="22.7109375" style="4" customWidth="1"/>
    <col min="15" max="15" width="22" style="4" customWidth="1"/>
    <col min="16" max="16" width="5.7109375" style="5" customWidth="1"/>
    <col min="17" max="17" width="12.7109375" style="6" customWidth="1"/>
    <col min="18" max="19" width="20.7109375" style="3" customWidth="1"/>
    <col min="20" max="20" width="20.7109375" customWidth="1"/>
    <col min="21" max="21" width="30.28515625" customWidth="1"/>
    <col min="22" max="22" width="30.5703125" customWidth="1"/>
    <col min="23" max="23" width="32.85546875" customWidth="1"/>
    <col min="24" max="24" width="48" customWidth="1"/>
  </cols>
  <sheetData>
    <row r="1" spans="1:30">
      <c r="A1" s="7" t="s">
        <v>0</v>
      </c>
      <c r="B1" s="8" t="s">
        <v>1</v>
      </c>
      <c r="C1" s="9"/>
      <c r="D1" s="10" t="s">
        <v>2</v>
      </c>
      <c r="E1" s="11"/>
      <c r="F1" s="12"/>
      <c r="G1" s="13"/>
      <c r="H1" s="14"/>
      <c r="I1" s="23"/>
      <c r="J1" s="14"/>
      <c r="K1" s="14"/>
      <c r="L1" s="14"/>
      <c r="M1" s="14"/>
      <c r="N1" s="14"/>
      <c r="O1" s="63" t="s">
        <v>3</v>
      </c>
      <c r="P1" s="64" t="s">
        <v>4</v>
      </c>
      <c r="Q1" s="125" t="s">
        <v>5</v>
      </c>
      <c r="R1" s="126" t="s">
        <v>6</v>
      </c>
      <c r="S1" s="127" t="s">
        <v>7</v>
      </c>
      <c r="T1" s="11"/>
      <c r="U1" s="11"/>
      <c r="V1" s="9"/>
      <c r="W1" s="9"/>
      <c r="X1" s="11"/>
    </row>
    <row r="2" spans="1:30">
      <c r="A2" s="15" t="s">
        <v>8</v>
      </c>
      <c r="B2" s="16" t="s">
        <v>9</v>
      </c>
      <c r="C2" s="17" t="s">
        <v>10</v>
      </c>
      <c r="D2" s="18" t="s">
        <v>11</v>
      </c>
      <c r="E2" s="19" t="s">
        <v>12</v>
      </c>
      <c r="F2" s="20" t="s">
        <v>13</v>
      </c>
      <c r="G2" s="19" t="s">
        <v>14</v>
      </c>
      <c r="H2" s="19" t="s">
        <v>15</v>
      </c>
      <c r="I2" s="65" t="s">
        <v>16</v>
      </c>
      <c r="J2" s="19" t="s">
        <v>17</v>
      </c>
      <c r="K2" s="66" t="s">
        <v>18</v>
      </c>
      <c r="L2" s="67">
        <v>0.1</v>
      </c>
      <c r="M2" s="68" t="s">
        <v>19</v>
      </c>
      <c r="N2" s="69">
        <v>0.33333332999999998</v>
      </c>
      <c r="O2" s="70">
        <v>0.23330000000000001</v>
      </c>
      <c r="P2" s="71"/>
      <c r="Q2" s="128"/>
      <c r="R2" s="129">
        <f>N2</f>
        <v>0.33333332999999998</v>
      </c>
      <c r="S2" s="130">
        <v>1</v>
      </c>
      <c r="T2" s="131" t="s">
        <v>20</v>
      </c>
      <c r="U2" s="132" t="s">
        <v>21</v>
      </c>
      <c r="V2" s="133" t="s">
        <v>22</v>
      </c>
      <c r="W2" s="133" t="s">
        <v>23</v>
      </c>
      <c r="X2" s="133" t="s">
        <v>24</v>
      </c>
    </row>
    <row r="3" spans="1:30" ht="15" customHeight="1">
      <c r="A3" s="21">
        <v>45446</v>
      </c>
      <c r="B3" s="9">
        <v>1</v>
      </c>
      <c r="C3" s="21" t="s">
        <v>25</v>
      </c>
      <c r="D3" s="11" t="s">
        <v>26</v>
      </c>
      <c r="E3" s="22" t="s">
        <v>27</v>
      </c>
      <c r="F3" s="11" t="s">
        <v>28</v>
      </c>
      <c r="G3" s="23">
        <v>2100</v>
      </c>
      <c r="H3" s="9" t="str">
        <f>[1]RECEITAS!$H$64</f>
        <v>ENTRADA R$350,00 + 6 X R$250,00</v>
      </c>
      <c r="I3" s="72">
        <v>250</v>
      </c>
      <c r="J3" s="73" t="s">
        <v>29</v>
      </c>
      <c r="K3" s="74" t="s">
        <v>30</v>
      </c>
      <c r="L3" s="75">
        <f>I3*10/100</f>
        <v>25</v>
      </c>
      <c r="M3" s="76" t="s">
        <v>31</v>
      </c>
      <c r="N3" s="76">
        <f>I3/3/2</f>
        <v>41.666666666666664</v>
      </c>
      <c r="O3" s="77">
        <f>I3/3-L3</f>
        <v>58.333333333333329</v>
      </c>
      <c r="P3" s="78">
        <v>3</v>
      </c>
      <c r="Q3" s="134">
        <f>O3/3</f>
        <v>19.444444444444443</v>
      </c>
      <c r="R3" s="135">
        <f>I3/3</f>
        <v>83.333333333333329</v>
      </c>
      <c r="S3" s="93">
        <f>L3+N3+N4+O3+R3</f>
        <v>249.99999999999994</v>
      </c>
      <c r="T3" s="136">
        <v>0</v>
      </c>
      <c r="U3" s="137">
        <f>I3*4</f>
        <v>1000</v>
      </c>
      <c r="V3" s="29" t="s">
        <v>32</v>
      </c>
      <c r="W3" s="138" t="s">
        <v>33</v>
      </c>
      <c r="X3" s="11"/>
    </row>
    <row r="4" spans="1:30">
      <c r="A4" s="9"/>
      <c r="B4" s="9"/>
      <c r="C4" s="9"/>
      <c r="D4" s="9"/>
      <c r="E4" s="11"/>
      <c r="F4" s="12"/>
      <c r="G4" s="13"/>
      <c r="H4" s="14"/>
      <c r="I4" s="23"/>
      <c r="J4" s="14"/>
      <c r="K4" s="14"/>
      <c r="L4" s="14"/>
      <c r="M4" s="74" t="s">
        <v>30</v>
      </c>
      <c r="N4" s="75">
        <f>N3</f>
        <v>41.666666666666664</v>
      </c>
      <c r="O4" s="14"/>
      <c r="P4" s="78"/>
      <c r="Q4" s="125"/>
      <c r="R4" s="14"/>
      <c r="S4" s="9"/>
      <c r="T4" s="11"/>
      <c r="U4" s="11"/>
      <c r="V4" s="9"/>
      <c r="W4" s="9"/>
      <c r="X4" s="11"/>
    </row>
    <row r="5" spans="1:30" ht="15" customHeight="1">
      <c r="A5" s="21">
        <v>45446</v>
      </c>
      <c r="B5" s="24">
        <v>2</v>
      </c>
      <c r="C5" s="21" t="s">
        <v>25</v>
      </c>
      <c r="D5" s="25" t="s">
        <v>34</v>
      </c>
      <c r="E5" s="26" t="s">
        <v>35</v>
      </c>
      <c r="F5" s="27" t="s">
        <v>36</v>
      </c>
      <c r="G5" s="28">
        <v>4569.82</v>
      </c>
      <c r="H5" s="29" t="s">
        <v>37</v>
      </c>
      <c r="I5" s="33">
        <v>1035</v>
      </c>
      <c r="J5" s="79" t="s">
        <v>38</v>
      </c>
      <c r="K5" s="80" t="s">
        <v>39</v>
      </c>
      <c r="L5" s="80">
        <f>I5*10/100</f>
        <v>103.5</v>
      </c>
      <c r="M5" s="81" t="s">
        <v>40</v>
      </c>
      <c r="N5" s="80">
        <f>I5/3</f>
        <v>345</v>
      </c>
      <c r="O5" s="77">
        <f>I5/3-L5</f>
        <v>241.5</v>
      </c>
      <c r="P5" s="78">
        <v>3</v>
      </c>
      <c r="Q5" s="134">
        <f>O5/3</f>
        <v>80.5</v>
      </c>
      <c r="R5" s="139">
        <f>N5</f>
        <v>345</v>
      </c>
      <c r="S5" s="93">
        <f>L5+N5+O5+R5</f>
        <v>1035</v>
      </c>
      <c r="T5" s="140">
        <f>I5-S5</f>
        <v>0</v>
      </c>
      <c r="U5" s="141">
        <v>0</v>
      </c>
      <c r="V5" s="28" t="s">
        <v>41</v>
      </c>
      <c r="W5" s="28" t="s">
        <v>42</v>
      </c>
      <c r="X5" s="9"/>
      <c r="Y5" s="164"/>
      <c r="Z5" s="164"/>
      <c r="AA5" s="165"/>
      <c r="AB5" s="164"/>
      <c r="AC5" s="166"/>
      <c r="AD5" s="1"/>
    </row>
    <row r="6" spans="1:30">
      <c r="A6" s="21">
        <v>45446</v>
      </c>
      <c r="B6" s="9">
        <v>3</v>
      </c>
      <c r="C6" s="21" t="s">
        <v>25</v>
      </c>
      <c r="D6" s="11" t="s">
        <v>43</v>
      </c>
      <c r="E6" s="30" t="s">
        <v>44</v>
      </c>
      <c r="F6" s="11" t="s">
        <v>45</v>
      </c>
      <c r="G6" s="23">
        <v>3965</v>
      </c>
      <c r="H6" s="9" t="s">
        <v>46</v>
      </c>
      <c r="I6" s="82">
        <v>205</v>
      </c>
      <c r="J6" s="83" t="s">
        <v>38</v>
      </c>
      <c r="K6" s="80" t="s">
        <v>39</v>
      </c>
      <c r="L6" s="80">
        <f>I6*10/100</f>
        <v>20.5</v>
      </c>
      <c r="M6" s="81" t="s">
        <v>40</v>
      </c>
      <c r="N6" s="80">
        <f>I6/3</f>
        <v>68.333333333333329</v>
      </c>
      <c r="O6" s="77">
        <f>I6/3-L6</f>
        <v>47.833333333333329</v>
      </c>
      <c r="P6" s="78">
        <v>3</v>
      </c>
      <c r="Q6" s="134">
        <f>O6/3</f>
        <v>15.944444444444443</v>
      </c>
      <c r="R6" s="142">
        <f>I6/3</f>
        <v>68.333333333333329</v>
      </c>
      <c r="S6" s="93">
        <f>L6+N6+O6+R6</f>
        <v>205</v>
      </c>
      <c r="T6" s="143">
        <f>I6-S6</f>
        <v>0</v>
      </c>
      <c r="U6" s="144">
        <f>205*14</f>
        <v>2870</v>
      </c>
      <c r="V6" s="145" t="s">
        <v>47</v>
      </c>
      <c r="W6" s="9" t="s">
        <v>48</v>
      </c>
      <c r="X6" s="11"/>
    </row>
    <row r="7" spans="1:30">
      <c r="A7" s="21">
        <v>45447</v>
      </c>
      <c r="B7" s="9">
        <v>4</v>
      </c>
      <c r="C7" s="21" t="s">
        <v>25</v>
      </c>
      <c r="D7" s="12" t="s">
        <v>49</v>
      </c>
      <c r="E7" s="31" t="s">
        <v>50</v>
      </c>
      <c r="F7" s="32" t="s">
        <v>51</v>
      </c>
      <c r="G7" s="23">
        <v>4000</v>
      </c>
      <c r="H7" s="9" t="s">
        <v>52</v>
      </c>
      <c r="I7" s="31">
        <v>1000</v>
      </c>
      <c r="J7" s="83" t="str">
        <f>J6</f>
        <v>PIX JS PJ</v>
      </c>
      <c r="K7" s="84">
        <f>K242</f>
        <v>0</v>
      </c>
      <c r="L7" s="85">
        <f>I7*10/100</f>
        <v>100</v>
      </c>
      <c r="M7" s="80">
        <f>M241</f>
        <v>0</v>
      </c>
      <c r="N7" s="80">
        <f>I7/3</f>
        <v>333.33333333333331</v>
      </c>
      <c r="O7" s="77">
        <f>I7/3-L7</f>
        <v>233.33333333333331</v>
      </c>
      <c r="P7" s="78">
        <v>3</v>
      </c>
      <c r="Q7" s="134">
        <f>O7/3</f>
        <v>77.777777777777771</v>
      </c>
      <c r="R7" s="146">
        <f>I7/3</f>
        <v>333.33333333333331</v>
      </c>
      <c r="S7" s="93">
        <f>L7+N7+O7+R7</f>
        <v>1000</v>
      </c>
      <c r="T7" s="147">
        <f>I7-S7</f>
        <v>0</v>
      </c>
      <c r="U7" s="109">
        <f>I7*1</f>
        <v>1000</v>
      </c>
      <c r="V7" s="9" t="s">
        <v>53</v>
      </c>
      <c r="W7" s="9" t="s">
        <v>54</v>
      </c>
      <c r="X7" s="11"/>
    </row>
    <row r="8" spans="1:30">
      <c r="A8" s="21">
        <v>45448</v>
      </c>
      <c r="B8" s="9">
        <v>5</v>
      </c>
      <c r="C8" s="21" t="s">
        <v>25</v>
      </c>
      <c r="D8" s="11" t="s">
        <v>55</v>
      </c>
      <c r="E8" s="26" t="s">
        <v>35</v>
      </c>
      <c r="F8" s="12" t="s">
        <v>56</v>
      </c>
      <c r="G8" s="23">
        <v>5000</v>
      </c>
      <c r="H8" s="9" t="s">
        <v>57</v>
      </c>
      <c r="I8" s="33">
        <v>200</v>
      </c>
      <c r="J8" s="83" t="str">
        <f>J7</f>
        <v>PIX JS PJ</v>
      </c>
      <c r="K8" s="33" t="s">
        <v>31</v>
      </c>
      <c r="L8" s="33">
        <f>I8*10/100</f>
        <v>20</v>
      </c>
      <c r="M8" s="76" t="s">
        <v>31</v>
      </c>
      <c r="N8" s="76">
        <f>I8/3/2</f>
        <v>33.333333333333336</v>
      </c>
      <c r="O8" s="77">
        <f>I8/3-L8</f>
        <v>46.666666666666671</v>
      </c>
      <c r="P8" s="78">
        <v>3</v>
      </c>
      <c r="Q8" s="134">
        <f>O8/3</f>
        <v>15.555555555555557</v>
      </c>
      <c r="R8" s="148">
        <f>I8/3</f>
        <v>66.666666666666671</v>
      </c>
      <c r="S8" s="93">
        <f>L8+N8+N9+O8+R8</f>
        <v>200</v>
      </c>
      <c r="T8" s="147">
        <f>I8-S8</f>
        <v>0</v>
      </c>
      <c r="U8" s="109">
        <f>200*16</f>
        <v>3200</v>
      </c>
      <c r="V8" s="9" t="s">
        <v>58</v>
      </c>
      <c r="W8" s="9" t="s">
        <v>59</v>
      </c>
      <c r="X8" s="9"/>
    </row>
    <row r="9" spans="1:30">
      <c r="A9" s="9"/>
      <c r="B9" s="9"/>
      <c r="C9" s="9"/>
      <c r="D9" s="11"/>
      <c r="E9" s="9"/>
      <c r="F9" s="12"/>
      <c r="G9" s="23"/>
      <c r="H9" s="11"/>
      <c r="I9" s="23"/>
      <c r="J9" s="9"/>
      <c r="K9" s="23"/>
      <c r="L9" s="11"/>
      <c r="M9" s="81" t="s">
        <v>40</v>
      </c>
      <c r="N9" s="86">
        <f>I8/3/2</f>
        <v>33.333333333333336</v>
      </c>
      <c r="O9" s="9"/>
      <c r="P9" s="78"/>
      <c r="Q9" s="134"/>
      <c r="R9" s="9"/>
      <c r="S9" s="9"/>
      <c r="T9" s="9"/>
      <c r="U9" s="9"/>
      <c r="V9" s="9"/>
      <c r="W9" s="9"/>
      <c r="X9" s="9"/>
    </row>
    <row r="10" spans="1:30">
      <c r="A10" s="21">
        <v>45448</v>
      </c>
      <c r="B10" s="9">
        <v>6</v>
      </c>
      <c r="C10" s="21" t="s">
        <v>25</v>
      </c>
      <c r="D10" s="11" t="s">
        <v>60</v>
      </c>
      <c r="E10" s="22" t="s">
        <v>61</v>
      </c>
      <c r="F10" s="11" t="s">
        <v>62</v>
      </c>
      <c r="G10" s="23">
        <v>5000</v>
      </c>
      <c r="H10" s="9" t="s">
        <v>63</v>
      </c>
      <c r="I10" s="72">
        <v>450</v>
      </c>
      <c r="J10" s="73" t="str">
        <f>J8</f>
        <v>PIX JS PJ</v>
      </c>
      <c r="K10" s="80" t="s">
        <v>39</v>
      </c>
      <c r="L10" s="80">
        <f>I10*10/100</f>
        <v>45</v>
      </c>
      <c r="M10" s="80" t="s">
        <v>39</v>
      </c>
      <c r="N10" s="87">
        <f>I10/3</f>
        <v>150</v>
      </c>
      <c r="O10" s="77">
        <f>I10/3-L10</f>
        <v>105</v>
      </c>
      <c r="P10" s="78">
        <v>3</v>
      </c>
      <c r="Q10" s="134">
        <f>O10/P10</f>
        <v>35</v>
      </c>
      <c r="R10" s="135">
        <f>I10/3</f>
        <v>150</v>
      </c>
      <c r="S10" s="93">
        <f t="shared" ref="S10:S15" si="0">L10+N10+O10+R10</f>
        <v>450</v>
      </c>
      <c r="T10" s="136">
        <f>I10-S10</f>
        <v>0</v>
      </c>
      <c r="U10" s="137">
        <f>I10*7</f>
        <v>3150</v>
      </c>
      <c r="V10" s="29" t="s">
        <v>310</v>
      </c>
      <c r="W10" s="9" t="s">
        <v>64</v>
      </c>
      <c r="X10" s="11"/>
    </row>
    <row r="11" spans="1:30" ht="15" customHeight="1">
      <c r="A11" s="21">
        <f>A10</f>
        <v>45448</v>
      </c>
      <c r="B11" s="9">
        <v>7</v>
      </c>
      <c r="C11" s="21" t="s">
        <v>25</v>
      </c>
      <c r="D11" s="11" t="s">
        <v>65</v>
      </c>
      <c r="E11" s="22" t="s">
        <v>27</v>
      </c>
      <c r="F11" s="11" t="s">
        <v>66</v>
      </c>
      <c r="G11" s="23">
        <v>3000</v>
      </c>
      <c r="H11" s="9" t="s">
        <v>67</v>
      </c>
      <c r="I11" s="72">
        <v>300</v>
      </c>
      <c r="J11" s="73" t="str">
        <f>J10</f>
        <v>PIX JS PJ</v>
      </c>
      <c r="K11" s="33" t="s">
        <v>31</v>
      </c>
      <c r="L11" s="33">
        <f>I11*10/100</f>
        <v>30</v>
      </c>
      <c r="M11" s="88" t="s">
        <v>68</v>
      </c>
      <c r="N11" s="88">
        <f>I11/3</f>
        <v>100</v>
      </c>
      <c r="O11" s="77">
        <f>I11/3-L11</f>
        <v>70</v>
      </c>
      <c r="P11" s="89">
        <v>4</v>
      </c>
      <c r="Q11" s="88">
        <f t="shared" ref="Q11:Q16" si="1">O11/P11</f>
        <v>17.5</v>
      </c>
      <c r="R11" s="135">
        <f>I11/3</f>
        <v>100</v>
      </c>
      <c r="S11" s="93">
        <f t="shared" si="0"/>
        <v>300</v>
      </c>
      <c r="T11" s="136">
        <v>0</v>
      </c>
      <c r="U11" s="137">
        <f>I11*9</f>
        <v>2700</v>
      </c>
      <c r="V11" s="29" t="s">
        <v>69</v>
      </c>
      <c r="W11" s="138" t="s">
        <v>70</v>
      </c>
      <c r="X11" s="11"/>
    </row>
    <row r="12" spans="1:30" ht="15" customHeight="1">
      <c r="A12" s="21">
        <v>45449</v>
      </c>
      <c r="B12" s="9">
        <v>8</v>
      </c>
      <c r="C12" s="21" t="s">
        <v>25</v>
      </c>
      <c r="D12" s="11" t="s">
        <v>71</v>
      </c>
      <c r="E12" s="26" t="s">
        <v>35</v>
      </c>
      <c r="F12" s="11" t="s">
        <v>72</v>
      </c>
      <c r="G12" s="23">
        <v>150</v>
      </c>
      <c r="H12" s="9" t="s">
        <v>73</v>
      </c>
      <c r="I12" s="33">
        <v>150</v>
      </c>
      <c r="J12" s="73" t="str">
        <f>J11</f>
        <v>PIX JS PJ</v>
      </c>
      <c r="K12" s="90" t="s">
        <v>74</v>
      </c>
      <c r="L12" s="91">
        <f>I12*20%</f>
        <v>30</v>
      </c>
      <c r="M12" s="88" t="str">
        <f>M11</f>
        <v>SIMONE</v>
      </c>
      <c r="N12" s="88">
        <f>120/3</f>
        <v>40</v>
      </c>
      <c r="O12" s="77">
        <f>N12</f>
        <v>40</v>
      </c>
      <c r="P12" s="89">
        <v>4</v>
      </c>
      <c r="Q12" s="88">
        <f t="shared" si="1"/>
        <v>10</v>
      </c>
      <c r="R12" s="135">
        <f>N12</f>
        <v>40</v>
      </c>
      <c r="S12" s="93">
        <f t="shared" si="0"/>
        <v>150</v>
      </c>
      <c r="T12" s="136">
        <f>I12-S12</f>
        <v>0</v>
      </c>
      <c r="U12" s="137">
        <v>0</v>
      </c>
      <c r="V12" s="29" t="s">
        <v>73</v>
      </c>
      <c r="W12" s="138" t="s">
        <v>75</v>
      </c>
      <c r="X12" s="11" t="s">
        <v>76</v>
      </c>
    </row>
    <row r="13" spans="1:30" ht="15" customHeight="1">
      <c r="A13" s="21">
        <v>45449</v>
      </c>
      <c r="B13" s="9">
        <v>9</v>
      </c>
      <c r="C13" s="21" t="s">
        <v>25</v>
      </c>
      <c r="D13" s="11" t="s">
        <v>71</v>
      </c>
      <c r="E13" s="26" t="s">
        <v>35</v>
      </c>
      <c r="F13" s="11" t="s">
        <v>77</v>
      </c>
      <c r="G13" s="23">
        <v>6000</v>
      </c>
      <c r="H13" s="9" t="s">
        <v>78</v>
      </c>
      <c r="I13" s="33">
        <v>4000</v>
      </c>
      <c r="J13" s="73" t="str">
        <f>J12</f>
        <v>PIX JS PJ</v>
      </c>
      <c r="K13" s="90" t="s">
        <v>74</v>
      </c>
      <c r="L13" s="91">
        <f>I13*20%</f>
        <v>800</v>
      </c>
      <c r="M13" s="88" t="str">
        <f>M12</f>
        <v>SIMONE</v>
      </c>
      <c r="N13" s="88">
        <f>3200/3</f>
        <v>1066.6666666666667</v>
      </c>
      <c r="O13" s="77">
        <f>N13</f>
        <v>1066.6666666666667</v>
      </c>
      <c r="P13" s="89">
        <v>4</v>
      </c>
      <c r="Q13" s="88">
        <f t="shared" si="1"/>
        <v>266.66666666666669</v>
      </c>
      <c r="R13" s="135">
        <f>N13</f>
        <v>1066.6666666666667</v>
      </c>
      <c r="S13" s="93">
        <f t="shared" si="0"/>
        <v>4000</v>
      </c>
      <c r="T13" s="136">
        <f>I13-S13</f>
        <v>0</v>
      </c>
      <c r="U13" s="137">
        <f>G13-I13</f>
        <v>2000</v>
      </c>
      <c r="V13" s="29" t="s">
        <v>79</v>
      </c>
      <c r="W13" s="138" t="s">
        <v>80</v>
      </c>
      <c r="X13" s="11" t="str">
        <f>X12</f>
        <v>CAPTAÇÃO EXT. 20% DR CRISTIANO</v>
      </c>
    </row>
    <row r="14" spans="1:30">
      <c r="A14" s="21">
        <f>A13</f>
        <v>45449</v>
      </c>
      <c r="B14" s="9">
        <v>10</v>
      </c>
      <c r="C14" s="10" t="s">
        <v>25</v>
      </c>
      <c r="D14" s="11" t="s">
        <v>81</v>
      </c>
      <c r="E14" s="22" t="s">
        <v>27</v>
      </c>
      <c r="F14" s="11" t="s">
        <v>82</v>
      </c>
      <c r="G14" s="23">
        <v>2000</v>
      </c>
      <c r="H14" s="9" t="s">
        <v>83</v>
      </c>
      <c r="I14" s="92">
        <v>159.63</v>
      </c>
      <c r="J14" s="93" t="s">
        <v>38</v>
      </c>
      <c r="K14" s="80" t="s">
        <v>39</v>
      </c>
      <c r="L14" s="80">
        <f t="shared" ref="L14:L16" si="2">I14*10/100</f>
        <v>15.962999999999999</v>
      </c>
      <c r="M14" s="81" t="str">
        <f>M10</f>
        <v>JÉTER</v>
      </c>
      <c r="N14" s="81">
        <f>I14/3</f>
        <v>53.21</v>
      </c>
      <c r="O14" s="77">
        <f>I14/3-L14</f>
        <v>37.247</v>
      </c>
      <c r="P14" s="78">
        <v>3</v>
      </c>
      <c r="Q14" s="134">
        <f t="shared" si="1"/>
        <v>12.415666666666667</v>
      </c>
      <c r="R14" s="146">
        <f>I14/3</f>
        <v>53.21</v>
      </c>
      <c r="S14" s="93">
        <f t="shared" si="0"/>
        <v>159.63</v>
      </c>
      <c r="T14" s="147">
        <f t="shared" ref="T14:T16" si="3">I14-S14</f>
        <v>0</v>
      </c>
      <c r="U14" s="149">
        <f>G14-I14</f>
        <v>1840.37</v>
      </c>
      <c r="V14" s="9" t="s">
        <v>84</v>
      </c>
      <c r="W14" s="138" t="s">
        <v>85</v>
      </c>
      <c r="X14" s="9"/>
    </row>
    <row r="15" spans="1:30">
      <c r="A15" s="21">
        <v>45450</v>
      </c>
      <c r="B15" s="24">
        <v>11</v>
      </c>
      <c r="C15" s="21" t="s">
        <v>25</v>
      </c>
      <c r="D15" s="11" t="s">
        <v>86</v>
      </c>
      <c r="E15" s="33" t="str">
        <f>E13</f>
        <v>CÍVEL</v>
      </c>
      <c r="F15" s="12" t="s">
        <v>87</v>
      </c>
      <c r="G15" s="34">
        <v>3000</v>
      </c>
      <c r="H15" s="34" t="s">
        <v>88</v>
      </c>
      <c r="I15" s="33">
        <v>350</v>
      </c>
      <c r="J15" s="83">
        <f>J112</f>
        <v>0</v>
      </c>
      <c r="K15" s="94" t="s">
        <v>31</v>
      </c>
      <c r="L15" s="94">
        <f t="shared" si="2"/>
        <v>35</v>
      </c>
      <c r="M15" s="81" t="s">
        <v>39</v>
      </c>
      <c r="N15" s="81">
        <f>I15/3</f>
        <v>116.66666666666667</v>
      </c>
      <c r="O15" s="77">
        <f>I15/3-L15</f>
        <v>81.666666666666671</v>
      </c>
      <c r="P15" s="78">
        <v>3</v>
      </c>
      <c r="Q15" s="134">
        <f t="shared" si="1"/>
        <v>27.222222222222225</v>
      </c>
      <c r="R15" s="148">
        <f>I15/3</f>
        <v>116.66666666666667</v>
      </c>
      <c r="S15" s="93">
        <f t="shared" si="0"/>
        <v>350.00000000000006</v>
      </c>
      <c r="T15" s="147">
        <f t="shared" si="3"/>
        <v>0</v>
      </c>
      <c r="U15" s="149">
        <f>G15-500-350-350</f>
        <v>1800</v>
      </c>
      <c r="V15" s="23" t="s">
        <v>89</v>
      </c>
      <c r="W15" s="23" t="s">
        <v>90</v>
      </c>
      <c r="X15" s="11"/>
    </row>
    <row r="16" spans="1:30">
      <c r="A16" s="21">
        <v>45450</v>
      </c>
      <c r="B16" s="9">
        <v>12</v>
      </c>
      <c r="C16" s="21" t="s">
        <v>25</v>
      </c>
      <c r="D16" s="11" t="s">
        <v>91</v>
      </c>
      <c r="E16" s="26" t="s">
        <v>35</v>
      </c>
      <c r="F16" s="12" t="s">
        <v>56</v>
      </c>
      <c r="G16" s="23">
        <v>5000</v>
      </c>
      <c r="H16" s="9" t="s">
        <v>92</v>
      </c>
      <c r="I16" s="33">
        <v>250</v>
      </c>
      <c r="J16" s="83" t="s">
        <v>93</v>
      </c>
      <c r="K16" s="33" t="s">
        <v>94</v>
      </c>
      <c r="L16" s="33">
        <f t="shared" si="2"/>
        <v>25</v>
      </c>
      <c r="M16" s="76" t="s">
        <v>94</v>
      </c>
      <c r="N16" s="76">
        <f>I16/3/2</f>
        <v>41.666666666666664</v>
      </c>
      <c r="O16" s="77">
        <f>I16/3-L16</f>
        <v>58.333333333333329</v>
      </c>
      <c r="P16" s="78">
        <v>3</v>
      </c>
      <c r="Q16" s="134">
        <f t="shared" si="1"/>
        <v>19.444444444444443</v>
      </c>
      <c r="R16" s="148">
        <f>I16/3</f>
        <v>83.333333333333329</v>
      </c>
      <c r="S16" s="93">
        <f>L16+N16+N17+O16+R16</f>
        <v>249.99999999999994</v>
      </c>
      <c r="T16" s="147">
        <f t="shared" si="3"/>
        <v>0</v>
      </c>
      <c r="U16" s="109">
        <f>I16*15</f>
        <v>3750</v>
      </c>
      <c r="V16" s="9" t="s">
        <v>95</v>
      </c>
      <c r="W16" s="9"/>
      <c r="X16" s="11"/>
      <c r="Y16" s="164"/>
      <c r="Z16" s="164"/>
      <c r="AA16" s="165"/>
      <c r="AB16" s="164"/>
      <c r="AC16" s="166"/>
      <c r="AD16" s="1"/>
    </row>
    <row r="17" spans="1:30">
      <c r="A17" s="9"/>
      <c r="B17" s="9"/>
      <c r="C17" s="9"/>
      <c r="D17" s="11"/>
      <c r="E17" s="11"/>
      <c r="F17" s="12"/>
      <c r="G17" s="35"/>
      <c r="H17" s="11"/>
      <c r="I17" s="35"/>
      <c r="J17" s="11"/>
      <c r="K17" s="9"/>
      <c r="L17" s="9"/>
      <c r="M17" s="86" t="s">
        <v>39</v>
      </c>
      <c r="N17" s="86">
        <f>I16/3/2</f>
        <v>41.666666666666664</v>
      </c>
      <c r="O17" s="11"/>
      <c r="P17" s="95"/>
      <c r="Q17" s="150"/>
      <c r="R17" s="9"/>
      <c r="S17" s="9"/>
      <c r="T17" s="11"/>
      <c r="U17" s="11"/>
      <c r="V17" s="11"/>
      <c r="W17" s="11"/>
      <c r="X17" s="11"/>
      <c r="Y17" s="164"/>
      <c r="Z17" s="164"/>
      <c r="AA17" s="165"/>
      <c r="AB17" s="164"/>
      <c r="AC17" s="166"/>
      <c r="AD17" s="1"/>
    </row>
    <row r="18" spans="1:30">
      <c r="A18" s="21">
        <v>45450</v>
      </c>
      <c r="B18" s="9">
        <v>13</v>
      </c>
      <c r="C18" s="10" t="s">
        <v>25</v>
      </c>
      <c r="D18" s="36" t="s">
        <v>96</v>
      </c>
      <c r="E18" s="37" t="s">
        <v>97</v>
      </c>
      <c r="F18" s="12" t="s">
        <v>98</v>
      </c>
      <c r="G18" s="23">
        <v>5000</v>
      </c>
      <c r="H18" s="9" t="s">
        <v>57</v>
      </c>
      <c r="I18" s="96">
        <v>200</v>
      </c>
      <c r="J18" s="83" t="str">
        <f>J3</f>
        <v>BOLETO PJ JS</v>
      </c>
      <c r="K18" s="33" t="str">
        <f>M18</f>
        <v>JS</v>
      </c>
      <c r="L18" s="33">
        <f>I18*10/100</f>
        <v>20</v>
      </c>
      <c r="M18" s="76" t="s">
        <v>94</v>
      </c>
      <c r="N18" s="76">
        <f>I18/3/2</f>
        <v>33.333333333333336</v>
      </c>
      <c r="O18" s="77">
        <f>I18/3-L18</f>
        <v>46.666666666666671</v>
      </c>
      <c r="P18" s="78">
        <v>3</v>
      </c>
      <c r="Q18" s="134">
        <f t="shared" ref="Q18:Q21" si="4">O18/P18</f>
        <v>15.555555555555557</v>
      </c>
      <c r="R18" s="148">
        <f>I18/3</f>
        <v>66.666666666666671</v>
      </c>
      <c r="S18" s="93">
        <f>L18+N18+N19+O18+R18</f>
        <v>200</v>
      </c>
      <c r="T18" s="147">
        <f>I18-S18</f>
        <v>0</v>
      </c>
      <c r="U18" s="109">
        <f>I18*24</f>
        <v>4800</v>
      </c>
      <c r="V18" s="9" t="s">
        <v>99</v>
      </c>
      <c r="W18" s="9" t="s">
        <v>54</v>
      </c>
      <c r="X18" s="11"/>
      <c r="Y18" s="164"/>
      <c r="Z18" s="164"/>
      <c r="AA18" s="165"/>
      <c r="AB18" s="164"/>
      <c r="AC18" s="166"/>
      <c r="AD18" s="1"/>
    </row>
    <row r="19" spans="1:30">
      <c r="A19" s="11"/>
      <c r="B19" s="9"/>
      <c r="C19" s="9"/>
      <c r="D19" s="11"/>
      <c r="E19" s="11"/>
      <c r="F19" s="38"/>
      <c r="G19" s="23"/>
      <c r="H19" s="23"/>
      <c r="I19" s="23"/>
      <c r="J19" s="23"/>
      <c r="K19" s="9"/>
      <c r="L19" s="14"/>
      <c r="M19" s="80" t="s">
        <v>39</v>
      </c>
      <c r="N19" s="86">
        <f>I18/3/2</f>
        <v>33.333333333333336</v>
      </c>
      <c r="O19" s="9"/>
      <c r="P19" s="78"/>
      <c r="Q19" s="134"/>
      <c r="R19" s="9"/>
      <c r="S19" s="9"/>
      <c r="T19" s="9"/>
      <c r="U19" s="9"/>
      <c r="V19" s="9"/>
      <c r="W19" s="9"/>
      <c r="X19" s="11"/>
      <c r="Y19" s="166"/>
      <c r="Z19" s="164"/>
      <c r="AA19" s="165"/>
      <c r="AB19" s="166"/>
      <c r="AC19" s="166"/>
      <c r="AD19" s="1"/>
    </row>
    <row r="20" spans="1:30">
      <c r="A20" s="21">
        <v>45450</v>
      </c>
      <c r="B20" s="24">
        <v>14</v>
      </c>
      <c r="C20" s="21" t="s">
        <v>25</v>
      </c>
      <c r="D20" s="11" t="s">
        <v>100</v>
      </c>
      <c r="E20" s="22" t="s">
        <v>27</v>
      </c>
      <c r="F20" s="12" t="s">
        <v>101</v>
      </c>
      <c r="G20" s="29">
        <v>4000</v>
      </c>
      <c r="H20" s="29" t="s">
        <v>102</v>
      </c>
      <c r="I20" s="97">
        <v>400</v>
      </c>
      <c r="J20" s="79" t="str">
        <f>J3</f>
        <v>BOLETO PJ JS</v>
      </c>
      <c r="K20" s="80" t="s">
        <v>39</v>
      </c>
      <c r="L20" s="80">
        <f>I20*10/100</f>
        <v>40</v>
      </c>
      <c r="M20" s="80" t="s">
        <v>39</v>
      </c>
      <c r="N20" s="87">
        <f>I20/3</f>
        <v>133.33333333333334</v>
      </c>
      <c r="O20" s="77">
        <f>I20/3-L20</f>
        <v>93.333333333333343</v>
      </c>
      <c r="P20" s="78">
        <v>3</v>
      </c>
      <c r="Q20" s="134">
        <f t="shared" si="4"/>
        <v>31.111111111111114</v>
      </c>
      <c r="R20" s="142">
        <f>I20/3</f>
        <v>133.33333333333334</v>
      </c>
      <c r="S20" s="93">
        <f>L20+N20+O20+R20</f>
        <v>400</v>
      </c>
      <c r="T20" s="151">
        <f>I20-S20</f>
        <v>0</v>
      </c>
      <c r="U20" s="149">
        <f>I20*6</f>
        <v>2400</v>
      </c>
      <c r="V20" s="48" t="s">
        <v>103</v>
      </c>
      <c r="W20" s="9" t="s">
        <v>48</v>
      </c>
      <c r="X20" s="11"/>
    </row>
    <row r="21" spans="1:30">
      <c r="A21" s="21">
        <v>45451</v>
      </c>
      <c r="B21" s="9">
        <v>15</v>
      </c>
      <c r="C21" s="21" t="s">
        <v>25</v>
      </c>
      <c r="D21" s="11" t="s">
        <v>104</v>
      </c>
      <c r="E21" s="39" t="s">
        <v>27</v>
      </c>
      <c r="F21" s="11" t="s">
        <v>105</v>
      </c>
      <c r="G21" s="23">
        <v>4200</v>
      </c>
      <c r="H21" s="9" t="s">
        <v>106</v>
      </c>
      <c r="I21" s="22">
        <v>100</v>
      </c>
      <c r="J21" s="83" t="s">
        <v>38</v>
      </c>
      <c r="K21" s="80" t="s">
        <v>39</v>
      </c>
      <c r="L21" s="80">
        <f>I21*10/100</f>
        <v>10</v>
      </c>
      <c r="M21" s="81" t="str">
        <f>K21</f>
        <v>JÉTER</v>
      </c>
      <c r="N21" s="81">
        <f>I21/3</f>
        <v>33.333333333333336</v>
      </c>
      <c r="O21" s="77">
        <f>I21/3-L21</f>
        <v>23.333333333333336</v>
      </c>
      <c r="P21" s="78">
        <v>3</v>
      </c>
      <c r="Q21" s="134">
        <f t="shared" si="4"/>
        <v>7.7777777777777786</v>
      </c>
      <c r="R21" s="146">
        <f>N21</f>
        <v>33.333333333333336</v>
      </c>
      <c r="S21" s="93">
        <f>L21+N21+O21+R21</f>
        <v>100</v>
      </c>
      <c r="T21" s="147">
        <f>I21-S21</f>
        <v>0</v>
      </c>
      <c r="U21" s="149">
        <f>I21*20</f>
        <v>2000</v>
      </c>
      <c r="V21" s="9" t="s">
        <v>107</v>
      </c>
      <c r="W21" s="9" t="s">
        <v>108</v>
      </c>
      <c r="X21" s="9" t="s">
        <v>109</v>
      </c>
      <c r="Y21" s="166"/>
      <c r="Z21" s="164"/>
      <c r="AA21" s="165"/>
      <c r="AB21" s="166"/>
      <c r="AC21" s="166"/>
      <c r="AD21" s="1"/>
    </row>
    <row r="22" spans="1:30">
      <c r="A22" s="21">
        <v>45453</v>
      </c>
      <c r="B22" s="9">
        <v>16</v>
      </c>
      <c r="C22" s="21" t="s">
        <v>25</v>
      </c>
      <c r="D22" s="25" t="s">
        <v>110</v>
      </c>
      <c r="E22" s="40" t="s">
        <v>111</v>
      </c>
      <c r="F22" s="25" t="s">
        <v>112</v>
      </c>
      <c r="G22" s="28">
        <v>68000</v>
      </c>
      <c r="H22" s="28" t="s">
        <v>113</v>
      </c>
      <c r="I22" s="98">
        <v>2000</v>
      </c>
      <c r="J22" s="99" t="s">
        <v>114</v>
      </c>
      <c r="K22" s="100" t="s">
        <v>94</v>
      </c>
      <c r="L22" s="101">
        <f>I22*10/100</f>
        <v>200</v>
      </c>
      <c r="M22" s="102" t="s">
        <v>115</v>
      </c>
      <c r="N22" s="103">
        <f>I22/3</f>
        <v>666.66666666666663</v>
      </c>
      <c r="O22" s="77">
        <f>I22/3-L22</f>
        <v>466.66666666666663</v>
      </c>
      <c r="P22" s="89">
        <v>4</v>
      </c>
      <c r="Q22" s="88">
        <f>O22/P22</f>
        <v>116.66666666666666</v>
      </c>
      <c r="R22" s="139">
        <f>I22/3</f>
        <v>666.66666666666663</v>
      </c>
      <c r="S22" s="93">
        <f>L22+N22+O22+R22</f>
        <v>2000</v>
      </c>
      <c r="T22" s="140">
        <v>0</v>
      </c>
      <c r="U22" s="141">
        <v>4800.05</v>
      </c>
      <c r="V22" s="28" t="s">
        <v>116</v>
      </c>
      <c r="W22" s="23" t="s">
        <v>117</v>
      </c>
      <c r="X22" s="9"/>
    </row>
    <row r="23" spans="1:30">
      <c r="A23" s="21">
        <v>45453</v>
      </c>
      <c r="B23" s="9">
        <v>17</v>
      </c>
      <c r="C23" s="21" t="s">
        <v>25</v>
      </c>
      <c r="D23" s="11" t="s">
        <v>118</v>
      </c>
      <c r="E23" s="26" t="s">
        <v>35</v>
      </c>
      <c r="F23" s="12" t="s">
        <v>56</v>
      </c>
      <c r="G23" s="23">
        <v>5000</v>
      </c>
      <c r="H23" s="9" t="s">
        <v>57</v>
      </c>
      <c r="I23" s="33">
        <v>200</v>
      </c>
      <c r="J23" s="83" t="str">
        <f>J13</f>
        <v>PIX JS PJ</v>
      </c>
      <c r="K23" s="33" t="s">
        <v>94</v>
      </c>
      <c r="L23" s="33">
        <f>I23*10/100</f>
        <v>20</v>
      </c>
      <c r="M23" s="76" t="s">
        <v>94</v>
      </c>
      <c r="N23" s="76">
        <f>I23/3/2</f>
        <v>33.333333333333336</v>
      </c>
      <c r="O23" s="77">
        <f>I23/3-L23</f>
        <v>46.666666666666671</v>
      </c>
      <c r="P23" s="78">
        <v>3</v>
      </c>
      <c r="Q23" s="134">
        <f>O23/P23</f>
        <v>15.555555555555557</v>
      </c>
      <c r="R23" s="148">
        <f>I23/3</f>
        <v>66.666666666666671</v>
      </c>
      <c r="S23" s="93">
        <f>L23+N23+N24+O23+R23</f>
        <v>200</v>
      </c>
      <c r="T23" s="147">
        <f>I23-S23</f>
        <v>0</v>
      </c>
      <c r="U23" s="109">
        <f>200*15</f>
        <v>3000</v>
      </c>
      <c r="V23" s="9" t="s">
        <v>119</v>
      </c>
      <c r="W23" s="9"/>
      <c r="X23" s="9"/>
    </row>
    <row r="24" spans="1:30">
      <c r="A24" s="9"/>
      <c r="B24" s="9"/>
      <c r="C24" s="9"/>
      <c r="D24" s="11"/>
      <c r="E24" s="9"/>
      <c r="F24" s="12"/>
      <c r="G24" s="23"/>
      <c r="H24" s="11"/>
      <c r="I24" s="23"/>
      <c r="J24" s="9"/>
      <c r="K24" s="23"/>
      <c r="L24" s="9"/>
      <c r="M24" s="86" t="s">
        <v>40</v>
      </c>
      <c r="N24" s="86">
        <f>I23/3/2</f>
        <v>33.333333333333336</v>
      </c>
      <c r="O24" s="9"/>
      <c r="P24" s="78"/>
      <c r="Q24" s="134"/>
      <c r="R24" s="9"/>
      <c r="S24" s="9"/>
      <c r="T24" s="9"/>
      <c r="U24" s="9"/>
      <c r="V24" s="9"/>
      <c r="W24" s="9"/>
      <c r="X24" s="9"/>
    </row>
    <row r="25" spans="1:30" ht="15" customHeight="1">
      <c r="A25" s="21">
        <v>45453</v>
      </c>
      <c r="B25" s="9">
        <v>18</v>
      </c>
      <c r="C25" s="21" t="s">
        <v>25</v>
      </c>
      <c r="D25" s="11" t="s">
        <v>120</v>
      </c>
      <c r="E25" s="41" t="s">
        <v>121</v>
      </c>
      <c r="F25" s="11" t="s">
        <v>72</v>
      </c>
      <c r="G25" s="23">
        <v>150</v>
      </c>
      <c r="H25" s="9" t="s">
        <v>73</v>
      </c>
      <c r="I25" s="104">
        <v>150</v>
      </c>
      <c r="J25" s="73" t="str">
        <f>J23</f>
        <v>PIX JS PJ</v>
      </c>
      <c r="K25" s="33" t="s">
        <v>31</v>
      </c>
      <c r="L25" s="33">
        <f>I25*10/100</f>
        <v>15</v>
      </c>
      <c r="M25" s="88" t="s">
        <v>68</v>
      </c>
      <c r="N25" s="88">
        <f>I25/3</f>
        <v>50</v>
      </c>
      <c r="O25" s="77">
        <f>N25-L25</f>
        <v>35</v>
      </c>
      <c r="P25" s="89">
        <v>4</v>
      </c>
      <c r="Q25" s="88">
        <f>O25/P25</f>
        <v>8.75</v>
      </c>
      <c r="R25" s="135">
        <f>N25</f>
        <v>50</v>
      </c>
      <c r="S25" s="93">
        <f>L25+N25+O25+R25</f>
        <v>150</v>
      </c>
      <c r="T25" s="136">
        <f>I25-S25</f>
        <v>0</v>
      </c>
      <c r="U25" s="137">
        <v>0</v>
      </c>
      <c r="V25" s="29" t="s">
        <v>73</v>
      </c>
      <c r="W25" s="138"/>
      <c r="X25" s="11"/>
    </row>
    <row r="26" spans="1:30">
      <c r="A26" s="21">
        <v>45453</v>
      </c>
      <c r="B26" s="9">
        <v>19</v>
      </c>
      <c r="C26" s="21" t="s">
        <v>25</v>
      </c>
      <c r="D26" s="11" t="s">
        <v>122</v>
      </c>
      <c r="E26" s="26" t="s">
        <v>35</v>
      </c>
      <c r="F26" s="12" t="s">
        <v>56</v>
      </c>
      <c r="G26" s="23">
        <v>5000</v>
      </c>
      <c r="H26" s="9" t="s">
        <v>57</v>
      </c>
      <c r="I26" s="33">
        <v>200</v>
      </c>
      <c r="J26" s="83" t="str">
        <f>J25</f>
        <v>PIX JS PJ</v>
      </c>
      <c r="K26" s="33" t="s">
        <v>31</v>
      </c>
      <c r="L26" s="33">
        <f>I26*10/100</f>
        <v>20</v>
      </c>
      <c r="M26" s="76" t="str">
        <f>K26</f>
        <v>J.S</v>
      </c>
      <c r="N26" s="76">
        <f>I26/3/2</f>
        <v>33.333333333333336</v>
      </c>
      <c r="O26" s="77">
        <f>I26/3-L26</f>
        <v>46.666666666666671</v>
      </c>
      <c r="P26" s="78">
        <v>3</v>
      </c>
      <c r="Q26" s="134">
        <f>O26/P26</f>
        <v>15.555555555555557</v>
      </c>
      <c r="R26" s="148">
        <f>I26/3</f>
        <v>66.666666666666671</v>
      </c>
      <c r="S26" s="93">
        <f>L26+N26+N27+O26+R26</f>
        <v>200</v>
      </c>
      <c r="T26" s="147">
        <f>I26-S26</f>
        <v>0</v>
      </c>
      <c r="U26" s="109">
        <f>200*12</f>
        <v>2400</v>
      </c>
      <c r="V26" s="9" t="s">
        <v>123</v>
      </c>
      <c r="W26" s="9" t="s">
        <v>124</v>
      </c>
      <c r="X26" s="9"/>
    </row>
    <row r="27" spans="1:30">
      <c r="A27" s="9"/>
      <c r="B27" s="9"/>
      <c r="C27" s="9"/>
      <c r="D27" s="11"/>
      <c r="E27" s="9"/>
      <c r="F27" s="12"/>
      <c r="G27" s="23"/>
      <c r="H27" s="11"/>
      <c r="I27" s="23"/>
      <c r="J27" s="9"/>
      <c r="K27" s="23"/>
      <c r="L27" s="9"/>
      <c r="M27" s="86" t="s">
        <v>40</v>
      </c>
      <c r="N27" s="86">
        <f>I26/3/2</f>
        <v>33.333333333333336</v>
      </c>
      <c r="O27" s="9"/>
      <c r="P27" s="78"/>
      <c r="Q27" s="134"/>
      <c r="R27" s="9"/>
      <c r="S27" s="9"/>
      <c r="T27" s="9"/>
      <c r="U27" s="9"/>
      <c r="V27" s="9"/>
      <c r="W27" s="9"/>
      <c r="X27" s="9"/>
    </row>
    <row r="28" spans="1:30">
      <c r="A28" s="21">
        <v>45453</v>
      </c>
      <c r="B28" s="9">
        <v>20</v>
      </c>
      <c r="C28" s="21" t="s">
        <v>25</v>
      </c>
      <c r="D28" s="36" t="s">
        <v>125</v>
      </c>
      <c r="E28" s="37" t="s">
        <v>97</v>
      </c>
      <c r="F28" s="12" t="s">
        <v>98</v>
      </c>
      <c r="G28" s="23">
        <v>5000</v>
      </c>
      <c r="H28" s="42" t="s">
        <v>57</v>
      </c>
      <c r="I28" s="96">
        <v>200</v>
      </c>
      <c r="J28" s="83" t="str">
        <f>J20</f>
        <v>BOLETO PJ JS</v>
      </c>
      <c r="K28" s="105" t="str">
        <f>M28</f>
        <v>JS</v>
      </c>
      <c r="L28" s="33">
        <f>I28*10/100</f>
        <v>20</v>
      </c>
      <c r="M28" s="76" t="s">
        <v>94</v>
      </c>
      <c r="N28" s="76">
        <f>I28/3/2</f>
        <v>33.333333333333336</v>
      </c>
      <c r="O28" s="77">
        <f>I28/3-L28</f>
        <v>46.666666666666671</v>
      </c>
      <c r="P28" s="78">
        <v>3</v>
      </c>
      <c r="Q28" s="134">
        <f>O28/P28</f>
        <v>15.555555555555557</v>
      </c>
      <c r="R28" s="148">
        <f>I28/3</f>
        <v>66.666666666666671</v>
      </c>
      <c r="S28" s="93">
        <f>L28+N28+N29+O28+R28</f>
        <v>200</v>
      </c>
      <c r="T28" s="147">
        <f>I28-S28</f>
        <v>0</v>
      </c>
      <c r="U28" s="109">
        <f>I28*23</f>
        <v>4600</v>
      </c>
      <c r="V28" s="9" t="s">
        <v>126</v>
      </c>
      <c r="W28" s="9" t="s">
        <v>54</v>
      </c>
      <c r="X28" s="152"/>
      <c r="Y28" s="164"/>
      <c r="Z28" s="164"/>
      <c r="AA28" s="165"/>
      <c r="AB28" s="164"/>
      <c r="AC28" s="166"/>
      <c r="AD28" s="1"/>
    </row>
    <row r="29" spans="1:30">
      <c r="A29" s="11"/>
      <c r="B29" s="9"/>
      <c r="C29" s="9"/>
      <c r="D29" s="11"/>
      <c r="E29" s="11"/>
      <c r="F29" s="38"/>
      <c r="G29" s="23"/>
      <c r="H29" s="43"/>
      <c r="I29" s="23"/>
      <c r="J29" s="23"/>
      <c r="K29" s="106"/>
      <c r="L29" s="14"/>
      <c r="M29" s="80" t="s">
        <v>39</v>
      </c>
      <c r="N29" s="86">
        <f>I28/3/2</f>
        <v>33.333333333333336</v>
      </c>
      <c r="O29" s="9"/>
      <c r="P29" s="78"/>
      <c r="Q29" s="134"/>
      <c r="R29" s="9"/>
      <c r="S29" s="9"/>
      <c r="T29" s="9"/>
      <c r="U29" s="9"/>
      <c r="V29" s="9"/>
      <c r="W29" s="9"/>
      <c r="X29" s="152"/>
      <c r="Y29" s="166"/>
      <c r="Z29" s="164"/>
      <c r="AA29" s="165"/>
      <c r="AB29" s="166"/>
      <c r="AC29" s="166"/>
      <c r="AD29" s="1"/>
    </row>
    <row r="30" spans="1:30">
      <c r="A30" s="21">
        <v>45453</v>
      </c>
      <c r="B30" s="9">
        <v>21</v>
      </c>
      <c r="C30" s="21" t="s">
        <v>25</v>
      </c>
      <c r="D30" s="12" t="s">
        <v>127</v>
      </c>
      <c r="E30" s="44" t="s">
        <v>128</v>
      </c>
      <c r="F30" s="12" t="s">
        <v>129</v>
      </c>
      <c r="G30" s="23">
        <v>6000</v>
      </c>
      <c r="H30" s="9" t="s">
        <v>130</v>
      </c>
      <c r="I30" s="107">
        <v>250</v>
      </c>
      <c r="J30" s="83" t="str">
        <f>J20</f>
        <v>BOLETO PJ JS</v>
      </c>
      <c r="K30" s="75" t="s">
        <v>30</v>
      </c>
      <c r="L30" s="75">
        <f>I30*10/100</f>
        <v>25</v>
      </c>
      <c r="M30" s="76" t="s">
        <v>31</v>
      </c>
      <c r="N30" s="76">
        <f>I30/3/2</f>
        <v>41.666666666666664</v>
      </c>
      <c r="O30" s="77">
        <f>I30/3-L30</f>
        <v>58.333333333333329</v>
      </c>
      <c r="P30" s="78">
        <v>3</v>
      </c>
      <c r="Q30" s="134">
        <f>O30/P30</f>
        <v>19.444444444444443</v>
      </c>
      <c r="R30" s="142">
        <f>I30/3</f>
        <v>83.333333333333329</v>
      </c>
      <c r="S30" s="93">
        <f>L30+N30+N31+O30+R30</f>
        <v>249.99999999999994</v>
      </c>
      <c r="T30" s="153">
        <f>I30-S30</f>
        <v>0</v>
      </c>
      <c r="U30" s="149">
        <f>250*2</f>
        <v>500</v>
      </c>
      <c r="V30" s="23" t="s">
        <v>131</v>
      </c>
      <c r="W30" s="9"/>
      <c r="X30" s="11"/>
    </row>
    <row r="31" spans="1:30">
      <c r="A31" s="9"/>
      <c r="B31" s="9"/>
      <c r="C31" s="9"/>
      <c r="D31" s="11"/>
      <c r="E31" s="9"/>
      <c r="F31" s="12"/>
      <c r="G31" s="23"/>
      <c r="H31" s="11"/>
      <c r="I31" s="23"/>
      <c r="J31" s="9"/>
      <c r="K31" s="23"/>
      <c r="L31" s="9"/>
      <c r="M31" s="81" t="str">
        <f>M29</f>
        <v>JÉTER</v>
      </c>
      <c r="N31" s="81">
        <f>I30/3/2</f>
        <v>41.666666666666664</v>
      </c>
      <c r="O31" s="9"/>
      <c r="P31" s="78"/>
      <c r="Q31" s="134"/>
      <c r="R31" s="9"/>
      <c r="S31" s="9"/>
      <c r="T31" s="9"/>
      <c r="U31" s="9"/>
      <c r="V31" s="9"/>
      <c r="W31" s="9"/>
      <c r="X31" s="11"/>
    </row>
    <row r="32" spans="1:30">
      <c r="A32" s="21">
        <v>45453</v>
      </c>
      <c r="B32" s="24">
        <v>22</v>
      </c>
      <c r="C32" s="21" t="s">
        <v>25</v>
      </c>
      <c r="D32" s="45" t="s">
        <v>132</v>
      </c>
      <c r="E32" s="22" t="s">
        <v>61</v>
      </c>
      <c r="F32" s="27" t="s">
        <v>133</v>
      </c>
      <c r="G32" s="29">
        <v>2400</v>
      </c>
      <c r="H32" s="29" t="s">
        <v>134</v>
      </c>
      <c r="I32" s="97">
        <v>200</v>
      </c>
      <c r="J32" s="108" t="str">
        <f>J20</f>
        <v>BOLETO PJ JS</v>
      </c>
      <c r="K32" s="80" t="s">
        <v>39</v>
      </c>
      <c r="L32" s="80">
        <f>I32*10/100</f>
        <v>20</v>
      </c>
      <c r="M32" s="80" t="s">
        <v>39</v>
      </c>
      <c r="N32" s="87">
        <f>I32/3</f>
        <v>66.666666666666671</v>
      </c>
      <c r="O32" s="77">
        <f>I32/3-L32</f>
        <v>46.666666666666671</v>
      </c>
      <c r="P32" s="78">
        <v>3</v>
      </c>
      <c r="Q32" s="134">
        <f>O32/P32</f>
        <v>15.555555555555557</v>
      </c>
      <c r="R32" s="142">
        <f>I32/3</f>
        <v>66.666666666666671</v>
      </c>
      <c r="S32" s="93">
        <f>L32+N32+O32+R32</f>
        <v>200</v>
      </c>
      <c r="T32" s="154">
        <f>I32-S32</f>
        <v>0</v>
      </c>
      <c r="U32" s="149">
        <f>200*4</f>
        <v>800</v>
      </c>
      <c r="V32" s="48" t="s">
        <v>135</v>
      </c>
      <c r="W32" s="9" t="s">
        <v>136</v>
      </c>
      <c r="X32" s="9"/>
    </row>
    <row r="33" spans="1:30">
      <c r="A33" s="21">
        <v>45454</v>
      </c>
      <c r="B33" s="9">
        <v>23</v>
      </c>
      <c r="C33" s="46" t="s">
        <v>25</v>
      </c>
      <c r="D33" s="11" t="s">
        <v>137</v>
      </c>
      <c r="E33" s="47" t="s">
        <v>138</v>
      </c>
      <c r="F33" s="12" t="s">
        <v>139</v>
      </c>
      <c r="G33" s="23">
        <v>4700</v>
      </c>
      <c r="H33" s="24" t="s">
        <v>140</v>
      </c>
      <c r="I33" s="109">
        <v>2400</v>
      </c>
      <c r="J33" s="83" t="s">
        <v>141</v>
      </c>
      <c r="K33" s="81" t="s">
        <v>40</v>
      </c>
      <c r="L33" s="81">
        <f>I33*10/100</f>
        <v>240</v>
      </c>
      <c r="M33" s="81" t="s">
        <v>39</v>
      </c>
      <c r="N33" s="81">
        <f>I33/3</f>
        <v>800</v>
      </c>
      <c r="O33" s="77">
        <f t="shared" ref="O33" si="5">N33-L33</f>
        <v>560</v>
      </c>
      <c r="P33" s="78">
        <v>3</v>
      </c>
      <c r="Q33" s="134">
        <f>O33/P33</f>
        <v>186.66666666666666</v>
      </c>
      <c r="R33" s="148">
        <f>I33/3</f>
        <v>800</v>
      </c>
      <c r="S33" s="93">
        <f>L33+N33+O33+R33</f>
        <v>2400</v>
      </c>
      <c r="T33" s="147">
        <f>I33-S33</f>
        <v>0</v>
      </c>
      <c r="U33" s="149">
        <f>G33-I33</f>
        <v>2300</v>
      </c>
      <c r="V33" s="9" t="s">
        <v>142</v>
      </c>
      <c r="W33" s="9" t="s">
        <v>143</v>
      </c>
      <c r="X33" s="9"/>
    </row>
    <row r="34" spans="1:30">
      <c r="A34" s="21">
        <v>45454</v>
      </c>
      <c r="B34" s="24">
        <v>24</v>
      </c>
      <c r="C34" s="21" t="s">
        <v>25</v>
      </c>
      <c r="D34" s="45" t="s">
        <v>144</v>
      </c>
      <c r="E34" s="22" t="s">
        <v>27</v>
      </c>
      <c r="F34" s="45" t="s">
        <v>145</v>
      </c>
      <c r="G34" s="48">
        <v>24500</v>
      </c>
      <c r="H34" s="49" t="s">
        <v>146</v>
      </c>
      <c r="I34" s="92">
        <v>750</v>
      </c>
      <c r="J34" s="93" t="s">
        <v>38</v>
      </c>
      <c r="K34" s="76" t="s">
        <v>31</v>
      </c>
      <c r="L34" s="110">
        <f>I34*10/100</f>
        <v>75</v>
      </c>
      <c r="M34" s="76" t="s">
        <v>31</v>
      </c>
      <c r="N34" s="76">
        <f>I34/3/2</f>
        <v>125</v>
      </c>
      <c r="O34" s="77">
        <f>I34/3-L34</f>
        <v>175</v>
      </c>
      <c r="P34" s="78">
        <v>3</v>
      </c>
      <c r="Q34" s="134">
        <f>O34/P34</f>
        <v>58.333333333333336</v>
      </c>
      <c r="R34" s="146">
        <f>I34/3</f>
        <v>250</v>
      </c>
      <c r="S34" s="83">
        <f>L34+N34+N35+O34+R34</f>
        <v>750</v>
      </c>
      <c r="T34" s="155">
        <f>I34-S34</f>
        <v>0</v>
      </c>
      <c r="U34" s="156">
        <f>S34*12</f>
        <v>9000</v>
      </c>
      <c r="V34" s="48" t="s">
        <v>147</v>
      </c>
      <c r="W34" s="9"/>
      <c r="X34" s="9" t="s">
        <v>148</v>
      </c>
    </row>
    <row r="35" spans="1:30">
      <c r="A35" s="9"/>
      <c r="B35" s="9"/>
      <c r="C35" s="9"/>
      <c r="D35" s="11"/>
      <c r="E35" s="11"/>
      <c r="F35" s="12"/>
      <c r="G35" s="23"/>
      <c r="H35" s="11"/>
      <c r="I35" s="23"/>
      <c r="J35" s="9"/>
      <c r="K35" s="23"/>
      <c r="L35" s="9"/>
      <c r="M35" s="86" t="s">
        <v>39</v>
      </c>
      <c r="N35" s="86">
        <f>I34/3/2</f>
        <v>125</v>
      </c>
      <c r="O35" s="11"/>
      <c r="P35" s="95"/>
      <c r="Q35" s="150"/>
      <c r="R35" s="9"/>
      <c r="S35" s="9"/>
      <c r="T35" s="9"/>
      <c r="U35" s="9"/>
      <c r="V35" s="9"/>
      <c r="W35" s="9"/>
      <c r="X35" s="9"/>
    </row>
    <row r="36" spans="1:30">
      <c r="A36" s="21">
        <v>45454</v>
      </c>
      <c r="B36" s="9">
        <v>25</v>
      </c>
      <c r="C36" s="10" t="s">
        <v>25</v>
      </c>
      <c r="D36" s="11" t="s">
        <v>149</v>
      </c>
      <c r="E36" s="26" t="s">
        <v>35</v>
      </c>
      <c r="F36" s="12" t="s">
        <v>56</v>
      </c>
      <c r="G36" s="23">
        <v>5000</v>
      </c>
      <c r="H36" s="42" t="s">
        <v>57</v>
      </c>
      <c r="I36" s="33">
        <v>200</v>
      </c>
      <c r="J36" s="83" t="str">
        <f>J34</f>
        <v>PIX JS PJ</v>
      </c>
      <c r="K36" s="105" t="s">
        <v>94</v>
      </c>
      <c r="L36" s="33">
        <f>I36*10/100</f>
        <v>20</v>
      </c>
      <c r="M36" s="76" t="s">
        <v>94</v>
      </c>
      <c r="N36" s="76">
        <f>I36/3/2</f>
        <v>33.333333333333336</v>
      </c>
      <c r="O36" s="77">
        <f>I36/3-L36</f>
        <v>46.666666666666671</v>
      </c>
      <c r="P36" s="78">
        <v>3</v>
      </c>
      <c r="Q36" s="134">
        <f>O36/P36</f>
        <v>15.555555555555557</v>
      </c>
      <c r="R36" s="148">
        <f>I36/3</f>
        <v>66.666666666666671</v>
      </c>
      <c r="S36" s="93">
        <f>L36+N36+N37+O36+R36</f>
        <v>200</v>
      </c>
      <c r="T36" s="147">
        <f>I36-S36</f>
        <v>0</v>
      </c>
      <c r="U36" s="109">
        <f>200*12</f>
        <v>2400</v>
      </c>
      <c r="V36" s="9" t="str">
        <f>V26</f>
        <v>PARCELA 13 DE 25</v>
      </c>
      <c r="W36" s="9" t="str">
        <f>W26</f>
        <v>CONTRATO JUNHO 2023</v>
      </c>
      <c r="X36" s="152"/>
    </row>
    <row r="37" spans="1:30">
      <c r="A37" s="9"/>
      <c r="B37" s="9"/>
      <c r="C37" s="9"/>
      <c r="D37" s="11"/>
      <c r="E37" s="11"/>
      <c r="F37" s="12"/>
      <c r="G37" s="23"/>
      <c r="H37" s="50"/>
      <c r="I37" s="23"/>
      <c r="J37" s="9"/>
      <c r="K37" s="111"/>
      <c r="L37" s="9"/>
      <c r="M37" s="86" t="s">
        <v>39</v>
      </c>
      <c r="N37" s="86">
        <f>I36/3/2</f>
        <v>33.333333333333336</v>
      </c>
      <c r="O37" s="11"/>
      <c r="P37" s="95"/>
      <c r="Q37" s="150"/>
      <c r="R37" s="9"/>
      <c r="S37" s="9"/>
      <c r="T37" s="9"/>
      <c r="U37" s="9"/>
      <c r="V37" s="9"/>
      <c r="W37" s="9"/>
      <c r="X37" s="152"/>
    </row>
    <row r="38" spans="1:30">
      <c r="A38" s="21">
        <v>45454</v>
      </c>
      <c r="B38" s="24">
        <v>26</v>
      </c>
      <c r="C38" s="21" t="s">
        <v>25</v>
      </c>
      <c r="D38" s="11" t="s">
        <v>150</v>
      </c>
      <c r="E38" s="33" t="str">
        <f>E36</f>
        <v>CÍVEL</v>
      </c>
      <c r="F38" s="12" t="s">
        <v>151</v>
      </c>
      <c r="G38" s="23">
        <v>10000</v>
      </c>
      <c r="H38" s="23" t="s">
        <v>152</v>
      </c>
      <c r="I38" s="33">
        <v>500</v>
      </c>
      <c r="J38" s="112" t="str">
        <f>J36</f>
        <v>PIX JS PJ</v>
      </c>
      <c r="K38" s="81" t="s">
        <v>40</v>
      </c>
      <c r="L38" s="81">
        <f>I38*10/100</f>
        <v>50</v>
      </c>
      <c r="M38" s="81" t="s">
        <v>39</v>
      </c>
      <c r="N38" s="81">
        <f>I38/3</f>
        <v>166.66666666666666</v>
      </c>
      <c r="O38" s="77">
        <f>I38/3-L38</f>
        <v>116.66666666666666</v>
      </c>
      <c r="P38" s="78">
        <v>3</v>
      </c>
      <c r="Q38" s="134">
        <f>O38/P38</f>
        <v>38.888888888888886</v>
      </c>
      <c r="R38" s="148">
        <f>I38/3</f>
        <v>166.66666666666666</v>
      </c>
      <c r="S38" s="93">
        <f>L38+N38+O38+R38</f>
        <v>500</v>
      </c>
      <c r="T38" s="147">
        <f>I38-S38</f>
        <v>0</v>
      </c>
      <c r="U38" s="149">
        <f>500*4</f>
        <v>2000</v>
      </c>
      <c r="V38" s="23" t="s">
        <v>153</v>
      </c>
      <c r="W38" s="23" t="s">
        <v>90</v>
      </c>
      <c r="X38" s="11"/>
    </row>
    <row r="39" spans="1:30">
      <c r="A39" s="21">
        <v>45455</v>
      </c>
      <c r="B39" s="9">
        <v>27</v>
      </c>
      <c r="C39" s="21" t="s">
        <v>25</v>
      </c>
      <c r="D39" s="27" t="s">
        <v>154</v>
      </c>
      <c r="E39" s="40" t="str">
        <f>E22</f>
        <v>EMPRESARIAL</v>
      </c>
      <c r="F39" s="27" t="s">
        <v>155</v>
      </c>
      <c r="G39" s="29">
        <v>11880</v>
      </c>
      <c r="H39" s="29" t="s">
        <v>156</v>
      </c>
      <c r="I39" s="113">
        <v>360</v>
      </c>
      <c r="J39" s="108">
        <f>J216</f>
        <v>0</v>
      </c>
      <c r="K39" s="94" t="s">
        <v>31</v>
      </c>
      <c r="L39" s="94">
        <f>I39*10/100</f>
        <v>36</v>
      </c>
      <c r="M39" s="94" t="s">
        <v>31</v>
      </c>
      <c r="N39" s="94">
        <f>I39/3/2</f>
        <v>60</v>
      </c>
      <c r="O39" s="77">
        <f>I39/3-L39</f>
        <v>84</v>
      </c>
      <c r="P39" s="89">
        <v>4</v>
      </c>
      <c r="Q39" s="88">
        <f>O39/P39</f>
        <v>21</v>
      </c>
      <c r="R39" s="135">
        <f>I39/3</f>
        <v>120</v>
      </c>
      <c r="S39" s="93">
        <f>L39+N39+N40+O39+R39</f>
        <v>360</v>
      </c>
      <c r="T39" s="136">
        <f>I39-S39</f>
        <v>0</v>
      </c>
      <c r="U39" s="137">
        <f>I39*27</f>
        <v>9720</v>
      </c>
      <c r="V39" s="29" t="s">
        <v>157</v>
      </c>
      <c r="W39" s="29" t="s">
        <v>158</v>
      </c>
      <c r="X39" s="9" t="s">
        <v>159</v>
      </c>
    </row>
    <row r="40" spans="1:30">
      <c r="A40" s="9"/>
      <c r="B40" s="9"/>
      <c r="C40" s="9"/>
      <c r="D40" s="9"/>
      <c r="E40" s="11"/>
      <c r="F40" s="12"/>
      <c r="G40" s="13"/>
      <c r="H40" s="14"/>
      <c r="I40" s="23"/>
      <c r="J40" s="14"/>
      <c r="K40" s="14"/>
      <c r="L40" s="14"/>
      <c r="M40" s="114" t="s">
        <v>160</v>
      </c>
      <c r="N40" s="114">
        <f>N39</f>
        <v>60</v>
      </c>
      <c r="O40" s="9"/>
      <c r="P40" s="78"/>
      <c r="Q40" s="134"/>
      <c r="R40" s="14"/>
      <c r="S40" s="9"/>
      <c r="T40" s="11"/>
      <c r="U40" s="11"/>
      <c r="V40" s="9"/>
      <c r="W40" s="9"/>
      <c r="X40" s="11"/>
    </row>
    <row r="41" spans="1:30">
      <c r="A41" s="21">
        <v>45455</v>
      </c>
      <c r="B41" s="9">
        <v>28</v>
      </c>
      <c r="C41" s="10" t="s">
        <v>25</v>
      </c>
      <c r="D41" s="12" t="s">
        <v>161</v>
      </c>
      <c r="E41" s="31" t="s">
        <v>50</v>
      </c>
      <c r="F41" s="27" t="s">
        <v>162</v>
      </c>
      <c r="G41" s="29">
        <v>5000</v>
      </c>
      <c r="H41" s="29" t="s">
        <v>163</v>
      </c>
      <c r="I41" s="115">
        <v>320</v>
      </c>
      <c r="J41" s="79" t="str">
        <f>J32</f>
        <v>BOLETO PJ JS</v>
      </c>
      <c r="K41" s="80" t="s">
        <v>39</v>
      </c>
      <c r="L41" s="80">
        <f>I41*10/100</f>
        <v>32</v>
      </c>
      <c r="M41" s="80" t="s">
        <v>39</v>
      </c>
      <c r="N41" s="87">
        <f>I41/3</f>
        <v>106.66666666666667</v>
      </c>
      <c r="O41" s="77">
        <f>I41/3-L41</f>
        <v>74.666666666666671</v>
      </c>
      <c r="P41" s="78">
        <v>3</v>
      </c>
      <c r="Q41" s="134">
        <f>O41/P41</f>
        <v>24.888888888888889</v>
      </c>
      <c r="R41" s="142">
        <f>I41/3</f>
        <v>106.66666666666667</v>
      </c>
      <c r="S41" s="93">
        <f>L41+N41+O41+R41</f>
        <v>320.00000000000006</v>
      </c>
      <c r="T41" s="151">
        <f>I41-S41</f>
        <v>0</v>
      </c>
      <c r="U41" s="149">
        <f>312.5*5</f>
        <v>1562.5</v>
      </c>
      <c r="V41" s="48" t="s">
        <v>164</v>
      </c>
      <c r="W41" s="9"/>
      <c r="X41" s="11"/>
    </row>
    <row r="42" spans="1:30" s="1" customFormat="1" ht="12.75">
      <c r="A42" s="51">
        <v>45457</v>
      </c>
      <c r="B42" s="52">
        <v>29</v>
      </c>
      <c r="C42" s="10" t="s">
        <v>25</v>
      </c>
      <c r="D42" s="53" t="s">
        <v>165</v>
      </c>
      <c r="E42" s="33" t="str">
        <f>E38</f>
        <v>CÍVEL</v>
      </c>
      <c r="F42" s="53" t="s">
        <v>166</v>
      </c>
      <c r="G42" s="54" t="s">
        <v>167</v>
      </c>
      <c r="H42" s="54" t="s">
        <v>168</v>
      </c>
      <c r="I42" s="116">
        <v>693.46</v>
      </c>
      <c r="J42" s="112" t="str">
        <f>J38</f>
        <v>PIX JS PJ</v>
      </c>
      <c r="K42" s="88" t="s">
        <v>68</v>
      </c>
      <c r="L42" s="88">
        <f>I42*10/100</f>
        <v>69.346000000000004</v>
      </c>
      <c r="M42" s="88" t="s">
        <v>68</v>
      </c>
      <c r="N42" s="88">
        <f>I42/3</f>
        <v>231.15333333333334</v>
      </c>
      <c r="O42" s="77">
        <f>N42-L42</f>
        <v>161.80733333333333</v>
      </c>
      <c r="P42" s="89">
        <v>4</v>
      </c>
      <c r="Q42" s="88">
        <f>O42/P42</f>
        <v>40.451833333333333</v>
      </c>
      <c r="R42" s="142">
        <f>I42/3</f>
        <v>231.15333333333334</v>
      </c>
      <c r="S42" s="157">
        <f>L42+N42+O42+R42</f>
        <v>693.45999999999992</v>
      </c>
      <c r="T42" s="151">
        <f>I42-S42</f>
        <v>0</v>
      </c>
      <c r="U42" s="149" t="s">
        <v>169</v>
      </c>
      <c r="V42" s="54" t="s">
        <v>170</v>
      </c>
      <c r="W42" s="53" t="s">
        <v>171</v>
      </c>
      <c r="X42" s="53"/>
    </row>
    <row r="43" spans="1:30">
      <c r="A43" s="21">
        <v>45457</v>
      </c>
      <c r="B43" s="24">
        <v>30</v>
      </c>
      <c r="C43" s="21" t="s">
        <v>25</v>
      </c>
      <c r="D43" s="45" t="s">
        <v>144</v>
      </c>
      <c r="E43" s="22" t="s">
        <v>27</v>
      </c>
      <c r="F43" s="45" t="s">
        <v>172</v>
      </c>
      <c r="G43" s="48">
        <v>250</v>
      </c>
      <c r="H43" s="49" t="s">
        <v>73</v>
      </c>
      <c r="I43" s="92">
        <v>250</v>
      </c>
      <c r="J43" s="93" t="s">
        <v>173</v>
      </c>
      <c r="K43" s="76" t="s">
        <v>31</v>
      </c>
      <c r="L43" s="110">
        <f>I43*10/100</f>
        <v>25</v>
      </c>
      <c r="M43" s="76" t="s">
        <v>31</v>
      </c>
      <c r="N43" s="76">
        <f>I43/3/2</f>
        <v>41.666666666666664</v>
      </c>
      <c r="O43" s="77">
        <f>I43/3-L43</f>
        <v>58.333333333333329</v>
      </c>
      <c r="P43" s="78">
        <v>3</v>
      </c>
      <c r="Q43" s="134">
        <f>O43/P43</f>
        <v>19.444444444444443</v>
      </c>
      <c r="R43" s="146">
        <f>I43/3</f>
        <v>83.333333333333329</v>
      </c>
      <c r="S43" s="83">
        <f>L43+N43+N44+O43+R43</f>
        <v>249.99999999999994</v>
      </c>
      <c r="T43" s="155">
        <f>I43-S43</f>
        <v>0</v>
      </c>
      <c r="U43" s="156">
        <v>0</v>
      </c>
      <c r="V43" s="48" t="s">
        <v>73</v>
      </c>
      <c r="W43" s="9"/>
      <c r="X43" s="9"/>
    </row>
    <row r="44" spans="1:30">
      <c r="A44" s="9"/>
      <c r="B44" s="9"/>
      <c r="C44" s="9"/>
      <c r="D44" s="11"/>
      <c r="E44" s="11"/>
      <c r="F44" s="12"/>
      <c r="G44" s="23"/>
      <c r="H44" s="11"/>
      <c r="I44" s="23"/>
      <c r="J44" s="9"/>
      <c r="K44" s="23"/>
      <c r="L44" s="9"/>
      <c r="M44" s="86" t="s">
        <v>39</v>
      </c>
      <c r="N44" s="86">
        <f>I43/3/2</f>
        <v>41.666666666666664</v>
      </c>
      <c r="O44" s="11"/>
      <c r="P44" s="95"/>
      <c r="Q44" s="150"/>
      <c r="R44" s="9"/>
      <c r="S44" s="9"/>
      <c r="T44" s="9"/>
      <c r="U44" s="9"/>
      <c r="V44" s="9"/>
      <c r="W44" s="9"/>
      <c r="X44" s="9"/>
    </row>
    <row r="45" spans="1:30" ht="15" customHeight="1">
      <c r="A45" s="21">
        <v>45460</v>
      </c>
      <c r="B45" s="9">
        <v>31</v>
      </c>
      <c r="C45" s="21" t="s">
        <v>25</v>
      </c>
      <c r="D45" s="11" t="s">
        <v>174</v>
      </c>
      <c r="E45" s="41" t="s">
        <v>121</v>
      </c>
      <c r="F45" s="11" t="s">
        <v>175</v>
      </c>
      <c r="G45" s="23">
        <v>300</v>
      </c>
      <c r="H45" s="9" t="s">
        <v>73</v>
      </c>
      <c r="I45" s="104">
        <v>300</v>
      </c>
      <c r="J45" s="73" t="str">
        <f>J42</f>
        <v>PIX JS PJ</v>
      </c>
      <c r="K45" s="33" t="s">
        <v>31</v>
      </c>
      <c r="L45" s="33">
        <f>I45*10/100</f>
        <v>30</v>
      </c>
      <c r="M45" s="88" t="s">
        <v>68</v>
      </c>
      <c r="N45" s="88">
        <f>I45/3</f>
        <v>100</v>
      </c>
      <c r="O45" s="77">
        <f>N45-L45</f>
        <v>70</v>
      </c>
      <c r="P45" s="89">
        <v>4</v>
      </c>
      <c r="Q45" s="88">
        <f>O45/P45</f>
        <v>17.5</v>
      </c>
      <c r="R45" s="135">
        <f>N45</f>
        <v>100</v>
      </c>
      <c r="S45" s="93">
        <f>L45+N45+O45+R45</f>
        <v>300</v>
      </c>
      <c r="T45" s="136">
        <f>I45-S45</f>
        <v>0</v>
      </c>
      <c r="U45" s="137">
        <v>0</v>
      </c>
      <c r="V45" s="29" t="s">
        <v>73</v>
      </c>
      <c r="W45" s="138"/>
      <c r="X45" s="11"/>
    </row>
    <row r="46" spans="1:30">
      <c r="A46" s="21">
        <v>45460</v>
      </c>
      <c r="B46" s="9">
        <v>32</v>
      </c>
      <c r="C46" s="10" t="s">
        <v>25</v>
      </c>
      <c r="D46" s="11" t="s">
        <v>176</v>
      </c>
      <c r="E46" s="31" t="s">
        <v>50</v>
      </c>
      <c r="F46" s="12" t="s">
        <v>177</v>
      </c>
      <c r="G46" s="23">
        <v>6000</v>
      </c>
      <c r="H46" s="9" t="s">
        <v>178</v>
      </c>
      <c r="I46" s="31">
        <v>500</v>
      </c>
      <c r="J46" s="83" t="str">
        <f>J18</f>
        <v>BOLETO PJ JS</v>
      </c>
      <c r="K46" s="94" t="s">
        <v>31</v>
      </c>
      <c r="L46" s="94">
        <f>I46*10/100</f>
        <v>50</v>
      </c>
      <c r="M46" s="94" t="s">
        <v>31</v>
      </c>
      <c r="N46" s="94">
        <f>I46/3/2</f>
        <v>83.333333333333329</v>
      </c>
      <c r="O46" s="77">
        <f>I46/3-L46</f>
        <v>116.66666666666666</v>
      </c>
      <c r="P46" s="89">
        <v>4</v>
      </c>
      <c r="Q46" s="88">
        <f>O46/P46</f>
        <v>29.166666666666664</v>
      </c>
      <c r="R46" s="135">
        <f>I46/3</f>
        <v>166.66666666666666</v>
      </c>
      <c r="S46" s="93">
        <f>L46+N46+N47+O46+R46</f>
        <v>499.99999999999989</v>
      </c>
      <c r="T46" s="136">
        <f>I46-S46</f>
        <v>0</v>
      </c>
      <c r="U46" s="137">
        <f>G46-I46</f>
        <v>5500</v>
      </c>
      <c r="V46" s="9" t="s">
        <v>179</v>
      </c>
      <c r="W46" s="138">
        <v>45383</v>
      </c>
      <c r="X46" s="11"/>
    </row>
    <row r="47" spans="1:30">
      <c r="A47" s="9"/>
      <c r="B47" s="9"/>
      <c r="C47" s="9"/>
      <c r="D47" s="11"/>
      <c r="E47" s="11"/>
      <c r="F47" s="12"/>
      <c r="G47" s="13"/>
      <c r="H47" s="14"/>
      <c r="I47" s="13"/>
      <c r="J47" s="14"/>
      <c r="K47" s="14"/>
      <c r="L47" s="14"/>
      <c r="M47" s="114" t="s">
        <v>160</v>
      </c>
      <c r="N47" s="114">
        <f>N46</f>
        <v>83.333333333333329</v>
      </c>
      <c r="O47" s="9"/>
      <c r="P47" s="78"/>
      <c r="Q47" s="134"/>
      <c r="R47" s="14"/>
      <c r="S47" s="9"/>
      <c r="T47" s="11"/>
      <c r="U47" s="11"/>
      <c r="V47" s="9"/>
      <c r="W47" s="9"/>
      <c r="X47" s="11"/>
    </row>
    <row r="48" spans="1:30">
      <c r="A48" s="21">
        <v>45460</v>
      </c>
      <c r="B48" s="9">
        <v>33</v>
      </c>
      <c r="C48" s="10" t="s">
        <v>25</v>
      </c>
      <c r="D48" s="36" t="s">
        <v>180</v>
      </c>
      <c r="E48" s="37" t="s">
        <v>97</v>
      </c>
      <c r="F48" s="12" t="s">
        <v>181</v>
      </c>
      <c r="G48" s="23">
        <v>5000</v>
      </c>
      <c r="H48" s="42" t="s">
        <v>57</v>
      </c>
      <c r="I48" s="96">
        <v>200</v>
      </c>
      <c r="J48" s="83" t="str">
        <f>J36</f>
        <v>PIX JS PJ</v>
      </c>
      <c r="K48" s="105" t="str">
        <f>M48</f>
        <v>JS</v>
      </c>
      <c r="L48" s="33">
        <f>I48*10/100</f>
        <v>20</v>
      </c>
      <c r="M48" s="76" t="s">
        <v>94</v>
      </c>
      <c r="N48" s="76">
        <f>I48/3/2</f>
        <v>33.333333333333336</v>
      </c>
      <c r="O48" s="77">
        <f>I48/3-L48</f>
        <v>46.666666666666671</v>
      </c>
      <c r="P48" s="78">
        <v>3</v>
      </c>
      <c r="Q48" s="134">
        <f>O48/P48</f>
        <v>15.555555555555557</v>
      </c>
      <c r="R48" s="148">
        <f>I48/3</f>
        <v>66.666666666666671</v>
      </c>
      <c r="S48" s="93">
        <f>L48+N48+N49+O48+R48</f>
        <v>200</v>
      </c>
      <c r="T48" s="147">
        <f>I48-S48</f>
        <v>0</v>
      </c>
      <c r="U48" s="109">
        <f>I48*24</f>
        <v>4800</v>
      </c>
      <c r="V48" s="9" t="s">
        <v>99</v>
      </c>
      <c r="W48" s="9" t="s">
        <v>54</v>
      </c>
      <c r="X48" s="152"/>
      <c r="Y48" s="164"/>
      <c r="Z48" s="164"/>
      <c r="AA48" s="165"/>
      <c r="AB48" s="164"/>
      <c r="AC48" s="166"/>
      <c r="AD48" s="1"/>
    </row>
    <row r="49" spans="1:30">
      <c r="A49" s="11"/>
      <c r="B49" s="9"/>
      <c r="C49" s="9"/>
      <c r="D49" s="11"/>
      <c r="E49" s="11"/>
      <c r="F49" s="38"/>
      <c r="G49" s="23"/>
      <c r="H49" s="43"/>
      <c r="I49" s="23"/>
      <c r="J49" s="23"/>
      <c r="K49" s="106"/>
      <c r="L49" s="14"/>
      <c r="M49" s="80" t="s">
        <v>39</v>
      </c>
      <c r="N49" s="86">
        <f>I48/3/2</f>
        <v>33.333333333333336</v>
      </c>
      <c r="O49" s="9"/>
      <c r="P49" s="78"/>
      <c r="Q49" s="134"/>
      <c r="R49" s="9"/>
      <c r="S49" s="9"/>
      <c r="T49" s="9"/>
      <c r="U49" s="9"/>
      <c r="V49" s="9"/>
      <c r="W49" s="9"/>
      <c r="X49" s="152"/>
      <c r="Y49" s="166"/>
      <c r="Z49" s="164"/>
      <c r="AA49" s="165"/>
      <c r="AB49" s="166"/>
      <c r="AC49" s="166"/>
      <c r="AD49" s="1"/>
    </row>
    <row r="50" spans="1:30">
      <c r="A50" s="21">
        <v>45461</v>
      </c>
      <c r="B50" s="9">
        <v>34</v>
      </c>
      <c r="C50" s="21" t="s">
        <v>25</v>
      </c>
      <c r="D50" s="11" t="s">
        <v>182</v>
      </c>
      <c r="E50" s="26" t="s">
        <v>35</v>
      </c>
      <c r="F50" s="11" t="s">
        <v>183</v>
      </c>
      <c r="G50" s="23">
        <v>15000</v>
      </c>
      <c r="H50" s="9" t="s">
        <v>184</v>
      </c>
      <c r="I50" s="33">
        <v>1520</v>
      </c>
      <c r="J50" s="73" t="s">
        <v>114</v>
      </c>
      <c r="K50" s="94" t="s">
        <v>31</v>
      </c>
      <c r="L50" s="94">
        <f>I50*10/100</f>
        <v>152</v>
      </c>
      <c r="M50" s="94" t="s">
        <v>31</v>
      </c>
      <c r="N50" s="94">
        <f>I50/3/2</f>
        <v>253.33333333333334</v>
      </c>
      <c r="O50" s="77">
        <f>I50/3-L50</f>
        <v>354.66666666666669</v>
      </c>
      <c r="P50" s="78">
        <v>3</v>
      </c>
      <c r="Q50" s="134">
        <f>O50/P50</f>
        <v>118.22222222222223</v>
      </c>
      <c r="R50" s="135">
        <f>N50+N51</f>
        <v>506.66666666666669</v>
      </c>
      <c r="S50" s="93">
        <f>L50+N50+N51+O50+R50</f>
        <v>1520.0000000000002</v>
      </c>
      <c r="T50" s="136">
        <f>I50-S50</f>
        <v>0</v>
      </c>
      <c r="U50" s="137">
        <f>[2]RECEITAS!$S$58-I50</f>
        <v>9410</v>
      </c>
      <c r="V50" s="29" t="s">
        <v>185</v>
      </c>
      <c r="W50" s="9" t="s">
        <v>64</v>
      </c>
      <c r="X50" s="11"/>
    </row>
    <row r="51" spans="1:30">
      <c r="A51" s="9"/>
      <c r="B51" s="9"/>
      <c r="C51" s="9"/>
      <c r="D51" s="11"/>
      <c r="E51" s="9"/>
      <c r="F51" s="12"/>
      <c r="G51" s="23"/>
      <c r="H51" s="11"/>
      <c r="I51" s="35"/>
      <c r="J51" s="23"/>
      <c r="K51" s="9"/>
      <c r="L51" s="23"/>
      <c r="M51" s="86" t="str">
        <f>M49</f>
        <v>JÉTER</v>
      </c>
      <c r="N51" s="86">
        <f>I50/3/2</f>
        <v>253.33333333333334</v>
      </c>
      <c r="O51" s="9"/>
      <c r="P51" s="78"/>
      <c r="Q51" s="134"/>
      <c r="R51" s="23"/>
      <c r="S51" s="23"/>
      <c r="T51" s="23"/>
      <c r="U51" s="23"/>
      <c r="V51" s="9"/>
      <c r="W51" s="9"/>
      <c r="X51" s="9"/>
    </row>
    <row r="52" spans="1:30">
      <c r="A52" s="21">
        <v>45461</v>
      </c>
      <c r="B52" s="9">
        <v>35</v>
      </c>
      <c r="C52" s="21" t="s">
        <v>25</v>
      </c>
      <c r="D52" s="11" t="s">
        <v>186</v>
      </c>
      <c r="E52" s="47" t="s">
        <v>138</v>
      </c>
      <c r="F52" s="12" t="s">
        <v>187</v>
      </c>
      <c r="G52" s="23" t="s">
        <v>167</v>
      </c>
      <c r="H52" s="11" t="s">
        <v>188</v>
      </c>
      <c r="I52" s="109">
        <v>1400</v>
      </c>
      <c r="J52" s="73" t="str">
        <f>J45</f>
        <v>PIX JS PJ</v>
      </c>
      <c r="K52" s="94" t="s">
        <v>31</v>
      </c>
      <c r="L52" s="94">
        <f>I52*10/100</f>
        <v>140</v>
      </c>
      <c r="M52" s="90" t="s">
        <v>74</v>
      </c>
      <c r="N52" s="91">
        <f>I52/3</f>
        <v>466.66666666666669</v>
      </c>
      <c r="O52" s="77">
        <f>I52/3-L52</f>
        <v>326.66666666666669</v>
      </c>
      <c r="P52" s="117">
        <v>4</v>
      </c>
      <c r="Q52" s="120">
        <f>O52/P52</f>
        <v>81.666666666666671</v>
      </c>
      <c r="R52" s="135">
        <f>N52</f>
        <v>466.66666666666669</v>
      </c>
      <c r="S52" s="93">
        <f>L52+N52+O52+R52</f>
        <v>1400.0000000000002</v>
      </c>
      <c r="T52" s="136">
        <f>I52-S52</f>
        <v>0</v>
      </c>
      <c r="U52" s="137">
        <v>1000</v>
      </c>
      <c r="V52" s="29" t="s">
        <v>79</v>
      </c>
      <c r="W52" s="9" t="s">
        <v>167</v>
      </c>
      <c r="X52" s="9" t="s">
        <v>189</v>
      </c>
    </row>
    <row r="53" spans="1:30">
      <c r="A53" s="21">
        <v>45461</v>
      </c>
      <c r="B53" s="9">
        <v>36</v>
      </c>
      <c r="C53" s="21" t="s">
        <v>25</v>
      </c>
      <c r="D53" s="36" t="s">
        <v>190</v>
      </c>
      <c r="E53" s="22" t="s">
        <v>61</v>
      </c>
      <c r="F53" s="12" t="s">
        <v>191</v>
      </c>
      <c r="G53" s="23">
        <v>4200</v>
      </c>
      <c r="H53" s="42" t="s">
        <v>192</v>
      </c>
      <c r="I53" s="72">
        <v>300</v>
      </c>
      <c r="J53" s="83" t="str">
        <f>J46</f>
        <v>BOLETO PJ JS</v>
      </c>
      <c r="K53" s="118" t="s">
        <v>31</v>
      </c>
      <c r="L53" s="94">
        <f>I53*10/100</f>
        <v>30</v>
      </c>
      <c r="M53" s="94" t="s">
        <v>31</v>
      </c>
      <c r="N53" s="94">
        <f>I53/3</f>
        <v>100</v>
      </c>
      <c r="O53" s="77">
        <f>I53/3-L53</f>
        <v>70</v>
      </c>
      <c r="P53" s="78">
        <v>3</v>
      </c>
      <c r="Q53" s="134">
        <f>O53/P53</f>
        <v>23.333333333333332</v>
      </c>
      <c r="R53" s="148">
        <f>I53/3</f>
        <v>100</v>
      </c>
      <c r="S53" s="93">
        <f>L53+N53+O53+R53</f>
        <v>300</v>
      </c>
      <c r="T53" s="147">
        <v>0</v>
      </c>
      <c r="U53" s="149">
        <f>I53*10</f>
        <v>3000</v>
      </c>
      <c r="V53" s="9" t="s">
        <v>193</v>
      </c>
      <c r="W53" s="9" t="s">
        <v>64</v>
      </c>
      <c r="X53" s="106"/>
    </row>
    <row r="54" spans="1:30">
      <c r="A54" s="21">
        <v>45462</v>
      </c>
      <c r="B54" s="24">
        <v>37</v>
      </c>
      <c r="C54" s="21" t="s">
        <v>25</v>
      </c>
      <c r="D54" s="55" t="s">
        <v>194</v>
      </c>
      <c r="E54" s="56" t="s">
        <v>121</v>
      </c>
      <c r="F54" s="12" t="s">
        <v>195</v>
      </c>
      <c r="G54" s="34">
        <v>3000</v>
      </c>
      <c r="H54" s="34" t="s">
        <v>67</v>
      </c>
      <c r="I54" s="119">
        <v>300</v>
      </c>
      <c r="J54" s="83" t="s">
        <v>38</v>
      </c>
      <c r="K54" s="80" t="s">
        <v>39</v>
      </c>
      <c r="L54" s="80">
        <f>I54*10/100</f>
        <v>30</v>
      </c>
      <c r="M54" s="120" t="s">
        <v>74</v>
      </c>
      <c r="N54" s="120">
        <f>I54/3</f>
        <v>100</v>
      </c>
      <c r="O54" s="77">
        <f>I54/3-L54</f>
        <v>70</v>
      </c>
      <c r="P54" s="117">
        <v>4</v>
      </c>
      <c r="Q54" s="120">
        <f>O54/P54</f>
        <v>17.5</v>
      </c>
      <c r="R54" s="142">
        <f>I54/3</f>
        <v>100</v>
      </c>
      <c r="S54" s="93">
        <f>L54+N54+O54+R54</f>
        <v>300</v>
      </c>
      <c r="T54" s="143">
        <f>I54-S54</f>
        <v>0</v>
      </c>
      <c r="U54" s="144">
        <f>300*3</f>
        <v>900</v>
      </c>
      <c r="V54" s="145" t="s">
        <v>196</v>
      </c>
      <c r="W54" s="9"/>
      <c r="X54" s="11"/>
    </row>
    <row r="55" spans="1:30">
      <c r="A55" s="21">
        <v>45462</v>
      </c>
      <c r="B55" s="24">
        <v>38</v>
      </c>
      <c r="C55" s="21" t="s">
        <v>25</v>
      </c>
      <c r="D55" s="57" t="s">
        <v>197</v>
      </c>
      <c r="E55" s="58" t="s">
        <v>128</v>
      </c>
      <c r="F55" s="57" t="s">
        <v>198</v>
      </c>
      <c r="G55" s="59">
        <v>300</v>
      </c>
      <c r="H55" s="60" t="s">
        <v>73</v>
      </c>
      <c r="I55" s="121">
        <v>300</v>
      </c>
      <c r="J55" s="73" t="s">
        <v>141</v>
      </c>
      <c r="K55" s="110" t="s">
        <v>94</v>
      </c>
      <c r="L55" s="110">
        <f t="shared" ref="L55:L62" si="6">I55*10/100</f>
        <v>30</v>
      </c>
      <c r="M55" s="122" t="s">
        <v>31</v>
      </c>
      <c r="N55" s="122">
        <f t="shared" ref="N55:N61" si="7">I55/3</f>
        <v>100</v>
      </c>
      <c r="O55" s="123">
        <f t="shared" ref="O55:O62" si="8">I55/3-L55</f>
        <v>70</v>
      </c>
      <c r="P55" s="124">
        <v>4</v>
      </c>
      <c r="Q55" s="88">
        <f t="shared" ref="Q55:Q60" si="9">O55/P55</f>
        <v>17.5</v>
      </c>
      <c r="R55" s="158">
        <f>I55/3</f>
        <v>100</v>
      </c>
      <c r="S55" s="73">
        <f>L55+N55+O55+R55</f>
        <v>300</v>
      </c>
      <c r="T55" s="159">
        <f>I55-S55</f>
        <v>0</v>
      </c>
      <c r="U55" s="160">
        <v>0</v>
      </c>
      <c r="V55" s="59" t="s">
        <v>73</v>
      </c>
      <c r="W55" s="54" t="str">
        <f>W59</f>
        <v>CONTRATO JUNHO 2024</v>
      </c>
      <c r="X55" s="53"/>
      <c r="Y55" s="164"/>
      <c r="Z55" s="164"/>
      <c r="AA55" s="165"/>
      <c r="AB55" s="164"/>
      <c r="AC55" s="167"/>
    </row>
    <row r="56" spans="1:30">
      <c r="A56" s="21">
        <v>45463</v>
      </c>
      <c r="B56" s="9">
        <v>39</v>
      </c>
      <c r="C56" s="21" t="s">
        <v>25</v>
      </c>
      <c r="D56" s="11" t="s">
        <v>199</v>
      </c>
      <c r="E56" s="26" t="s">
        <v>35</v>
      </c>
      <c r="F56" s="12" t="s">
        <v>56</v>
      </c>
      <c r="G56" s="23">
        <v>5000</v>
      </c>
      <c r="H56" s="42" t="s">
        <v>57</v>
      </c>
      <c r="I56" s="33">
        <v>800</v>
      </c>
      <c r="J56" s="83" t="s">
        <v>38</v>
      </c>
      <c r="K56" s="105" t="s">
        <v>94</v>
      </c>
      <c r="L56" s="33">
        <f t="shared" si="6"/>
        <v>80</v>
      </c>
      <c r="M56" s="76" t="s">
        <v>94</v>
      </c>
      <c r="N56" s="76">
        <f>I56/3/2</f>
        <v>133.33333333333334</v>
      </c>
      <c r="O56" s="77">
        <f t="shared" si="8"/>
        <v>186.66666666666669</v>
      </c>
      <c r="P56" s="78">
        <v>3</v>
      </c>
      <c r="Q56" s="134">
        <f t="shared" si="9"/>
        <v>62.222222222222229</v>
      </c>
      <c r="R56" s="148">
        <f>I56/3</f>
        <v>266.66666666666669</v>
      </c>
      <c r="S56" s="83">
        <f>L56+N56+N57+O56+R56</f>
        <v>800</v>
      </c>
      <c r="T56" s="161">
        <f>I56-S56</f>
        <v>0</v>
      </c>
      <c r="U56" s="109">
        <v>3400</v>
      </c>
      <c r="V56" s="9" t="s">
        <v>126</v>
      </c>
      <c r="W56" s="9"/>
      <c r="X56" s="9" t="s">
        <v>200</v>
      </c>
      <c r="Y56" s="168"/>
      <c r="Z56" s="164"/>
      <c r="AA56" s="165"/>
      <c r="AB56" s="164"/>
      <c r="AC56" s="166"/>
      <c r="AD56" s="1"/>
    </row>
    <row r="57" spans="1:30">
      <c r="A57" s="9"/>
      <c r="B57" s="9"/>
      <c r="C57" s="9"/>
      <c r="D57" s="11"/>
      <c r="E57" s="11"/>
      <c r="F57" s="11"/>
      <c r="G57" s="23"/>
      <c r="H57" s="50"/>
      <c r="I57" s="23"/>
      <c r="J57" s="9"/>
      <c r="K57" s="111"/>
      <c r="L57" s="9"/>
      <c r="M57" s="86" t="s">
        <v>40</v>
      </c>
      <c r="N57" s="86">
        <f>I56/3/2</f>
        <v>133.33333333333334</v>
      </c>
      <c r="O57" s="9"/>
      <c r="P57" s="9"/>
      <c r="Q57" s="23"/>
      <c r="R57" s="9"/>
      <c r="S57" s="9"/>
      <c r="T57" s="9"/>
      <c r="U57" s="9"/>
      <c r="V57" s="9"/>
      <c r="W57" s="9"/>
      <c r="X57" s="9"/>
      <c r="Y57" s="164"/>
      <c r="Z57" s="164"/>
      <c r="AA57" s="165"/>
      <c r="AB57" s="164"/>
      <c r="AC57" s="166"/>
      <c r="AD57" s="1"/>
    </row>
    <row r="58" spans="1:30">
      <c r="A58" s="21">
        <v>45463</v>
      </c>
      <c r="B58" s="9">
        <v>40</v>
      </c>
      <c r="C58" s="21" t="s">
        <v>25</v>
      </c>
      <c r="D58" s="11" t="s">
        <v>104</v>
      </c>
      <c r="E58" s="39" t="s">
        <v>27</v>
      </c>
      <c r="F58" s="11" t="s">
        <v>105</v>
      </c>
      <c r="G58" s="23">
        <v>4200</v>
      </c>
      <c r="H58" s="9" t="s">
        <v>106</v>
      </c>
      <c r="I58" s="22">
        <v>100</v>
      </c>
      <c r="J58" s="83" t="s">
        <v>38</v>
      </c>
      <c r="K58" s="80" t="s">
        <v>39</v>
      </c>
      <c r="L58" s="80">
        <f t="shared" si="6"/>
        <v>10</v>
      </c>
      <c r="M58" s="81" t="str">
        <f>K58</f>
        <v>JÉTER</v>
      </c>
      <c r="N58" s="81">
        <f t="shared" si="7"/>
        <v>33.333333333333336</v>
      </c>
      <c r="O58" s="77">
        <f t="shared" si="8"/>
        <v>23.333333333333336</v>
      </c>
      <c r="P58" s="78">
        <v>3</v>
      </c>
      <c r="Q58" s="134">
        <f t="shared" si="9"/>
        <v>7.7777777777777786</v>
      </c>
      <c r="R58" s="146">
        <f>N58</f>
        <v>33.333333333333336</v>
      </c>
      <c r="S58" s="93">
        <f>L58+N58+O58+R58</f>
        <v>100</v>
      </c>
      <c r="T58" s="147">
        <f>I58-S58</f>
        <v>0</v>
      </c>
      <c r="U58" s="149">
        <v>4000</v>
      </c>
      <c r="V58" s="9" t="s">
        <v>107</v>
      </c>
      <c r="W58" s="9" t="s">
        <v>108</v>
      </c>
      <c r="X58" s="9" t="s">
        <v>109</v>
      </c>
      <c r="Y58" s="166"/>
      <c r="Z58" s="164"/>
      <c r="AA58" s="165"/>
      <c r="AB58" s="166"/>
      <c r="AC58" s="166"/>
      <c r="AD58" s="1"/>
    </row>
    <row r="59" spans="1:30">
      <c r="A59" s="21">
        <v>45464</v>
      </c>
      <c r="B59" s="24">
        <v>41</v>
      </c>
      <c r="C59" s="21" t="s">
        <v>25</v>
      </c>
      <c r="D59" s="53" t="s">
        <v>201</v>
      </c>
      <c r="E59" s="26" t="s">
        <v>35</v>
      </c>
      <c r="F59" s="57" t="s">
        <v>202</v>
      </c>
      <c r="G59" s="59">
        <v>1412</v>
      </c>
      <c r="H59" s="60" t="s">
        <v>73</v>
      </c>
      <c r="I59" s="33">
        <v>1412</v>
      </c>
      <c r="J59" s="73" t="str">
        <f>J54</f>
        <v>PIX JS PJ</v>
      </c>
      <c r="K59" s="110" t="str">
        <f>K55</f>
        <v>JS</v>
      </c>
      <c r="L59" s="110">
        <f t="shared" si="6"/>
        <v>141.19999999999999</v>
      </c>
      <c r="M59" s="88" t="s">
        <v>68</v>
      </c>
      <c r="N59" s="88">
        <f t="shared" si="7"/>
        <v>470.66666666666669</v>
      </c>
      <c r="O59" s="123">
        <f>N59-L59</f>
        <v>329.4666666666667</v>
      </c>
      <c r="P59" s="124">
        <f>P55</f>
        <v>4</v>
      </c>
      <c r="Q59" s="88">
        <f>O59/4</f>
        <v>82.366666666666674</v>
      </c>
      <c r="R59" s="158">
        <f>N59</f>
        <v>470.66666666666669</v>
      </c>
      <c r="S59" s="73">
        <f>L59+N59+O59+R59</f>
        <v>1412</v>
      </c>
      <c r="T59" s="159">
        <f>I59-S59</f>
        <v>0</v>
      </c>
      <c r="U59" s="160">
        <v>0</v>
      </c>
      <c r="V59" s="59" t="str">
        <f>V55</f>
        <v>PARCELA ÚNICA</v>
      </c>
      <c r="W59" s="54" t="s">
        <v>171</v>
      </c>
      <c r="X59" s="53"/>
      <c r="Y59" s="164"/>
      <c r="Z59" s="164"/>
      <c r="AA59" s="165"/>
      <c r="AB59" s="164"/>
      <c r="AC59" s="167"/>
    </row>
    <row r="60" spans="1:30">
      <c r="A60" s="21">
        <v>45467</v>
      </c>
      <c r="B60" s="9">
        <v>42</v>
      </c>
      <c r="C60" s="21" t="s">
        <v>25</v>
      </c>
      <c r="D60" s="11" t="s">
        <v>203</v>
      </c>
      <c r="E60" s="61" t="s">
        <v>44</v>
      </c>
      <c r="F60" s="38" t="s">
        <v>204</v>
      </c>
      <c r="G60" s="23">
        <v>1000</v>
      </c>
      <c r="H60" s="43" t="s">
        <v>205</v>
      </c>
      <c r="I60" s="61">
        <v>250</v>
      </c>
      <c r="J60" s="83" t="s">
        <v>38</v>
      </c>
      <c r="K60" s="105" t="str">
        <f>K59</f>
        <v>JS</v>
      </c>
      <c r="L60" s="33">
        <f t="shared" si="6"/>
        <v>25</v>
      </c>
      <c r="M60" s="81" t="s">
        <v>39</v>
      </c>
      <c r="N60" s="87">
        <f t="shared" si="7"/>
        <v>83.333333333333329</v>
      </c>
      <c r="O60" s="77">
        <f t="shared" si="8"/>
        <v>58.333333333333329</v>
      </c>
      <c r="P60" s="78">
        <v>3</v>
      </c>
      <c r="Q60" s="134">
        <f t="shared" si="9"/>
        <v>19.444444444444443</v>
      </c>
      <c r="R60" s="148">
        <f>N60</f>
        <v>83.333333333333329</v>
      </c>
      <c r="S60" s="93">
        <f>L60+N60+O60+N60</f>
        <v>250</v>
      </c>
      <c r="T60" s="155">
        <f>I60-S60</f>
        <v>0</v>
      </c>
      <c r="U60" s="156">
        <f>I60*2</f>
        <v>500</v>
      </c>
      <c r="V60" s="48" t="s">
        <v>206</v>
      </c>
      <c r="W60" s="9" t="s">
        <v>54</v>
      </c>
      <c r="X60" s="23"/>
      <c r="Y60" s="166"/>
      <c r="Z60" s="164"/>
      <c r="AA60" s="165"/>
      <c r="AB60" s="166"/>
      <c r="AC60" s="166"/>
      <c r="AD60" s="1"/>
    </row>
    <row r="61" spans="1:30">
      <c r="A61" s="21">
        <v>45468</v>
      </c>
      <c r="B61" s="9">
        <v>43</v>
      </c>
      <c r="C61" s="21" t="s">
        <v>25</v>
      </c>
      <c r="D61" s="27" t="s">
        <v>154</v>
      </c>
      <c r="E61" s="40" t="str">
        <f>E39</f>
        <v>EMPRESARIAL</v>
      </c>
      <c r="F61" s="27" t="s">
        <v>207</v>
      </c>
      <c r="G61" s="29">
        <v>10476</v>
      </c>
      <c r="H61" s="62" t="s">
        <v>208</v>
      </c>
      <c r="I61" s="113">
        <v>873</v>
      </c>
      <c r="J61" s="108" t="str">
        <f>J55</f>
        <v>DINHEIRO</v>
      </c>
      <c r="K61" s="118" t="s">
        <v>31</v>
      </c>
      <c r="L61" s="94">
        <f t="shared" si="6"/>
        <v>87.3</v>
      </c>
      <c r="M61" s="102" t="s">
        <v>115</v>
      </c>
      <c r="N61" s="114">
        <f t="shared" si="7"/>
        <v>291</v>
      </c>
      <c r="O61" s="77">
        <f t="shared" si="8"/>
        <v>203.7</v>
      </c>
      <c r="P61" s="89">
        <v>4</v>
      </c>
      <c r="Q61" s="88">
        <f>O61/4</f>
        <v>50.924999999999997</v>
      </c>
      <c r="R61" s="135">
        <f>I61/3</f>
        <v>291</v>
      </c>
      <c r="S61" s="93">
        <f>L61+N61+O61+R61</f>
        <v>873</v>
      </c>
      <c r="T61" s="162">
        <f>I61-S61</f>
        <v>0</v>
      </c>
      <c r="U61" s="137">
        <f>S61*6</f>
        <v>5238</v>
      </c>
      <c r="V61" s="29" t="s">
        <v>209</v>
      </c>
      <c r="W61" s="29" t="s">
        <v>210</v>
      </c>
      <c r="X61" s="106"/>
    </row>
    <row r="62" spans="1:30">
      <c r="A62" s="21">
        <v>45468</v>
      </c>
      <c r="B62" s="9">
        <v>44</v>
      </c>
      <c r="C62" s="21" t="s">
        <v>25</v>
      </c>
      <c r="D62" s="36" t="s">
        <v>211</v>
      </c>
      <c r="E62" s="37" t="s">
        <v>97</v>
      </c>
      <c r="F62" s="12" t="s">
        <v>98</v>
      </c>
      <c r="G62" s="23">
        <v>5000</v>
      </c>
      <c r="H62" s="42" t="s">
        <v>57</v>
      </c>
      <c r="I62" s="96">
        <v>200</v>
      </c>
      <c r="J62" s="83" t="str">
        <f>J53</f>
        <v>BOLETO PJ JS</v>
      </c>
      <c r="K62" s="105" t="str">
        <f>M62</f>
        <v>JS</v>
      </c>
      <c r="L62" s="33">
        <f t="shared" si="6"/>
        <v>20</v>
      </c>
      <c r="M62" s="76" t="s">
        <v>94</v>
      </c>
      <c r="N62" s="76">
        <f>I62/3/2</f>
        <v>33.333333333333336</v>
      </c>
      <c r="O62" s="77">
        <f t="shared" si="8"/>
        <v>46.666666666666671</v>
      </c>
      <c r="P62" s="78">
        <v>3</v>
      </c>
      <c r="Q62" s="134">
        <f>O62/P62</f>
        <v>15.555555555555557</v>
      </c>
      <c r="R62" s="148">
        <f>I62/3</f>
        <v>66.666666666666671</v>
      </c>
      <c r="S62" s="93">
        <f>L62+N62+N63+O62+R62</f>
        <v>200</v>
      </c>
      <c r="T62" s="163">
        <f>I62-S62</f>
        <v>0</v>
      </c>
      <c r="U62" s="109">
        <f>I62*24</f>
        <v>4800</v>
      </c>
      <c r="V62" s="9" t="s">
        <v>99</v>
      </c>
      <c r="W62" s="9" t="s">
        <v>54</v>
      </c>
      <c r="X62" s="152"/>
      <c r="Y62" s="164"/>
      <c r="Z62" s="164"/>
      <c r="AA62" s="165"/>
      <c r="AB62" s="164"/>
      <c r="AC62" s="166"/>
      <c r="AD62" s="1"/>
    </row>
    <row r="63" spans="1:30">
      <c r="A63" s="11"/>
      <c r="B63" s="9"/>
      <c r="C63" s="11"/>
      <c r="D63" s="11"/>
      <c r="E63" s="11"/>
      <c r="F63" s="38"/>
      <c r="G63" s="23"/>
      <c r="H63" s="43"/>
      <c r="I63" s="23"/>
      <c r="J63" s="23"/>
      <c r="K63" s="106"/>
      <c r="L63" s="14"/>
      <c r="M63" s="80" t="s">
        <v>39</v>
      </c>
      <c r="N63" s="86">
        <f>I62/3/2</f>
        <v>33.333333333333336</v>
      </c>
      <c r="O63" s="9"/>
      <c r="P63" s="78"/>
      <c r="Q63" s="134"/>
      <c r="R63" s="9"/>
      <c r="S63" s="9"/>
      <c r="T63" s="9"/>
      <c r="U63" s="9"/>
      <c r="V63" s="9"/>
      <c r="W63" s="9"/>
      <c r="X63" s="152"/>
      <c r="Y63" s="166"/>
      <c r="Z63" s="164"/>
      <c r="AA63" s="165"/>
      <c r="AB63" s="166"/>
      <c r="AC63" s="166"/>
      <c r="AD63" s="1"/>
    </row>
    <row r="64" spans="1:30">
      <c r="A64" s="21">
        <v>45468</v>
      </c>
      <c r="B64" s="9">
        <v>45</v>
      </c>
      <c r="C64" s="21" t="s">
        <v>25</v>
      </c>
      <c r="D64" s="36" t="s">
        <v>212</v>
      </c>
      <c r="E64" s="37" t="s">
        <v>97</v>
      </c>
      <c r="F64" s="12" t="s">
        <v>98</v>
      </c>
      <c r="G64" s="23">
        <v>5000</v>
      </c>
      <c r="H64" s="42" t="s">
        <v>57</v>
      </c>
      <c r="I64" s="96">
        <v>200</v>
      </c>
      <c r="J64" s="83" t="str">
        <f>J62</f>
        <v>BOLETO PJ JS</v>
      </c>
      <c r="K64" s="105" t="str">
        <f>M64</f>
        <v>JS</v>
      </c>
      <c r="L64" s="33">
        <f>I64*10/100</f>
        <v>20</v>
      </c>
      <c r="M64" s="76" t="s">
        <v>94</v>
      </c>
      <c r="N64" s="76">
        <f>I64/3/2</f>
        <v>33.333333333333336</v>
      </c>
      <c r="O64" s="77">
        <f>I64/3-L64</f>
        <v>46.666666666666671</v>
      </c>
      <c r="P64" s="78">
        <v>3</v>
      </c>
      <c r="Q64" s="134">
        <f>O64/P64</f>
        <v>15.555555555555557</v>
      </c>
      <c r="R64" s="148">
        <f>I64/3</f>
        <v>66.666666666666671</v>
      </c>
      <c r="S64" s="93">
        <f>L64+N64+N65+O64+R64</f>
        <v>200</v>
      </c>
      <c r="T64" s="163">
        <f>I64-S64</f>
        <v>0</v>
      </c>
      <c r="U64" s="109">
        <f>I64*24</f>
        <v>4800</v>
      </c>
      <c r="V64" s="9" t="s">
        <v>99</v>
      </c>
      <c r="W64" s="9" t="s">
        <v>54</v>
      </c>
      <c r="X64" s="152"/>
      <c r="Y64" s="164"/>
      <c r="Z64" s="164"/>
      <c r="AA64" s="165"/>
      <c r="AB64" s="164"/>
      <c r="AC64" s="166"/>
      <c r="AD64" s="1"/>
    </row>
    <row r="65" spans="1:30">
      <c r="A65" s="11"/>
      <c r="B65" s="9"/>
      <c r="C65" s="11"/>
      <c r="D65" s="11"/>
      <c r="E65" s="11"/>
      <c r="F65" s="38"/>
      <c r="G65" s="23"/>
      <c r="H65" s="43"/>
      <c r="I65" s="23"/>
      <c r="J65" s="23"/>
      <c r="K65" s="106"/>
      <c r="L65" s="14"/>
      <c r="M65" s="80" t="s">
        <v>39</v>
      </c>
      <c r="N65" s="86">
        <f>I64/3/2</f>
        <v>33.333333333333336</v>
      </c>
      <c r="O65" s="9"/>
      <c r="P65" s="78"/>
      <c r="Q65" s="134"/>
      <c r="R65" s="9"/>
      <c r="S65" s="9"/>
      <c r="T65" s="9"/>
      <c r="U65" s="9"/>
      <c r="V65" s="9"/>
      <c r="W65" s="9"/>
      <c r="X65" s="152"/>
      <c r="Y65" s="166"/>
      <c r="Z65" s="164"/>
      <c r="AA65" s="165"/>
      <c r="AB65" s="166"/>
      <c r="AC65" s="166"/>
      <c r="AD65" s="1"/>
    </row>
    <row r="66" spans="1:30">
      <c r="A66" s="21">
        <v>45468</v>
      </c>
      <c r="B66" s="9">
        <v>46</v>
      </c>
      <c r="C66" s="21" t="s">
        <v>25</v>
      </c>
      <c r="D66" s="36" t="s">
        <v>213</v>
      </c>
      <c r="E66" s="37" t="s">
        <v>97</v>
      </c>
      <c r="F66" s="12" t="s">
        <v>98</v>
      </c>
      <c r="G66" s="23">
        <v>5000</v>
      </c>
      <c r="H66" s="42" t="s">
        <v>57</v>
      </c>
      <c r="I66" s="96">
        <v>200</v>
      </c>
      <c r="J66" s="83" t="str">
        <f>J64</f>
        <v>BOLETO PJ JS</v>
      </c>
      <c r="K66" s="105" t="str">
        <f>M66</f>
        <v>JS</v>
      </c>
      <c r="L66" s="33">
        <f>I66*10/100</f>
        <v>20</v>
      </c>
      <c r="M66" s="76" t="s">
        <v>94</v>
      </c>
      <c r="N66" s="76">
        <f>I66/3/2</f>
        <v>33.333333333333336</v>
      </c>
      <c r="O66" s="77">
        <f>I66/3-L66</f>
        <v>46.666666666666671</v>
      </c>
      <c r="P66" s="78">
        <v>3</v>
      </c>
      <c r="Q66" s="134">
        <f>O66/3</f>
        <v>15.555555555555557</v>
      </c>
      <c r="R66" s="148">
        <f>I66/3</f>
        <v>66.666666666666671</v>
      </c>
      <c r="S66" s="93">
        <f>L66+N66+N67+O66+R66</f>
        <v>200</v>
      </c>
      <c r="T66" s="163">
        <f>I66-S66</f>
        <v>0</v>
      </c>
      <c r="U66" s="109">
        <f>I66*24</f>
        <v>4800</v>
      </c>
      <c r="V66" s="9" t="s">
        <v>99</v>
      </c>
      <c r="W66" s="9" t="s">
        <v>54</v>
      </c>
      <c r="X66" s="152"/>
      <c r="Y66" s="164"/>
      <c r="Z66" s="164"/>
      <c r="AA66" s="165"/>
      <c r="AB66" s="164"/>
      <c r="AC66" s="166"/>
      <c r="AD66" s="1"/>
    </row>
    <row r="67" spans="1:30">
      <c r="A67" s="11"/>
      <c r="B67" s="9"/>
      <c r="C67" s="11"/>
      <c r="D67" s="11"/>
      <c r="E67" s="11"/>
      <c r="F67" s="38"/>
      <c r="G67" s="23"/>
      <c r="H67" s="43"/>
      <c r="I67" s="23"/>
      <c r="J67" s="23"/>
      <c r="K67" s="106"/>
      <c r="L67" s="14"/>
      <c r="M67" s="80" t="s">
        <v>39</v>
      </c>
      <c r="N67" s="86">
        <f>I66/3/2</f>
        <v>33.333333333333336</v>
      </c>
      <c r="O67" s="9"/>
      <c r="P67" s="78"/>
      <c r="Q67" s="134"/>
      <c r="R67" s="9"/>
      <c r="S67" s="9"/>
      <c r="T67" s="9"/>
      <c r="U67" s="9"/>
      <c r="V67" s="9"/>
      <c r="W67" s="9"/>
      <c r="X67" s="152"/>
      <c r="Y67" s="166"/>
      <c r="Z67" s="164"/>
      <c r="AA67" s="165"/>
      <c r="AB67" s="166"/>
      <c r="AC67" s="166"/>
      <c r="AD67" s="1"/>
    </row>
    <row r="68" spans="1:30">
      <c r="A68" s="21">
        <v>45468</v>
      </c>
      <c r="B68" s="9">
        <v>47</v>
      </c>
      <c r="C68" s="21" t="s">
        <v>25</v>
      </c>
      <c r="D68" s="12" t="s">
        <v>214</v>
      </c>
      <c r="E68" s="37" t="s">
        <v>97</v>
      </c>
      <c r="F68" s="12" t="s">
        <v>98</v>
      </c>
      <c r="G68" s="23">
        <v>5000</v>
      </c>
      <c r="H68" s="42" t="s">
        <v>57</v>
      </c>
      <c r="I68" s="96">
        <v>200</v>
      </c>
      <c r="J68" s="83" t="str">
        <f>J66</f>
        <v>BOLETO PJ JS</v>
      </c>
      <c r="K68" s="105" t="str">
        <f>M68</f>
        <v>JS</v>
      </c>
      <c r="L68" s="33">
        <f>I68*10/100</f>
        <v>20</v>
      </c>
      <c r="M68" s="76" t="s">
        <v>94</v>
      </c>
      <c r="N68" s="76">
        <f>I68/3/2</f>
        <v>33.333333333333336</v>
      </c>
      <c r="O68" s="77">
        <f>I68/3-L68</f>
        <v>46.666666666666671</v>
      </c>
      <c r="P68" s="78">
        <v>3</v>
      </c>
      <c r="Q68" s="134">
        <f>O68/3</f>
        <v>15.555555555555557</v>
      </c>
      <c r="R68" s="148">
        <f>I68/3</f>
        <v>66.666666666666671</v>
      </c>
      <c r="S68" s="93">
        <f>L68+N68+N69+O68+R68</f>
        <v>200</v>
      </c>
      <c r="T68" s="163">
        <f>I68-S68</f>
        <v>0</v>
      </c>
      <c r="U68" s="109">
        <f>I68*24</f>
        <v>4800</v>
      </c>
      <c r="V68" s="9" t="s">
        <v>126</v>
      </c>
      <c r="W68" s="9" t="s">
        <v>54</v>
      </c>
      <c r="X68" s="152"/>
      <c r="Y68" s="164"/>
      <c r="Z68" s="164"/>
      <c r="AA68" s="165"/>
      <c r="AB68" s="164"/>
      <c r="AC68" s="166"/>
      <c r="AD68" s="1"/>
    </row>
    <row r="69" spans="1:30">
      <c r="A69" s="11"/>
      <c r="B69" s="9"/>
      <c r="C69" s="11"/>
      <c r="D69" s="11"/>
      <c r="E69" s="11"/>
      <c r="F69" s="38"/>
      <c r="G69" s="23"/>
      <c r="H69" s="43"/>
      <c r="I69" s="23"/>
      <c r="J69" s="23"/>
      <c r="K69" s="106"/>
      <c r="L69" s="14"/>
      <c r="M69" s="80" t="s">
        <v>39</v>
      </c>
      <c r="N69" s="86">
        <f>I68/3/2</f>
        <v>33.333333333333336</v>
      </c>
      <c r="O69" s="9"/>
      <c r="P69" s="78"/>
      <c r="Q69" s="134"/>
      <c r="R69" s="9"/>
      <c r="S69" s="9"/>
      <c r="T69" s="9"/>
      <c r="U69" s="9"/>
      <c r="V69" s="9"/>
      <c r="W69" s="9"/>
      <c r="X69" s="152"/>
      <c r="Y69" s="166"/>
      <c r="Z69" s="164"/>
      <c r="AA69" s="165"/>
      <c r="AB69" s="166"/>
      <c r="AC69" s="166"/>
      <c r="AD69" s="1"/>
    </row>
    <row r="70" spans="1:30">
      <c r="A70" s="21">
        <v>45468</v>
      </c>
      <c r="B70" s="9">
        <v>48</v>
      </c>
      <c r="C70" s="10" t="s">
        <v>25</v>
      </c>
      <c r="D70" s="36" t="s">
        <v>125</v>
      </c>
      <c r="E70" s="37" t="s">
        <v>97</v>
      </c>
      <c r="F70" s="12" t="s">
        <v>98</v>
      </c>
      <c r="G70" s="23">
        <v>5000</v>
      </c>
      <c r="H70" s="42" t="s">
        <v>57</v>
      </c>
      <c r="I70" s="96">
        <v>200</v>
      </c>
      <c r="J70" s="83" t="str">
        <f>J53</f>
        <v>BOLETO PJ JS</v>
      </c>
      <c r="K70" s="105" t="str">
        <f>M70</f>
        <v>JS</v>
      </c>
      <c r="L70" s="33">
        <f>I70*10/100</f>
        <v>20</v>
      </c>
      <c r="M70" s="76" t="s">
        <v>94</v>
      </c>
      <c r="N70" s="76">
        <f>I70/3/2</f>
        <v>33.333333333333336</v>
      </c>
      <c r="O70" s="77">
        <f>I70/3-L70</f>
        <v>46.666666666666671</v>
      </c>
      <c r="P70" s="78">
        <v>3</v>
      </c>
      <c r="Q70" s="134">
        <f>O70/3</f>
        <v>15.555555555555557</v>
      </c>
      <c r="R70" s="148">
        <f>I70/3</f>
        <v>66.666666666666671</v>
      </c>
      <c r="S70" s="93">
        <f>L70+N70+N71+O70+R70</f>
        <v>200</v>
      </c>
      <c r="T70" s="265">
        <f>I70-S70</f>
        <v>0</v>
      </c>
      <c r="U70" s="109">
        <f>I70*24</f>
        <v>4800</v>
      </c>
      <c r="V70" s="9" t="s">
        <v>99</v>
      </c>
      <c r="W70" s="9" t="s">
        <v>54</v>
      </c>
      <c r="X70" s="152"/>
      <c r="Y70" s="164"/>
      <c r="Z70" s="164"/>
      <c r="AA70" s="165"/>
      <c r="AB70" s="164"/>
      <c r="AC70" s="166"/>
      <c r="AD70" s="1"/>
    </row>
    <row r="71" spans="1:30">
      <c r="A71" s="11"/>
      <c r="B71" s="9"/>
      <c r="C71" s="9"/>
      <c r="D71" s="11"/>
      <c r="E71" s="11"/>
      <c r="F71" s="38"/>
      <c r="G71" s="11"/>
      <c r="H71" s="43"/>
      <c r="I71" s="9"/>
      <c r="J71" s="23"/>
      <c r="K71" s="106"/>
      <c r="L71" s="14"/>
      <c r="M71" s="80" t="s">
        <v>39</v>
      </c>
      <c r="N71" s="86">
        <f>I70/3/2</f>
        <v>33.333333333333336</v>
      </c>
      <c r="O71" s="9"/>
      <c r="P71" s="78"/>
      <c r="Q71" s="134"/>
      <c r="R71" s="9"/>
      <c r="S71" s="9"/>
      <c r="T71" s="9"/>
      <c r="U71" s="9"/>
      <c r="V71" s="11"/>
      <c r="W71" s="9"/>
      <c r="X71" s="152"/>
      <c r="Y71" s="166"/>
      <c r="Z71" s="164"/>
      <c r="AA71" s="165"/>
      <c r="AB71" s="166"/>
      <c r="AC71" s="166"/>
      <c r="AD71" s="1"/>
    </row>
    <row r="72" spans="1:30">
      <c r="A72" s="21">
        <v>45469</v>
      </c>
      <c r="B72" s="9">
        <v>49</v>
      </c>
      <c r="C72" s="10" t="s">
        <v>25</v>
      </c>
      <c r="D72" s="11" t="s">
        <v>215</v>
      </c>
      <c r="E72" s="26" t="s">
        <v>35</v>
      </c>
      <c r="F72" s="12" t="s">
        <v>56</v>
      </c>
      <c r="G72" s="23">
        <v>5000</v>
      </c>
      <c r="H72" s="9" t="s">
        <v>57</v>
      </c>
      <c r="I72" s="33">
        <v>800</v>
      </c>
      <c r="J72" s="83" t="s">
        <v>38</v>
      </c>
      <c r="K72" s="33" t="s">
        <v>94</v>
      </c>
      <c r="L72" s="33">
        <f t="shared" ref="L72:L76" si="10">I72*10/100</f>
        <v>80</v>
      </c>
      <c r="M72" s="76" t="s">
        <v>94</v>
      </c>
      <c r="N72" s="76">
        <f>I72/3/2</f>
        <v>133.33333333333334</v>
      </c>
      <c r="O72" s="77">
        <f>I72/3-L72</f>
        <v>186.66666666666669</v>
      </c>
      <c r="P72" s="78">
        <v>3</v>
      </c>
      <c r="Q72" s="134">
        <f t="shared" ref="Q72:Q77" si="11">O72/3</f>
        <v>62.222222222222229</v>
      </c>
      <c r="R72" s="148">
        <f>I72/3</f>
        <v>266.66666666666669</v>
      </c>
      <c r="S72" s="83">
        <f>L72+N72+N73+O72+R72</f>
        <v>800</v>
      </c>
      <c r="T72" s="265">
        <f>I72-S72</f>
        <v>0</v>
      </c>
      <c r="U72" s="109">
        <f>200*16</f>
        <v>3200</v>
      </c>
      <c r="V72" s="9" t="s">
        <v>216</v>
      </c>
      <c r="W72" s="54" t="s">
        <v>217</v>
      </c>
      <c r="X72" s="54"/>
      <c r="Y72" s="164"/>
      <c r="Z72" s="164"/>
      <c r="AA72" s="165"/>
      <c r="AB72" s="164"/>
      <c r="AC72" s="167"/>
    </row>
    <row r="73" spans="1:30">
      <c r="A73" s="9"/>
      <c r="B73" s="9"/>
      <c r="C73" s="54"/>
      <c r="D73" s="53"/>
      <c r="E73" s="54"/>
      <c r="F73" s="169"/>
      <c r="G73" s="54"/>
      <c r="H73" s="54"/>
      <c r="I73" s="54"/>
      <c r="J73" s="53"/>
      <c r="K73" s="54"/>
      <c r="L73" s="179"/>
      <c r="M73" s="86" t="s">
        <v>40</v>
      </c>
      <c r="N73" s="86">
        <f>I72/3/2</f>
        <v>133.33333333333334</v>
      </c>
      <c r="O73" s="23"/>
      <c r="P73" s="78"/>
      <c r="Q73" s="134"/>
      <c r="R73" s="23"/>
      <c r="S73" s="23"/>
      <c r="T73" s="23"/>
      <c r="U73" s="9"/>
      <c r="V73" s="54"/>
      <c r="W73" s="54"/>
      <c r="X73" s="53"/>
      <c r="Y73" s="164"/>
      <c r="Z73" s="164"/>
      <c r="AA73" s="165"/>
      <c r="AB73" s="164"/>
      <c r="AC73" s="167"/>
    </row>
    <row r="74" spans="1:30">
      <c r="A74" s="21">
        <v>45470</v>
      </c>
      <c r="B74" s="9">
        <v>50</v>
      </c>
      <c r="C74" s="21" t="s">
        <v>25</v>
      </c>
      <c r="D74" s="11" t="s">
        <v>218</v>
      </c>
      <c r="E74" s="72" t="s">
        <v>61</v>
      </c>
      <c r="F74" s="32" t="s">
        <v>219</v>
      </c>
      <c r="G74" s="23">
        <v>4200</v>
      </c>
      <c r="H74" s="42" t="s">
        <v>192</v>
      </c>
      <c r="I74" s="72">
        <v>300</v>
      </c>
      <c r="J74" s="83" t="str">
        <f>J72</f>
        <v>PIX JS PJ</v>
      </c>
      <c r="K74" s="180" t="s">
        <v>39</v>
      </c>
      <c r="L74" s="80">
        <f t="shared" si="10"/>
        <v>30</v>
      </c>
      <c r="M74" s="181" t="s">
        <v>39</v>
      </c>
      <c r="N74" s="81">
        <f>I74/3</f>
        <v>100</v>
      </c>
      <c r="O74" s="77">
        <f>I74/3-L74</f>
        <v>70</v>
      </c>
      <c r="P74" s="78">
        <v>3</v>
      </c>
      <c r="Q74" s="134">
        <f t="shared" si="11"/>
        <v>23.333333333333332</v>
      </c>
      <c r="R74" s="148">
        <f t="shared" ref="R74:R76" si="12">N74</f>
        <v>100</v>
      </c>
      <c r="S74" s="83">
        <f>L74+N74+O74+R74</f>
        <v>300</v>
      </c>
      <c r="T74" s="163">
        <f>I74-S74</f>
        <v>0</v>
      </c>
      <c r="U74" s="109">
        <f>I74*11</f>
        <v>3300</v>
      </c>
      <c r="V74" s="9" t="s">
        <v>220</v>
      </c>
      <c r="W74" s="9" t="s">
        <v>221</v>
      </c>
      <c r="X74" s="53"/>
    </row>
    <row r="75" spans="1:30">
      <c r="A75" s="21">
        <v>45470</v>
      </c>
      <c r="B75" s="9">
        <v>51</v>
      </c>
      <c r="C75" s="21" t="s">
        <v>25</v>
      </c>
      <c r="D75" s="11" t="s">
        <v>222</v>
      </c>
      <c r="E75" s="26" t="s">
        <v>35</v>
      </c>
      <c r="F75" s="11" t="s">
        <v>223</v>
      </c>
      <c r="G75" s="23">
        <v>1500</v>
      </c>
      <c r="H75" s="42" t="s">
        <v>311</v>
      </c>
      <c r="I75" s="33">
        <v>250</v>
      </c>
      <c r="J75" s="73" t="str">
        <f>J74</f>
        <v>PIX JS PJ</v>
      </c>
      <c r="K75" s="118" t="s">
        <v>31</v>
      </c>
      <c r="L75" s="94">
        <f t="shared" si="10"/>
        <v>25</v>
      </c>
      <c r="M75" s="94" t="s">
        <v>31</v>
      </c>
      <c r="N75" s="94">
        <f>I75/3</f>
        <v>83.333333333333329</v>
      </c>
      <c r="O75" s="77">
        <f>(I75/3)-L75</f>
        <v>58.333333333333329</v>
      </c>
      <c r="P75" s="78">
        <v>3</v>
      </c>
      <c r="Q75" s="134">
        <f t="shared" si="11"/>
        <v>19.444444444444443</v>
      </c>
      <c r="R75" s="135">
        <f t="shared" si="12"/>
        <v>83.333333333333329</v>
      </c>
      <c r="S75" s="93">
        <f>L75+N75+O75+R75</f>
        <v>250</v>
      </c>
      <c r="T75" s="162">
        <v>0</v>
      </c>
      <c r="U75" s="137">
        <f>I75*4</f>
        <v>1000</v>
      </c>
      <c r="V75" s="29" t="s">
        <v>224</v>
      </c>
      <c r="W75" s="9">
        <f>U51</f>
        <v>0</v>
      </c>
      <c r="X75" s="152"/>
    </row>
    <row r="76" spans="1:30">
      <c r="A76" s="21">
        <v>45470</v>
      </c>
      <c r="B76" s="9">
        <v>52</v>
      </c>
      <c r="C76" s="21" t="s">
        <v>25</v>
      </c>
      <c r="D76" s="53" t="s">
        <v>225</v>
      </c>
      <c r="E76" s="170" t="s">
        <v>226</v>
      </c>
      <c r="F76" s="11" t="s">
        <v>227</v>
      </c>
      <c r="G76" s="23">
        <v>900</v>
      </c>
      <c r="H76" s="42" t="s">
        <v>73</v>
      </c>
      <c r="I76" s="182">
        <v>900</v>
      </c>
      <c r="J76" s="73" t="s">
        <v>228</v>
      </c>
      <c r="K76" s="183" t="s">
        <v>30</v>
      </c>
      <c r="L76" s="75">
        <f t="shared" si="10"/>
        <v>90</v>
      </c>
      <c r="M76" s="80" t="s">
        <v>39</v>
      </c>
      <c r="N76" s="86">
        <f>I76/3</f>
        <v>300</v>
      </c>
      <c r="O76" s="77">
        <f>I76/3-L76</f>
        <v>210</v>
      </c>
      <c r="P76" s="78">
        <v>3</v>
      </c>
      <c r="Q76" s="134">
        <f t="shared" si="11"/>
        <v>70</v>
      </c>
      <c r="R76" s="135">
        <f t="shared" si="12"/>
        <v>300</v>
      </c>
      <c r="S76" s="83">
        <f>L76+N76+O76+R76</f>
        <v>900</v>
      </c>
      <c r="T76" s="162">
        <v>0</v>
      </c>
      <c r="U76" s="9"/>
      <c r="V76" s="54"/>
      <c r="W76" s="54"/>
      <c r="X76" s="53"/>
    </row>
    <row r="77" spans="1:30">
      <c r="A77" s="21">
        <v>45471</v>
      </c>
      <c r="B77" s="9">
        <v>53</v>
      </c>
      <c r="C77" s="10" t="s">
        <v>25</v>
      </c>
      <c r="D77" s="36" t="s">
        <v>229</v>
      </c>
      <c r="E77" s="37" t="s">
        <v>97</v>
      </c>
      <c r="F77" s="12" t="s">
        <v>181</v>
      </c>
      <c r="G77" s="23">
        <v>5000</v>
      </c>
      <c r="H77" s="42" t="s">
        <v>57</v>
      </c>
      <c r="I77" s="96">
        <v>200</v>
      </c>
      <c r="J77" s="83" t="str">
        <f>J62</f>
        <v>BOLETO PJ JS</v>
      </c>
      <c r="K77" s="105" t="str">
        <f>M77</f>
        <v>JS</v>
      </c>
      <c r="L77" s="33">
        <f>I77*10/100</f>
        <v>20</v>
      </c>
      <c r="M77" s="76" t="s">
        <v>94</v>
      </c>
      <c r="N77" s="76">
        <f>I77/3/2</f>
        <v>33.333333333333336</v>
      </c>
      <c r="O77" s="77">
        <f>I77/3-L77</f>
        <v>46.666666666666671</v>
      </c>
      <c r="P77" s="78">
        <v>3</v>
      </c>
      <c r="Q77" s="134">
        <f t="shared" si="11"/>
        <v>15.555555555555557</v>
      </c>
      <c r="R77" s="148">
        <f>I77/3</f>
        <v>66.666666666666671</v>
      </c>
      <c r="S77" s="93">
        <f>L77+N77+N78+O77+R77</f>
        <v>200</v>
      </c>
      <c r="T77" s="265">
        <f>I77-S77</f>
        <v>0</v>
      </c>
      <c r="U77" s="109">
        <f>I77*24</f>
        <v>4800</v>
      </c>
      <c r="V77" s="9" t="s">
        <v>99</v>
      </c>
      <c r="W77" s="9" t="s">
        <v>54</v>
      </c>
      <c r="X77" s="152"/>
      <c r="Y77" s="164"/>
      <c r="Z77" s="164"/>
      <c r="AA77" s="165"/>
      <c r="AB77" s="164"/>
      <c r="AC77" s="166"/>
      <c r="AD77" s="1"/>
    </row>
    <row r="78" spans="1:30">
      <c r="A78" s="11"/>
      <c r="B78" s="9"/>
      <c r="C78" s="9"/>
      <c r="D78" s="11"/>
      <c r="E78" s="11"/>
      <c r="F78" s="38"/>
      <c r="G78" s="11"/>
      <c r="H78" s="43"/>
      <c r="I78" s="9"/>
      <c r="J78" s="23"/>
      <c r="K78" s="106"/>
      <c r="L78" s="14"/>
      <c r="M78" s="80" t="s">
        <v>39</v>
      </c>
      <c r="N78" s="86">
        <f>I77/3/2</f>
        <v>33.333333333333336</v>
      </c>
      <c r="O78" s="9"/>
      <c r="P78" s="78"/>
      <c r="Q78" s="134"/>
      <c r="R78" s="9"/>
      <c r="S78" s="9"/>
      <c r="T78" s="9"/>
      <c r="U78" s="9"/>
      <c r="V78" s="11"/>
      <c r="W78" s="9"/>
      <c r="X78" s="152"/>
      <c r="Y78" s="166"/>
      <c r="Z78" s="164"/>
      <c r="AA78" s="165"/>
      <c r="AB78" s="166"/>
      <c r="AC78" s="166"/>
      <c r="AD78" s="1"/>
    </row>
    <row r="79" spans="1:30">
      <c r="A79" s="21">
        <v>45471</v>
      </c>
      <c r="B79" s="49">
        <v>54</v>
      </c>
      <c r="C79" s="21" t="s">
        <v>25</v>
      </c>
      <c r="D79" s="171" t="s">
        <v>230</v>
      </c>
      <c r="E79" s="39" t="s">
        <v>27</v>
      </c>
      <c r="F79" s="45" t="s">
        <v>231</v>
      </c>
      <c r="G79" s="48">
        <v>6500</v>
      </c>
      <c r="H79" s="49" t="s">
        <v>232</v>
      </c>
      <c r="I79" s="22">
        <v>500</v>
      </c>
      <c r="J79" s="93" t="s">
        <v>233</v>
      </c>
      <c r="K79" s="80" t="s">
        <v>39</v>
      </c>
      <c r="L79" s="80">
        <f>I79*10/100</f>
        <v>50</v>
      </c>
      <c r="M79" s="86" t="s">
        <v>39</v>
      </c>
      <c r="N79" s="86">
        <f>I79/3</f>
        <v>166.66666666666666</v>
      </c>
      <c r="O79" s="77">
        <f>I79/3-L79</f>
        <v>116.66666666666666</v>
      </c>
      <c r="P79" s="78">
        <v>3</v>
      </c>
      <c r="Q79" s="134">
        <f>O79/3</f>
        <v>38.888888888888886</v>
      </c>
      <c r="R79" s="146">
        <f>I79/3</f>
        <v>166.66666666666666</v>
      </c>
      <c r="S79" s="93">
        <f>L79+N79+O79+R79</f>
        <v>500</v>
      </c>
      <c r="T79" s="266">
        <f>I79-S79</f>
        <v>0</v>
      </c>
      <c r="U79" s="156">
        <f>I79*5</f>
        <v>2500</v>
      </c>
      <c r="V79" s="49" t="s">
        <v>234</v>
      </c>
      <c r="W79" s="267" t="s">
        <v>235</v>
      </c>
      <c r="X79" s="49" t="s">
        <v>236</v>
      </c>
    </row>
    <row r="80" spans="1:30">
      <c r="A80" s="21">
        <v>45471</v>
      </c>
      <c r="B80" s="9">
        <v>55</v>
      </c>
      <c r="C80" s="21" t="s">
        <v>25</v>
      </c>
      <c r="D80" s="55" t="s">
        <v>237</v>
      </c>
      <c r="E80" s="56" t="s">
        <v>121</v>
      </c>
      <c r="F80" s="12" t="s">
        <v>238</v>
      </c>
      <c r="G80" s="34">
        <f>8000*30/100</f>
        <v>2400</v>
      </c>
      <c r="H80" s="172" t="s">
        <v>239</v>
      </c>
      <c r="I80" s="119">
        <v>306</v>
      </c>
      <c r="J80" s="83" t="s">
        <v>38</v>
      </c>
      <c r="K80" s="80" t="s">
        <v>39</v>
      </c>
      <c r="L80" s="80">
        <f>I80*10/100</f>
        <v>30.6</v>
      </c>
      <c r="M80" s="184" t="s">
        <v>74</v>
      </c>
      <c r="N80" s="184">
        <f>I80/3</f>
        <v>102</v>
      </c>
      <c r="O80" s="77">
        <f>I80/3-L80</f>
        <v>71.400000000000006</v>
      </c>
      <c r="P80" s="117">
        <v>4</v>
      </c>
      <c r="Q80" s="120">
        <f>O80/4</f>
        <v>17.850000000000001</v>
      </c>
      <c r="R80" s="142">
        <f>I80/3</f>
        <v>102</v>
      </c>
      <c r="S80" s="93">
        <f>L80+N80+O80+R80</f>
        <v>306</v>
      </c>
      <c r="T80" s="143">
        <f>I80-S80</f>
        <v>0</v>
      </c>
      <c r="U80" s="144">
        <v>600</v>
      </c>
      <c r="V80" s="145" t="s">
        <v>240</v>
      </c>
      <c r="W80" s="9" t="s">
        <v>241</v>
      </c>
      <c r="X80" s="9" t="s">
        <v>242</v>
      </c>
      <c r="Y80" s="164"/>
      <c r="Z80" s="164"/>
      <c r="AA80" s="165"/>
      <c r="AB80" s="164"/>
      <c r="AC80" s="167"/>
    </row>
    <row r="81" spans="1:30">
      <c r="A81" s="21">
        <v>45471</v>
      </c>
      <c r="B81" s="9">
        <v>56</v>
      </c>
      <c r="C81" s="46" t="s">
        <v>25</v>
      </c>
      <c r="D81" s="11" t="s">
        <v>243</v>
      </c>
      <c r="E81" s="47" t="s">
        <v>138</v>
      </c>
      <c r="F81" s="12" t="s">
        <v>244</v>
      </c>
      <c r="G81" s="23">
        <v>2100</v>
      </c>
      <c r="H81" s="24" t="s">
        <v>245</v>
      </c>
      <c r="I81" s="109">
        <v>2100</v>
      </c>
      <c r="J81" s="83" t="str">
        <f>J80</f>
        <v>PIX JS PJ</v>
      </c>
      <c r="K81" s="80" t="s">
        <v>39</v>
      </c>
      <c r="L81" s="80">
        <f>I81*10/100</f>
        <v>210</v>
      </c>
      <c r="M81" s="184" t="s">
        <v>74</v>
      </c>
      <c r="N81" s="184">
        <f>I81/3</f>
        <v>700</v>
      </c>
      <c r="O81" s="77">
        <f>N81-L81</f>
        <v>490</v>
      </c>
      <c r="P81" s="117">
        <v>4</v>
      </c>
      <c r="Q81" s="120">
        <f>O81/P81</f>
        <v>122.5</v>
      </c>
      <c r="R81" s="148">
        <f>I81/3</f>
        <v>700</v>
      </c>
      <c r="S81" s="93">
        <f>L81+N81+O81+R81</f>
        <v>2100</v>
      </c>
      <c r="T81" s="147">
        <f>I81-S81</f>
        <v>0</v>
      </c>
      <c r="U81" s="149">
        <f>G81-I81</f>
        <v>0</v>
      </c>
      <c r="V81" s="9" t="s">
        <v>142</v>
      </c>
      <c r="W81" s="9" t="s">
        <v>143</v>
      </c>
      <c r="X81" s="9"/>
    </row>
    <row r="82" spans="1:30">
      <c r="A82" s="21">
        <v>45474</v>
      </c>
      <c r="B82" s="24">
        <v>57</v>
      </c>
      <c r="C82" s="21" t="s">
        <v>25</v>
      </c>
      <c r="D82" s="25" t="s">
        <v>246</v>
      </c>
      <c r="E82" s="40" t="str">
        <f>E39</f>
        <v>EMPRESARIAL</v>
      </c>
      <c r="F82" s="25" t="s">
        <v>207</v>
      </c>
      <c r="G82" s="28">
        <v>22800</v>
      </c>
      <c r="H82" s="173" t="s">
        <v>247</v>
      </c>
      <c r="I82" s="185">
        <v>1900</v>
      </c>
      <c r="J82" s="79" t="str">
        <f>J80</f>
        <v>PIX JS PJ</v>
      </c>
      <c r="K82" s="186" t="s">
        <v>31</v>
      </c>
      <c r="L82" s="187">
        <f t="shared" ref="L82:L87" si="13">I82*10/100</f>
        <v>190</v>
      </c>
      <c r="M82" s="188" t="s">
        <v>115</v>
      </c>
      <c r="N82" s="188">
        <f>I82/3</f>
        <v>633.33333333333337</v>
      </c>
      <c r="O82" s="77">
        <f>N82-L82</f>
        <v>443.33333333333337</v>
      </c>
      <c r="P82" s="89">
        <v>4</v>
      </c>
      <c r="Q82" s="88">
        <f>O82/4</f>
        <v>110.83333333333334</v>
      </c>
      <c r="R82" s="139">
        <f>I82/3</f>
        <v>633.33333333333337</v>
      </c>
      <c r="S82" s="93">
        <f>L82+N82+O82+R82</f>
        <v>1900</v>
      </c>
      <c r="T82" s="268">
        <f>I82-S82</f>
        <v>0</v>
      </c>
      <c r="U82" s="141">
        <f>1900*3</f>
        <v>5700</v>
      </c>
      <c r="V82" s="28" t="s">
        <v>248</v>
      </c>
      <c r="W82" s="28" t="s">
        <v>249</v>
      </c>
      <c r="X82" s="9" t="s">
        <v>250</v>
      </c>
      <c r="Y82" s="164"/>
      <c r="Z82" s="164"/>
      <c r="AA82" s="165"/>
      <c r="AB82" s="164"/>
      <c r="AC82" s="166"/>
      <c r="AD82" s="1"/>
    </row>
    <row r="83" spans="1:30">
      <c r="A83" s="21">
        <v>45474</v>
      </c>
      <c r="B83" s="9">
        <v>58</v>
      </c>
      <c r="C83" s="21" t="s">
        <v>25</v>
      </c>
      <c r="D83" s="11" t="s">
        <v>182</v>
      </c>
      <c r="E83" s="40" t="s">
        <v>251</v>
      </c>
      <c r="F83" s="11" t="s">
        <v>252</v>
      </c>
      <c r="G83" s="23">
        <v>3500</v>
      </c>
      <c r="H83" s="9" t="s">
        <v>253</v>
      </c>
      <c r="I83" s="189">
        <v>700</v>
      </c>
      <c r="J83" s="73" t="str">
        <f>J80</f>
        <v>PIX JS PJ</v>
      </c>
      <c r="K83" s="188" t="s">
        <v>115</v>
      </c>
      <c r="L83" s="188">
        <f t="shared" si="13"/>
        <v>70</v>
      </c>
      <c r="M83" s="188" t="s">
        <v>115</v>
      </c>
      <c r="N83" s="188">
        <f>I83/3</f>
        <v>233.33333333333334</v>
      </c>
      <c r="O83" s="77">
        <f t="shared" ref="O83:O87" si="14">I83/3-L83</f>
        <v>163.33333333333334</v>
      </c>
      <c r="P83" s="89">
        <v>4</v>
      </c>
      <c r="Q83" s="88">
        <f>O83/4</f>
        <v>40.833333333333336</v>
      </c>
      <c r="R83" s="135">
        <f>N83</f>
        <v>233.33333333333334</v>
      </c>
      <c r="S83" s="93">
        <f>L83+N83+O83+R83</f>
        <v>700.00000000000011</v>
      </c>
      <c r="T83" s="162">
        <f>I83-S83</f>
        <v>0</v>
      </c>
      <c r="U83" s="137">
        <f>I83*3</f>
        <v>2100</v>
      </c>
      <c r="V83" s="29" t="s">
        <v>254</v>
      </c>
      <c r="W83" s="9" t="s">
        <v>255</v>
      </c>
      <c r="X83" s="11"/>
    </row>
    <row r="84" spans="1:30">
      <c r="A84" s="21">
        <v>45474</v>
      </c>
      <c r="B84" s="9">
        <v>59</v>
      </c>
      <c r="C84" s="21" t="s">
        <v>25</v>
      </c>
      <c r="D84" s="11" t="s">
        <v>256</v>
      </c>
      <c r="E84" s="22" t="s">
        <v>27</v>
      </c>
      <c r="F84" s="11" t="s">
        <v>28</v>
      </c>
      <c r="G84" s="23">
        <v>2100</v>
      </c>
      <c r="H84" s="42" t="str">
        <f>[1]RECEITAS!$H$64</f>
        <v>ENTRADA R$350,00 + 6 X R$250,00</v>
      </c>
      <c r="I84" s="72">
        <v>250</v>
      </c>
      <c r="J84" s="73" t="str">
        <f>J72</f>
        <v>PIX JS PJ</v>
      </c>
      <c r="K84" s="183" t="s">
        <v>30</v>
      </c>
      <c r="L84" s="75">
        <f t="shared" si="13"/>
        <v>25</v>
      </c>
      <c r="M84" s="94" t="s">
        <v>31</v>
      </c>
      <c r="N84" s="94">
        <f>I84/3/2</f>
        <v>41.666666666666664</v>
      </c>
      <c r="O84" s="77">
        <f t="shared" si="14"/>
        <v>58.333333333333329</v>
      </c>
      <c r="P84" s="78">
        <v>3</v>
      </c>
      <c r="Q84" s="134">
        <f t="shared" ref="Q84:Q87" si="15">O84/3</f>
        <v>19.444444444444443</v>
      </c>
      <c r="R84" s="135">
        <f>I84/3</f>
        <v>83.333333333333329</v>
      </c>
      <c r="S84" s="93">
        <f>L84+N84+N85+O84+R84</f>
        <v>249.99999999999994</v>
      </c>
      <c r="T84" s="162">
        <v>0</v>
      </c>
      <c r="U84" s="137">
        <f>I84*3</f>
        <v>750</v>
      </c>
      <c r="V84" s="29" t="s">
        <v>257</v>
      </c>
      <c r="W84" s="9"/>
      <c r="X84" s="53"/>
    </row>
    <row r="85" spans="1:30">
      <c r="A85" s="9"/>
      <c r="B85" s="9"/>
      <c r="C85" s="9"/>
      <c r="D85" s="9"/>
      <c r="E85" s="11"/>
      <c r="F85" s="12"/>
      <c r="G85" s="13"/>
      <c r="H85" s="174"/>
      <c r="I85" s="23"/>
      <c r="J85" s="14"/>
      <c r="K85" s="190"/>
      <c r="L85" s="14"/>
      <c r="M85" s="74" t="s">
        <v>30</v>
      </c>
      <c r="N85" s="75">
        <f>N84</f>
        <v>41.666666666666664</v>
      </c>
      <c r="O85" s="14"/>
      <c r="P85" s="53"/>
      <c r="Q85" s="53"/>
      <c r="R85" s="14"/>
      <c r="S85" s="11"/>
      <c r="T85" s="11"/>
      <c r="U85" s="11"/>
      <c r="V85" s="9"/>
      <c r="W85" s="9"/>
      <c r="X85" s="11"/>
    </row>
    <row r="86" spans="1:30">
      <c r="A86" s="21">
        <v>45475</v>
      </c>
      <c r="B86" s="9">
        <v>60</v>
      </c>
      <c r="C86" s="10" t="s">
        <v>25</v>
      </c>
      <c r="D86" s="11" t="s">
        <v>258</v>
      </c>
      <c r="E86" s="22" t="s">
        <v>27</v>
      </c>
      <c r="F86" s="11" t="s">
        <v>28</v>
      </c>
      <c r="G86" s="23">
        <v>7500</v>
      </c>
      <c r="H86" s="9" t="s">
        <v>259</v>
      </c>
      <c r="I86" s="72">
        <v>2500</v>
      </c>
      <c r="J86" s="73" t="s">
        <v>260</v>
      </c>
      <c r="K86" s="94" t="s">
        <v>31</v>
      </c>
      <c r="L86" s="94">
        <f t="shared" si="13"/>
        <v>250</v>
      </c>
      <c r="M86" s="94" t="s">
        <v>31</v>
      </c>
      <c r="N86" s="94">
        <f>I86/3</f>
        <v>833.33333333333337</v>
      </c>
      <c r="O86" s="77">
        <f>(I86/3)-L86</f>
        <v>583.33333333333337</v>
      </c>
      <c r="P86" s="78">
        <v>3</v>
      </c>
      <c r="Q86" s="134">
        <f t="shared" si="15"/>
        <v>194.44444444444446</v>
      </c>
      <c r="R86" s="135">
        <f>N86</f>
        <v>833.33333333333337</v>
      </c>
      <c r="S86" s="93">
        <f>L86+N86+O86+R86</f>
        <v>2500.0000000000005</v>
      </c>
      <c r="T86" s="162">
        <v>0</v>
      </c>
      <c r="U86" s="137">
        <f>G86-I86-I86</f>
        <v>2500</v>
      </c>
      <c r="V86" s="29" t="s">
        <v>261</v>
      </c>
      <c r="W86" s="9" t="s">
        <v>90</v>
      </c>
      <c r="X86" s="53"/>
    </row>
    <row r="87" spans="1:30">
      <c r="A87" s="21">
        <v>45475</v>
      </c>
      <c r="B87" s="9">
        <v>61</v>
      </c>
      <c r="C87" s="21" t="s">
        <v>25</v>
      </c>
      <c r="D87" s="36" t="s">
        <v>262</v>
      </c>
      <c r="E87" s="37" t="s">
        <v>97</v>
      </c>
      <c r="F87" s="12" t="s">
        <v>98</v>
      </c>
      <c r="G87" s="23">
        <v>5000</v>
      </c>
      <c r="H87" s="9" t="s">
        <v>57</v>
      </c>
      <c r="I87" s="96">
        <v>200</v>
      </c>
      <c r="J87" s="83" t="str">
        <f>J89</f>
        <v>BOLETO PJ ITAÚ</v>
      </c>
      <c r="K87" s="33" t="str">
        <f>M87</f>
        <v>JS</v>
      </c>
      <c r="L87" s="33">
        <f t="shared" si="13"/>
        <v>20</v>
      </c>
      <c r="M87" s="76" t="s">
        <v>94</v>
      </c>
      <c r="N87" s="76">
        <f>I87/3/2</f>
        <v>33.333333333333336</v>
      </c>
      <c r="O87" s="77">
        <f t="shared" si="14"/>
        <v>46.666666666666671</v>
      </c>
      <c r="P87" s="78">
        <v>3</v>
      </c>
      <c r="Q87" s="134">
        <f t="shared" si="15"/>
        <v>15.555555555555557</v>
      </c>
      <c r="R87" s="148">
        <f>I87/3</f>
        <v>66.666666666666671</v>
      </c>
      <c r="S87" s="93">
        <f>L87+N87+N88+O87+R87</f>
        <v>200</v>
      </c>
      <c r="T87" s="269">
        <f>I87-S87</f>
        <v>0</v>
      </c>
      <c r="U87" s="109">
        <f>I87*23</f>
        <v>4600</v>
      </c>
      <c r="V87" s="9" t="s">
        <v>126</v>
      </c>
      <c r="W87" s="9" t="s">
        <v>54</v>
      </c>
      <c r="X87" s="11"/>
      <c r="Y87" s="106"/>
      <c r="Z87" s="164"/>
      <c r="AA87" s="165"/>
      <c r="AB87" s="164"/>
      <c r="AC87" s="166"/>
      <c r="AD87" s="1"/>
    </row>
    <row r="88" spans="1:30">
      <c r="A88" s="11"/>
      <c r="B88" s="9"/>
      <c r="C88" s="11"/>
      <c r="D88" s="11"/>
      <c r="E88" s="11"/>
      <c r="F88" s="38"/>
      <c r="G88" s="23"/>
      <c r="H88" s="23"/>
      <c r="I88" s="23"/>
      <c r="J88" s="23"/>
      <c r="K88" s="9"/>
      <c r="L88" s="14"/>
      <c r="M88" s="80" t="s">
        <v>39</v>
      </c>
      <c r="N88" s="86">
        <f>I87/3/2</f>
        <v>33.333333333333336</v>
      </c>
      <c r="O88" s="9"/>
      <c r="P88"/>
      <c r="Q88"/>
      <c r="R88" s="9"/>
      <c r="S88" s="9"/>
      <c r="T88" s="9"/>
      <c r="U88" s="9"/>
      <c r="V88" s="9"/>
      <c r="W88" s="9"/>
      <c r="X88" s="11"/>
      <c r="Y88" s="106"/>
      <c r="Z88" s="164"/>
      <c r="AA88" s="165"/>
      <c r="AB88" s="166"/>
      <c r="AC88" s="166"/>
      <c r="AD88" s="1"/>
    </row>
    <row r="89" spans="1:30">
      <c r="A89" s="21">
        <v>45476</v>
      </c>
      <c r="B89" s="9">
        <v>62</v>
      </c>
      <c r="C89" s="21" t="s">
        <v>25</v>
      </c>
      <c r="D89" s="11" t="s">
        <v>263</v>
      </c>
      <c r="E89" s="22" t="s">
        <v>27</v>
      </c>
      <c r="F89" s="11" t="s">
        <v>28</v>
      </c>
      <c r="G89" s="23">
        <v>2100</v>
      </c>
      <c r="H89" s="42" t="str">
        <f>[1]RECEITAS!$H$64</f>
        <v>ENTRADA R$350,00 + 6 X R$250,00</v>
      </c>
      <c r="I89" s="72">
        <v>250</v>
      </c>
      <c r="J89" s="73" t="str">
        <f>J79</f>
        <v>BOLETO PJ ITAÚ</v>
      </c>
      <c r="K89" s="183" t="s">
        <v>30</v>
      </c>
      <c r="L89" s="75">
        <f>I89*10/100</f>
        <v>25</v>
      </c>
      <c r="M89" s="76" t="s">
        <v>31</v>
      </c>
      <c r="N89" s="76">
        <f>I89/3/2</f>
        <v>41.666666666666664</v>
      </c>
      <c r="O89" s="77">
        <f>I89/3-L89</f>
        <v>58.333333333333329</v>
      </c>
      <c r="P89" s="78">
        <v>3</v>
      </c>
      <c r="Q89" s="134">
        <f>O89/3</f>
        <v>19.444444444444443</v>
      </c>
      <c r="R89" s="135">
        <f>I89/3</f>
        <v>83.333333333333329</v>
      </c>
      <c r="S89" s="93">
        <f>L89+N89+N90+O89+R89</f>
        <v>249.99999999999994</v>
      </c>
      <c r="T89" s="270">
        <v>0</v>
      </c>
      <c r="U89" s="137">
        <f>I89*3</f>
        <v>750</v>
      </c>
      <c r="V89" s="29" t="s">
        <v>257</v>
      </c>
      <c r="W89" s="138"/>
      <c r="X89" s="11"/>
    </row>
    <row r="90" spans="1:30">
      <c r="A90" s="9"/>
      <c r="B90" s="9"/>
      <c r="C90" s="9"/>
      <c r="D90" s="9"/>
      <c r="E90" s="11"/>
      <c r="F90" s="12"/>
      <c r="G90" s="13"/>
      <c r="H90" s="174"/>
      <c r="I90" s="23"/>
      <c r="J90" s="14"/>
      <c r="K90" s="190"/>
      <c r="L90" s="14"/>
      <c r="M90" s="74" t="s">
        <v>30</v>
      </c>
      <c r="N90" s="75">
        <f>N89</f>
        <v>41.666666666666664</v>
      </c>
      <c r="O90" s="14"/>
      <c r="P90" s="191"/>
      <c r="Q90" s="271"/>
      <c r="R90" s="14"/>
      <c r="S90" s="11"/>
      <c r="T90" s="11"/>
      <c r="U90" s="11"/>
      <c r="V90" s="9"/>
      <c r="W90" s="9"/>
      <c r="X90" s="11"/>
    </row>
    <row r="91" spans="1:30">
      <c r="A91" s="307" t="s">
        <v>307</v>
      </c>
      <c r="B91" s="308">
        <v>63</v>
      </c>
      <c r="C91" s="307" t="s">
        <v>25</v>
      </c>
      <c r="D91" s="309" t="s">
        <v>304</v>
      </c>
      <c r="E91" s="310" t="s">
        <v>27</v>
      </c>
      <c r="F91" s="311" t="s">
        <v>305</v>
      </c>
      <c r="G91" s="312">
        <v>9500</v>
      </c>
      <c r="H91" s="313" t="s">
        <v>306</v>
      </c>
      <c r="I91" s="314">
        <v>500</v>
      </c>
      <c r="J91" s="222" t="s">
        <v>308</v>
      </c>
      <c r="K91" s="315" t="s">
        <v>39</v>
      </c>
      <c r="L91" s="316">
        <f t="shared" ref="L91" si="16">I91*10/100</f>
        <v>50</v>
      </c>
      <c r="M91" s="317" t="s">
        <v>39</v>
      </c>
      <c r="N91" s="317">
        <f>I91/3</f>
        <v>166.66666666666666</v>
      </c>
      <c r="O91" s="318">
        <f t="shared" ref="O91" si="17">I91/3-L91</f>
        <v>116.66666666666666</v>
      </c>
      <c r="P91" s="78">
        <v>3</v>
      </c>
      <c r="Q91" s="134">
        <f>O91/3</f>
        <v>38.888888888888886</v>
      </c>
      <c r="R91" s="319">
        <f>I91/3</f>
        <v>166.66666666666666</v>
      </c>
      <c r="S91" s="320">
        <f>L91+N91+O91+R91</f>
        <v>500</v>
      </c>
      <c r="T91" s="321">
        <f>I91-S91</f>
        <v>0</v>
      </c>
      <c r="U91" s="262">
        <f>I91*14</f>
        <v>7000</v>
      </c>
      <c r="V91" s="322" t="s">
        <v>309</v>
      </c>
      <c r="W91" s="323" t="s">
        <v>64</v>
      </c>
      <c r="X91" s="324"/>
      <c r="Y91" s="325"/>
      <c r="Z91" s="322"/>
    </row>
    <row r="92" spans="1:30">
      <c r="A92" s="21">
        <v>45477</v>
      </c>
      <c r="B92" s="9">
        <v>64</v>
      </c>
      <c r="C92" s="21" t="s">
        <v>25</v>
      </c>
      <c r="D92" s="11" t="s">
        <v>264</v>
      </c>
      <c r="E92" s="37" t="s">
        <v>97</v>
      </c>
      <c r="F92" s="12" t="s">
        <v>98</v>
      </c>
      <c r="G92" s="23">
        <v>5000</v>
      </c>
      <c r="H92" s="9" t="s">
        <v>57</v>
      </c>
      <c r="I92" s="96">
        <v>200</v>
      </c>
      <c r="J92" s="83">
        <f>J99</f>
        <v>0</v>
      </c>
      <c r="K92" s="33" t="str">
        <f>M92</f>
        <v>JS</v>
      </c>
      <c r="L92" s="33">
        <f>I92*10/100</f>
        <v>20</v>
      </c>
      <c r="M92" s="76" t="s">
        <v>94</v>
      </c>
      <c r="N92" s="76">
        <f>I92/3/2</f>
        <v>33.333333333333336</v>
      </c>
      <c r="O92" s="77">
        <f>I92/3-L92</f>
        <v>46.666666666666671</v>
      </c>
      <c r="P92" s="78">
        <v>3</v>
      </c>
      <c r="Q92" s="134">
        <f>O92/3</f>
        <v>15.555555555555557</v>
      </c>
      <c r="R92" s="148">
        <f>I92/3</f>
        <v>66.666666666666671</v>
      </c>
      <c r="S92" s="93">
        <f>L92+N92+N93+O92+R92</f>
        <v>200</v>
      </c>
      <c r="T92" s="269">
        <f>I92-S92</f>
        <v>0</v>
      </c>
      <c r="U92" s="109">
        <f>I92*22</f>
        <v>4400</v>
      </c>
      <c r="V92" s="9" t="s">
        <v>265</v>
      </c>
      <c r="W92" s="9" t="s">
        <v>54</v>
      </c>
      <c r="X92" s="9"/>
      <c r="Y92" s="164"/>
      <c r="Z92" s="164"/>
      <c r="AA92" s="165"/>
      <c r="AB92" s="164"/>
      <c r="AC92" s="166"/>
      <c r="AD92" s="1"/>
    </row>
    <row r="93" spans="1:30">
      <c r="A93" s="11"/>
      <c r="B93" s="9"/>
      <c r="C93" s="11"/>
      <c r="D93" s="11"/>
      <c r="E93" s="11"/>
      <c r="F93" s="38"/>
      <c r="G93" s="23"/>
      <c r="H93" s="23"/>
      <c r="I93" s="23"/>
      <c r="J93" s="23"/>
      <c r="K93" s="9"/>
      <c r="L93" s="14"/>
      <c r="M93" s="80" t="s">
        <v>39</v>
      </c>
      <c r="N93" s="86">
        <f>I92/3/2</f>
        <v>33.333333333333336</v>
      </c>
      <c r="O93" s="9"/>
      <c r="P93"/>
      <c r="Q93"/>
      <c r="R93" s="9"/>
      <c r="S93" s="9"/>
      <c r="T93" s="9"/>
      <c r="U93" s="9"/>
      <c r="V93" s="9"/>
      <c r="W93" s="9"/>
      <c r="X93" s="11"/>
      <c r="Y93" s="166"/>
      <c r="Z93" s="164"/>
      <c r="AA93" s="165"/>
      <c r="AB93" s="166"/>
      <c r="AC93" s="166"/>
      <c r="AD93" s="1"/>
    </row>
    <row r="94" spans="1:30">
      <c r="A94" s="21">
        <v>45478</v>
      </c>
      <c r="B94" s="9">
        <v>65</v>
      </c>
      <c r="C94" s="21" t="s">
        <v>25</v>
      </c>
      <c r="D94" s="25" t="s">
        <v>110</v>
      </c>
      <c r="E94" s="40" t="s">
        <v>111</v>
      </c>
      <c r="F94" s="25" t="s">
        <v>112</v>
      </c>
      <c r="G94" s="28">
        <v>68000</v>
      </c>
      <c r="H94" s="28" t="s">
        <v>113</v>
      </c>
      <c r="I94" s="98">
        <v>2000</v>
      </c>
      <c r="J94" s="99" t="s">
        <v>114</v>
      </c>
      <c r="K94" s="100" t="s">
        <v>94</v>
      </c>
      <c r="L94" s="101">
        <f>I94*10/100</f>
        <v>200</v>
      </c>
      <c r="M94" s="102" t="s">
        <v>115</v>
      </c>
      <c r="N94" s="103">
        <f>I94/3</f>
        <v>666.66666666666663</v>
      </c>
      <c r="O94" s="77">
        <f>I94/3-L94</f>
        <v>466.66666666666663</v>
      </c>
      <c r="P94" s="89">
        <v>4</v>
      </c>
      <c r="Q94" s="88">
        <f>O94/4</f>
        <v>116.66666666666666</v>
      </c>
      <c r="R94" s="139">
        <f>I94/3</f>
        <v>666.66666666666663</v>
      </c>
      <c r="S94" s="93">
        <f>L94+N94+O94+R94</f>
        <v>2000</v>
      </c>
      <c r="T94" s="140">
        <v>0</v>
      </c>
      <c r="U94" s="141">
        <f>[3]Planilha1!$I$29-I94</f>
        <v>2800.0479999999998</v>
      </c>
      <c r="V94" s="28" t="s">
        <v>116</v>
      </c>
      <c r="W94" s="23" t="s">
        <v>266</v>
      </c>
      <c r="X94" s="9"/>
    </row>
    <row r="95" spans="1:30" s="2" customFormat="1">
      <c r="A95" s="10"/>
      <c r="B95" s="10"/>
      <c r="C95" s="10"/>
      <c r="D95" s="10"/>
      <c r="E95" s="175"/>
      <c r="F95" s="176"/>
      <c r="G95" s="177"/>
      <c r="H95" s="178"/>
      <c r="I95" s="83"/>
      <c r="J95" s="17"/>
      <c r="K95" s="192"/>
      <c r="L95" s="17"/>
      <c r="M95" s="193"/>
      <c r="N95" s="194"/>
      <c r="O95" s="17"/>
      <c r="P95" s="195"/>
      <c r="Q95" s="272"/>
      <c r="R95" s="17"/>
      <c r="S95" s="175"/>
      <c r="T95" s="175"/>
      <c r="U95" s="175"/>
      <c r="V95" s="10"/>
      <c r="W95" s="10"/>
      <c r="X95" s="175"/>
    </row>
    <row r="96" spans="1:30">
      <c r="A96" s="9"/>
      <c r="B96" s="9"/>
      <c r="C96" s="9"/>
      <c r="D96" s="11"/>
      <c r="E96" s="11"/>
      <c r="F96" s="12"/>
      <c r="G96" s="13"/>
      <c r="H96" s="14"/>
      <c r="I96" s="196">
        <f>SUM(I3:I94)</f>
        <v>40834.089999999997</v>
      </c>
      <c r="J96" s="197" t="s">
        <v>267</v>
      </c>
      <c r="K96" s="198" t="s">
        <v>18</v>
      </c>
      <c r="L96" s="199">
        <f>SUM(L3:L94)</f>
        <v>4498.4089999999997</v>
      </c>
      <c r="M96" s="68" t="s">
        <v>19</v>
      </c>
      <c r="N96" s="200">
        <f>SUM(N3:N94)</f>
        <v>13334.696666666676</v>
      </c>
      <c r="O96" s="63">
        <f>SUM(O3:O94)</f>
        <v>9666.2876666666689</v>
      </c>
      <c r="P96" s="64"/>
      <c r="Q96" s="125"/>
      <c r="R96" s="273">
        <f>SUM(R3:R94)</f>
        <v>13334.696666666665</v>
      </c>
      <c r="S96" s="196">
        <f>SUM(S3:S94)</f>
        <v>40834.089999999997</v>
      </c>
      <c r="T96" s="274">
        <f>SUM(T3:T94)</f>
        <v>0</v>
      </c>
      <c r="U96" s="275">
        <f>SUM(U3:U94)</f>
        <v>183340.96799999999</v>
      </c>
      <c r="V96" s="9"/>
      <c r="W96" s="9"/>
      <c r="X96" s="11"/>
    </row>
    <row r="97" spans="1:24">
      <c r="A97" s="9"/>
      <c r="B97" s="9"/>
      <c r="C97" s="9"/>
      <c r="D97" s="11"/>
      <c r="E97" s="11"/>
      <c r="F97" s="12"/>
      <c r="G97" s="13"/>
      <c r="H97" s="14"/>
      <c r="I97" s="13"/>
      <c r="J97" s="14"/>
      <c r="K97" s="80" t="s">
        <v>39</v>
      </c>
      <c r="L97" s="81">
        <f>L5+L6+L7+L10+L14+L20+L21+L32+L33+L38+L41+L54+L58+L74+L79+L80+L81+L91</f>
        <v>1087.5630000000001</v>
      </c>
      <c r="M97" s="80" t="s">
        <v>39</v>
      </c>
      <c r="N97" s="81">
        <f>N5+N6+N7++N9+N10+N14+N15+N17+N19+N20+N21+N24+N27+N29+N31+N32+N33+N35+N37+N38+N41+N44+N49+N51+N57+N58+N60+N63+N65+N67+N69+N71+N73+N74+N76+N78+N79+N88+N91+N93</f>
        <v>4493.2100000000009</v>
      </c>
      <c r="O97" s="77">
        <f>Q97</f>
        <v>2768.3452777777784</v>
      </c>
      <c r="P97" s="78">
        <v>3</v>
      </c>
      <c r="Q97" s="134">
        <f>(O107-Q100-Q103)/3</f>
        <v>2768.3452777777784</v>
      </c>
      <c r="R97" s="276">
        <f>I109/3</f>
        <v>13334.696666666665</v>
      </c>
      <c r="S97" s="23">
        <f>L96+N96+O96+R96</f>
        <v>40834.090000000011</v>
      </c>
      <c r="T97" s="23">
        <f>S96-S97</f>
        <v>0</v>
      </c>
      <c r="U97" s="11"/>
      <c r="V97" s="9"/>
      <c r="W97" s="9"/>
      <c r="X97" s="11"/>
    </row>
    <row r="98" spans="1:24">
      <c r="A98" s="9"/>
      <c r="B98" s="9"/>
      <c r="C98" s="9"/>
      <c r="D98" s="11"/>
      <c r="E98" s="11"/>
      <c r="F98" s="12"/>
      <c r="G98" s="13"/>
      <c r="H98" s="14"/>
      <c r="I98" s="13"/>
      <c r="J98" s="14"/>
      <c r="K98" s="33" t="str">
        <f>K28</f>
        <v>JS</v>
      </c>
      <c r="L98" s="33">
        <f>L8+L11+L15+L16+L18+L22+L23+L25+L26+L28+L34+L36+L39+L43+L45+L46+L48+L50+L52+L53+L55+L56+L59+L60+L61+L62+L64+L66+L68+L70+L72+L75+L77+L82+L86+L87+L92+L94</f>
        <v>2251.5</v>
      </c>
      <c r="M98" s="33" t="str">
        <f>K98</f>
        <v>JS</v>
      </c>
      <c r="N98" s="33">
        <f>N3+N8+N16+N18+N23+N26+N28+N30+N34+N36+N39+N43+N46+N48+N50+N53+N55+N56+N62+N64+N66+N68+N70+N72+N75+N77+N84+N86+N87+N89+N92</f>
        <v>2654.9999999999995</v>
      </c>
      <c r="O98" s="77">
        <f>O97</f>
        <v>2768.3452777777784</v>
      </c>
      <c r="P98" s="78">
        <v>3</v>
      </c>
      <c r="Q98" s="134">
        <f>Q97</f>
        <v>2768.3452777777784</v>
      </c>
      <c r="R98" s="276"/>
      <c r="S98" s="9"/>
      <c r="T98" s="11"/>
      <c r="U98" s="11"/>
      <c r="V98" s="9"/>
      <c r="W98" s="9"/>
      <c r="X98" s="11"/>
    </row>
    <row r="99" spans="1:24">
      <c r="A99" s="9"/>
      <c r="B99" s="9"/>
      <c r="C99" s="9"/>
      <c r="D99" s="11"/>
      <c r="E99" s="11"/>
      <c r="F99" s="12"/>
      <c r="G99" s="13"/>
      <c r="H99" s="14"/>
      <c r="I99" s="13"/>
      <c r="J99" s="14"/>
      <c r="K99" s="188" t="s">
        <v>115</v>
      </c>
      <c r="L99" s="201">
        <f>L83</f>
        <v>70</v>
      </c>
      <c r="M99" s="188" t="s">
        <v>115</v>
      </c>
      <c r="N99" s="201">
        <f>N22+N40+N47+N61+N82+N83+N94</f>
        <v>2634.3333333333335</v>
      </c>
      <c r="O99" s="77">
        <f>O97</f>
        <v>2768.3452777777784</v>
      </c>
      <c r="P99" s="78">
        <v>3</v>
      </c>
      <c r="Q99" s="134">
        <f>Q97</f>
        <v>2768.3452777777784</v>
      </c>
      <c r="R99" s="277"/>
      <c r="S99" s="9"/>
      <c r="T99" s="11"/>
      <c r="U99" s="11"/>
      <c r="V99" s="9"/>
      <c r="W99" s="9"/>
      <c r="X99" s="11"/>
    </row>
    <row r="100" spans="1:24">
      <c r="A100" s="9"/>
      <c r="B100" s="9"/>
      <c r="C100" s="9"/>
      <c r="D100" s="11"/>
      <c r="E100" s="11"/>
      <c r="F100" s="12"/>
      <c r="G100" s="13"/>
      <c r="H100" s="14"/>
      <c r="I100" s="13"/>
      <c r="J100" s="14"/>
      <c r="K100" s="88" t="s">
        <v>68</v>
      </c>
      <c r="L100" s="88">
        <f>L42</f>
        <v>69.346000000000004</v>
      </c>
      <c r="M100" s="88" t="s">
        <v>68</v>
      </c>
      <c r="N100" s="88">
        <f>N11+N12+N13+N25+N42+N45+N59</f>
        <v>2058.4866666666667</v>
      </c>
      <c r="O100" s="77">
        <f>Q100</f>
        <v>621.73516666666671</v>
      </c>
      <c r="P100" s="89">
        <v>4</v>
      </c>
      <c r="Q100" s="88">
        <f>Q11+Q12+Q13+Q25+Q39+Q42+Q45+Q46+Q55+Q59+Q82</f>
        <v>621.73516666666671</v>
      </c>
      <c r="R100" s="277"/>
      <c r="S100" s="9"/>
      <c r="T100" s="11"/>
      <c r="U100" s="11"/>
      <c r="V100" s="9"/>
      <c r="W100" s="9"/>
      <c r="X100" s="11"/>
    </row>
    <row r="101" spans="1:24">
      <c r="A101" s="9"/>
      <c r="B101" s="9"/>
      <c r="C101" s="9"/>
      <c r="D101" s="11"/>
      <c r="E101" s="11"/>
      <c r="F101" s="12"/>
      <c r="G101" s="13"/>
      <c r="H101" s="14"/>
      <c r="I101" s="13"/>
      <c r="J101" s="14"/>
      <c r="K101" s="75" t="s">
        <v>30</v>
      </c>
      <c r="L101" s="202">
        <f>L3+L30+L76+L84+L89</f>
        <v>190</v>
      </c>
      <c r="M101" s="75" t="s">
        <v>30</v>
      </c>
      <c r="N101" s="202">
        <f>N4+N85+N90</f>
        <v>125</v>
      </c>
      <c r="O101" s="77">
        <v>0</v>
      </c>
      <c r="P101" s="78"/>
      <c r="Q101" s="134"/>
      <c r="R101" s="276">
        <f>I109*O104</f>
        <v>0</v>
      </c>
      <c r="S101" s="9"/>
      <c r="T101" s="11"/>
      <c r="U101" s="11"/>
      <c r="V101" s="9"/>
      <c r="W101" s="9"/>
      <c r="X101" s="11"/>
    </row>
    <row r="102" spans="1:24">
      <c r="A102" s="53"/>
      <c r="B102" s="53"/>
      <c r="C102" s="54"/>
      <c r="D102" s="53"/>
      <c r="E102" s="53"/>
      <c r="F102" s="179"/>
      <c r="G102" s="179"/>
      <c r="H102" s="179"/>
      <c r="I102" s="179"/>
      <c r="J102" s="179"/>
      <c r="K102" s="14" t="s">
        <v>268</v>
      </c>
      <c r="L102" s="13">
        <f>L97+L98+L99+L100+L101</f>
        <v>3668.4090000000001</v>
      </c>
      <c r="M102" s="14" t="s">
        <v>268</v>
      </c>
      <c r="N102" s="13">
        <f>SUM(N97:N101)</f>
        <v>11966.030000000002</v>
      </c>
      <c r="O102" s="63">
        <f>SUM(O97:O101)</f>
        <v>8926.7710000000025</v>
      </c>
      <c r="P102" s="203">
        <v>4</v>
      </c>
      <c r="Q102" s="209">
        <f>Q97+Q98+Q99+Q100</f>
        <v>8926.7710000000025</v>
      </c>
      <c r="R102" s="54"/>
      <c r="S102" s="54"/>
      <c r="T102" s="53"/>
      <c r="U102" s="53"/>
      <c r="V102" s="53"/>
      <c r="W102" s="53"/>
      <c r="X102" s="53"/>
    </row>
    <row r="103" spans="1:24">
      <c r="A103" s="9"/>
      <c r="B103" s="9"/>
      <c r="C103" s="9"/>
      <c r="D103" s="11"/>
      <c r="E103" s="11"/>
      <c r="F103" s="12"/>
      <c r="G103" s="13"/>
      <c r="H103" s="14"/>
      <c r="I103" s="204">
        <f>L103+L104+L105</f>
        <v>830</v>
      </c>
      <c r="J103" s="204" t="s">
        <v>269</v>
      </c>
      <c r="K103" s="90" t="s">
        <v>74</v>
      </c>
      <c r="L103" s="91">
        <f>L12+L13</f>
        <v>830</v>
      </c>
      <c r="M103" s="90" t="s">
        <v>74</v>
      </c>
      <c r="N103" s="91">
        <f>N52+N54+N80+N81</f>
        <v>1368.6666666666667</v>
      </c>
      <c r="O103" s="77">
        <f>Q103</f>
        <v>239.51666666666668</v>
      </c>
      <c r="P103" s="117">
        <v>4</v>
      </c>
      <c r="Q103" s="120">
        <f>Q52+Q54+Q80+Q81</f>
        <v>239.51666666666668</v>
      </c>
      <c r="R103" s="277"/>
      <c r="S103" s="9"/>
      <c r="T103" s="11"/>
      <c r="U103" s="11"/>
      <c r="V103" s="9"/>
      <c r="W103" s="9"/>
      <c r="X103" s="11"/>
    </row>
    <row r="104" spans="1:24">
      <c r="A104" s="9"/>
      <c r="B104" s="9"/>
      <c r="C104" s="9"/>
      <c r="D104" s="9"/>
      <c r="E104" s="11"/>
      <c r="F104" s="12"/>
      <c r="G104" s="13"/>
      <c r="H104" s="14"/>
      <c r="I104" s="13"/>
      <c r="J104" s="14"/>
      <c r="K104" s="205" t="s">
        <v>270</v>
      </c>
      <c r="L104" s="206">
        <v>0</v>
      </c>
      <c r="M104" s="205" t="s">
        <v>270</v>
      </c>
      <c r="N104" s="206">
        <v>0</v>
      </c>
      <c r="O104" s="207">
        <v>0</v>
      </c>
      <c r="P104" s="71"/>
      <c r="Q104" s="128"/>
      <c r="R104" s="129">
        <f>R2</f>
        <v>0.33333332999999998</v>
      </c>
      <c r="S104" s="278">
        <f>S96</f>
        <v>40834.089999999997</v>
      </c>
      <c r="T104" s="11"/>
      <c r="U104" s="53"/>
      <c r="V104" s="9"/>
      <c r="W104" s="9"/>
      <c r="X104" s="11"/>
    </row>
    <row r="105" spans="1:24">
      <c r="A105" s="9"/>
      <c r="B105" s="9"/>
      <c r="C105" s="9"/>
      <c r="D105" s="11"/>
      <c r="E105" s="11"/>
      <c r="F105" s="12"/>
      <c r="G105" s="13"/>
      <c r="H105" s="14"/>
      <c r="I105" s="13"/>
      <c r="J105" s="14"/>
      <c r="K105" s="208" t="s">
        <v>271</v>
      </c>
      <c r="L105" s="208">
        <v>0</v>
      </c>
      <c r="M105" s="208" t="s">
        <v>271</v>
      </c>
      <c r="N105" s="208">
        <v>0</v>
      </c>
      <c r="O105" s="63">
        <v>0</v>
      </c>
      <c r="P105" s="64"/>
      <c r="Q105" s="125"/>
      <c r="R105" s="273">
        <f>I109*R104</f>
        <v>13334.696533319699</v>
      </c>
      <c r="S105" s="278">
        <f>S96</f>
        <v>40834.089999999997</v>
      </c>
      <c r="T105" s="11"/>
      <c r="U105" s="11"/>
      <c r="V105" s="9"/>
      <c r="W105" s="9"/>
      <c r="X105" s="11"/>
    </row>
    <row r="106" spans="1:24">
      <c r="A106" s="11"/>
      <c r="B106" s="9"/>
      <c r="C106" s="9"/>
      <c r="D106" s="11"/>
      <c r="E106" s="11"/>
      <c r="F106" s="14"/>
      <c r="G106" s="13"/>
      <c r="H106" s="14"/>
      <c r="I106" s="13"/>
      <c r="J106" s="14"/>
      <c r="K106" s="204" t="s">
        <v>269</v>
      </c>
      <c r="L106" s="204">
        <f>L103+L104+L105</f>
        <v>830</v>
      </c>
      <c r="M106" s="179"/>
      <c r="N106" s="203" t="s">
        <v>272</v>
      </c>
      <c r="O106" s="209">
        <f>O103+O104+O105</f>
        <v>239.51666666666668</v>
      </c>
      <c r="P106" s="117">
        <v>4</v>
      </c>
      <c r="Q106" s="120">
        <f>Q103</f>
        <v>239.51666666666668</v>
      </c>
      <c r="R106" s="9"/>
      <c r="S106" s="9"/>
      <c r="T106" s="11"/>
      <c r="U106" s="11"/>
      <c r="V106" s="9"/>
      <c r="W106" s="9"/>
      <c r="X106" s="11"/>
    </row>
    <row r="107" spans="1:24">
      <c r="A107" s="9"/>
      <c r="B107" s="9"/>
      <c r="C107" s="175" t="s">
        <v>273</v>
      </c>
      <c r="D107" s="11" t="s">
        <v>274</v>
      </c>
      <c r="E107" s="11"/>
      <c r="F107" s="12"/>
      <c r="G107" s="13"/>
      <c r="H107" s="14"/>
      <c r="I107" s="179"/>
      <c r="J107" s="179"/>
      <c r="K107" s="198" t="s">
        <v>18</v>
      </c>
      <c r="L107" s="199">
        <f>L102+L106</f>
        <v>4498.4089999999997</v>
      </c>
      <c r="M107" s="68" t="s">
        <v>19</v>
      </c>
      <c r="N107" s="200">
        <f>N102+N103</f>
        <v>13334.696666666669</v>
      </c>
      <c r="O107" s="63">
        <f>O96-O108</f>
        <v>9166.2876666666689</v>
      </c>
      <c r="P107" s="210"/>
      <c r="Q107" s="63">
        <f>Q102+Q103</f>
        <v>9166.2876666666689</v>
      </c>
      <c r="R107" s="273">
        <f>R96</f>
        <v>13334.696666666665</v>
      </c>
      <c r="S107" s="204">
        <v>0</v>
      </c>
      <c r="T107" s="11"/>
      <c r="U107" s="11"/>
      <c r="V107" s="9"/>
      <c r="W107" s="9"/>
      <c r="X107" s="11"/>
    </row>
    <row r="108" spans="1:24">
      <c r="A108" s="9"/>
      <c r="B108" s="9"/>
      <c r="C108" s="9"/>
      <c r="D108" s="9"/>
      <c r="E108" s="11"/>
      <c r="F108" s="12"/>
      <c r="G108" s="13"/>
      <c r="H108" s="14"/>
      <c r="I108" s="179"/>
      <c r="J108" s="179"/>
      <c r="K108" s="179"/>
      <c r="L108" s="179"/>
      <c r="M108" s="14"/>
      <c r="N108" s="211" t="s">
        <v>275</v>
      </c>
      <c r="O108" s="212">
        <v>500</v>
      </c>
      <c r="P108" s="64"/>
      <c r="Q108" s="125"/>
      <c r="R108" s="212">
        <v>500</v>
      </c>
      <c r="S108" s="83">
        <f>L96+N96+O96+R96</f>
        <v>40834.090000000011</v>
      </c>
      <c r="T108" s="11"/>
      <c r="U108" s="132" t="s">
        <v>21</v>
      </c>
      <c r="V108" s="9"/>
      <c r="W108" s="9"/>
      <c r="X108" s="11"/>
    </row>
    <row r="109" spans="1:24">
      <c r="A109" s="9"/>
      <c r="B109" s="9"/>
      <c r="C109" s="9"/>
      <c r="D109" s="9"/>
      <c r="E109" s="11"/>
      <c r="F109" s="12"/>
      <c r="G109" s="13"/>
      <c r="H109" s="14"/>
      <c r="I109" s="177">
        <f>I96-I103</f>
        <v>40004.089999999997</v>
      </c>
      <c r="J109" s="17" t="s">
        <v>276</v>
      </c>
      <c r="K109" s="14"/>
      <c r="L109" s="13"/>
      <c r="M109" s="14"/>
      <c r="N109" s="63" t="s">
        <v>3</v>
      </c>
      <c r="O109" s="209">
        <f>O107+O108</f>
        <v>9666.2876666666689</v>
      </c>
      <c r="P109" s="191"/>
      <c r="Q109" s="271"/>
      <c r="R109" s="273">
        <f>R105-R108</f>
        <v>12834.696533319699</v>
      </c>
      <c r="S109" s="83">
        <f>I96</f>
        <v>40834.089999999997</v>
      </c>
      <c r="T109" s="11"/>
      <c r="U109" s="275">
        <f>U96</f>
        <v>183340.96799999999</v>
      </c>
      <c r="V109" s="9"/>
      <c r="W109" s="9"/>
      <c r="X109" s="11"/>
    </row>
    <row r="110" spans="1:24">
      <c r="A110" s="9"/>
      <c r="B110" s="9"/>
      <c r="C110" s="9"/>
      <c r="D110" s="11"/>
      <c r="E110" s="11"/>
      <c r="F110" s="12"/>
      <c r="G110" s="13"/>
      <c r="H110" s="14"/>
      <c r="I110" s="196">
        <f>I109+I103</f>
        <v>40834.089999999997</v>
      </c>
      <c r="J110" s="197" t="s">
        <v>267</v>
      </c>
      <c r="K110" s="14"/>
      <c r="L110" s="14"/>
      <c r="M110" s="14"/>
      <c r="N110" s="210" t="s">
        <v>277</v>
      </c>
      <c r="O110" s="63">
        <f>O96-O108</f>
        <v>9166.2876666666689</v>
      </c>
      <c r="P110" s="64"/>
      <c r="Q110" s="125"/>
      <c r="R110" s="126" t="s">
        <v>6</v>
      </c>
      <c r="S110" s="127" t="s">
        <v>7</v>
      </c>
      <c r="T110" s="131" t="s">
        <v>20</v>
      </c>
      <c r="U110" s="131" t="s">
        <v>20</v>
      </c>
      <c r="V110" s="9"/>
      <c r="W110" s="9"/>
      <c r="X110" s="11"/>
    </row>
    <row r="111" spans="1:24">
      <c r="A111" s="9"/>
      <c r="B111" s="9"/>
      <c r="C111" s="9"/>
      <c r="D111" s="11"/>
      <c r="E111" s="11"/>
      <c r="F111" s="12"/>
      <c r="G111" s="13"/>
      <c r="H111" s="14"/>
      <c r="I111" s="213">
        <f>I110-I103-I109</f>
        <v>0</v>
      </c>
      <c r="J111" s="131" t="s">
        <v>20</v>
      </c>
      <c r="K111" s="131" t="s">
        <v>20</v>
      </c>
      <c r="L111" s="213">
        <f>L96-L107</f>
        <v>0</v>
      </c>
      <c r="M111" s="131" t="s">
        <v>20</v>
      </c>
      <c r="N111" s="213">
        <f>N96-N107</f>
        <v>0</v>
      </c>
      <c r="O111" s="213">
        <f>O96-O109</f>
        <v>0</v>
      </c>
      <c r="P111" s="64"/>
      <c r="Q111" s="125"/>
      <c r="R111" s="213">
        <f>R96-R105</f>
        <v>1.333469663222786E-4</v>
      </c>
      <c r="S111" s="213">
        <f>S108-S109</f>
        <v>0</v>
      </c>
      <c r="T111" s="213">
        <v>0</v>
      </c>
      <c r="U111" s="213">
        <v>0</v>
      </c>
      <c r="V111" s="9"/>
      <c r="W111" s="9"/>
      <c r="X111" s="11"/>
    </row>
    <row r="112" spans="1:24">
      <c r="A112" s="11"/>
      <c r="B112" s="11"/>
      <c r="C112" s="9"/>
      <c r="D112" s="11"/>
      <c r="E112" s="11"/>
      <c r="F112" s="14"/>
      <c r="G112" s="14"/>
      <c r="H112" s="14"/>
      <c r="I112" s="14"/>
      <c r="J112" s="14"/>
      <c r="K112" s="14"/>
      <c r="L112" s="14"/>
      <c r="M112" s="14"/>
      <c r="N112" s="214"/>
      <c r="O112" s="179"/>
      <c r="P112" s="191"/>
      <c r="Q112" s="271"/>
    </row>
    <row r="114" spans="10:18">
      <c r="J114" s="215" t="s">
        <v>278</v>
      </c>
      <c r="K114" s="216">
        <f>[2]RECEITAS!$J$141</f>
        <v>41666.666666666701</v>
      </c>
      <c r="L114" s="217">
        <v>1</v>
      </c>
      <c r="N114" s="218" t="s">
        <v>279</v>
      </c>
      <c r="O114" s="219" t="s">
        <v>280</v>
      </c>
      <c r="P114" s="220">
        <v>3</v>
      </c>
      <c r="Q114" s="279">
        <f>R114/3</f>
        <v>2768.3452777777784</v>
      </c>
      <c r="R114" s="280">
        <f>O110-O100-O106</f>
        <v>8305.0358333333352</v>
      </c>
    </row>
    <row r="115" spans="10:18">
      <c r="J115" s="221" t="s">
        <v>25</v>
      </c>
      <c r="K115" s="222">
        <f>I110</f>
        <v>40834.089999999997</v>
      </c>
      <c r="L115" s="223">
        <f>K115/K114</f>
        <v>0.98001815999999908</v>
      </c>
      <c r="N115" s="224" t="s">
        <v>281</v>
      </c>
      <c r="O115" s="225" t="s">
        <v>282</v>
      </c>
      <c r="P115" s="226">
        <v>4</v>
      </c>
      <c r="Q115" s="281">
        <f>Q100</f>
        <v>621.73516666666671</v>
      </c>
      <c r="R115" s="237">
        <f>Q115</f>
        <v>621.73516666666671</v>
      </c>
    </row>
    <row r="116" spans="10:18">
      <c r="J116" s="227" t="s">
        <v>283</v>
      </c>
      <c r="K116" s="228">
        <f>K115-K114</f>
        <v>-832.57666666670411</v>
      </c>
      <c r="L116" s="229">
        <f>K116/K114</f>
        <v>-1.9981840000000882E-2</v>
      </c>
      <c r="N116" s="230" t="str">
        <f>N115</f>
        <v>RACHADINHA 4</v>
      </c>
      <c r="O116" s="230" t="s">
        <v>284</v>
      </c>
      <c r="P116" s="231">
        <v>4</v>
      </c>
      <c r="Q116" s="282">
        <f>Q103</f>
        <v>239.51666666666668</v>
      </c>
      <c r="R116" s="237">
        <f>Q116</f>
        <v>239.51666666666668</v>
      </c>
    </row>
    <row r="117" spans="10:18">
      <c r="J117" s="232" t="s">
        <v>285</v>
      </c>
      <c r="K117" s="233">
        <f>B94</f>
        <v>65</v>
      </c>
      <c r="L117" s="234" t="s">
        <v>286</v>
      </c>
      <c r="N117" s="218" t="s">
        <v>287</v>
      </c>
      <c r="O117" s="235" t="s">
        <v>288</v>
      </c>
      <c r="P117" s="236"/>
      <c r="Q117" s="283">
        <v>0</v>
      </c>
      <c r="R117" s="237">
        <f>Q117</f>
        <v>0</v>
      </c>
    </row>
    <row r="118" spans="10:18">
      <c r="J118" s="232" t="s">
        <v>289</v>
      </c>
      <c r="K118" s="237">
        <f>K115/K117</f>
        <v>628.21676923076916</v>
      </c>
      <c r="L118" s="238">
        <f>K115/20</f>
        <v>2041.7044999999998</v>
      </c>
      <c r="N118" s="218" t="s">
        <v>290</v>
      </c>
      <c r="O118" s="235" t="s">
        <v>291</v>
      </c>
      <c r="P118" s="236"/>
      <c r="Q118" s="283">
        <v>0</v>
      </c>
      <c r="R118" s="237">
        <f>Q118</f>
        <v>0</v>
      </c>
    </row>
    <row r="119" spans="10:18">
      <c r="J119" s="239" t="s">
        <v>292</v>
      </c>
      <c r="K119" s="240">
        <f>K114*6</f>
        <v>250000.0000000002</v>
      </c>
      <c r="L119" s="241">
        <v>1</v>
      </c>
      <c r="N119" s="242"/>
      <c r="O119" s="242"/>
      <c r="P119" s="243"/>
      <c r="Q119" s="284"/>
      <c r="R119" s="237">
        <f>R114+R115+R116+R117+R118</f>
        <v>9166.2876666666689</v>
      </c>
    </row>
    <row r="120" spans="10:18">
      <c r="J120" s="244" t="s">
        <v>293</v>
      </c>
      <c r="K120" s="245">
        <f>[2]RECEITAS!$J$147+K115</f>
        <v>407978.87</v>
      </c>
      <c r="L120" s="246">
        <f>K120/K119</f>
        <v>1.6319154799999986</v>
      </c>
      <c r="N120" s="242"/>
      <c r="O120" s="242"/>
      <c r="P120" s="243"/>
      <c r="Q120" s="284"/>
    </row>
    <row r="121" spans="10:18">
      <c r="J121" s="247" t="s">
        <v>294</v>
      </c>
      <c r="K121" s="167">
        <f>K120-K119</f>
        <v>157978.86999999979</v>
      </c>
      <c r="L121" s="248">
        <f>L120-L119</f>
        <v>0.63191547999999864</v>
      </c>
      <c r="N121" s="242"/>
      <c r="O121" s="242"/>
      <c r="P121" s="243"/>
      <c r="Q121" s="284"/>
    </row>
    <row r="122" spans="10:18">
      <c r="J122" s="249" t="str">
        <f>[4]RECEITAS!$I$99</f>
        <v>META ANUAL</v>
      </c>
      <c r="K122" s="250">
        <f>[4]RECEITAS!$J$99</f>
        <v>500000</v>
      </c>
      <c r="L122" s="251">
        <f>L114</f>
        <v>1</v>
      </c>
    </row>
    <row r="123" spans="10:18">
      <c r="J123" s="252" t="s">
        <v>295</v>
      </c>
      <c r="K123" s="237">
        <f>K120/6</f>
        <v>67996.478333333333</v>
      </c>
      <c r="L123" s="253">
        <f>K123/K114</f>
        <v>1.6319154799999986</v>
      </c>
    </row>
    <row r="124" spans="10:18">
      <c r="J124" s="254" t="s">
        <v>296</v>
      </c>
      <c r="K124" s="255">
        <f>K123*12</f>
        <v>815957.74</v>
      </c>
      <c r="L124" s="256">
        <f>K124/K122</f>
        <v>1.63191548</v>
      </c>
    </row>
    <row r="126" spans="10:18">
      <c r="J126" s="257" t="s">
        <v>297</v>
      </c>
      <c r="K126" s="257" t="s">
        <v>16</v>
      </c>
      <c r="L126" s="257" t="s">
        <v>298</v>
      </c>
      <c r="M126" s="258" t="s">
        <v>20</v>
      </c>
    </row>
    <row r="127" spans="10:18">
      <c r="J127" s="259" t="s">
        <v>299</v>
      </c>
      <c r="K127" s="260">
        <f>I5+I8+I12+I13+I15+I16+I23+I26+I36+I38+I42+I50+I56+I59+I72+I75</f>
        <v>12560.46</v>
      </c>
      <c r="L127" s="261">
        <f>K127/K138</f>
        <v>0.30759740207263098</v>
      </c>
      <c r="M127" s="258">
        <v>0</v>
      </c>
    </row>
    <row r="128" spans="10:18">
      <c r="J128" s="287" t="s">
        <v>300</v>
      </c>
      <c r="K128" s="288">
        <f>I22+I39+I61+I82+I83+I94</f>
        <v>7833</v>
      </c>
      <c r="L128" s="289">
        <f>K128/K138</f>
        <v>0.19182501679356637</v>
      </c>
      <c r="M128" s="258">
        <v>0</v>
      </c>
    </row>
    <row r="129" spans="10:13">
      <c r="J129" s="240" t="s">
        <v>61</v>
      </c>
      <c r="K129" s="240">
        <f>I3+I10+I11+I14+I20+I21+I32+I34+I43+I53+I58+I74+I79+I84+I86+I89+I91</f>
        <v>7559.63</v>
      </c>
      <c r="L129" s="264">
        <f>K129/K138</f>
        <v>0.18513036533935251</v>
      </c>
      <c r="M129" s="258">
        <v>0</v>
      </c>
    </row>
    <row r="130" spans="10:13">
      <c r="J130" s="262" t="s">
        <v>138</v>
      </c>
      <c r="K130" s="262">
        <f>I33+I52+I81</f>
        <v>5900</v>
      </c>
      <c r="L130" s="263">
        <f>K130/K138</f>
        <v>0.14448711848360035</v>
      </c>
      <c r="M130" s="258">
        <v>0</v>
      </c>
    </row>
    <row r="131" spans="10:13">
      <c r="J131" s="290" t="s">
        <v>97</v>
      </c>
      <c r="K131" s="291">
        <f>I18+I28+I48+I62+I64+I66+I68+I70+I77+I87+I92</f>
        <v>2200</v>
      </c>
      <c r="L131" s="292">
        <f>K131/K138</f>
        <v>5.3876552654901828E-2</v>
      </c>
      <c r="M131" s="258">
        <v>0</v>
      </c>
    </row>
    <row r="132" spans="10:13">
      <c r="J132" s="285" t="s">
        <v>50</v>
      </c>
      <c r="K132" s="285">
        <f>I7+I41+I46</f>
        <v>1820</v>
      </c>
      <c r="L132" s="286">
        <f>K132/K138</f>
        <v>4.4570602650873328E-2</v>
      </c>
      <c r="M132" s="258">
        <v>0</v>
      </c>
    </row>
    <row r="133" spans="10:13">
      <c r="J133" s="293" t="s">
        <v>121</v>
      </c>
      <c r="K133" s="294">
        <f>I25+I45+I54+I80</f>
        <v>1056</v>
      </c>
      <c r="L133" s="295">
        <f>K133/K138</f>
        <v>2.5860745274352878E-2</v>
      </c>
      <c r="M133" s="258">
        <v>0</v>
      </c>
    </row>
    <row r="134" spans="10:13">
      <c r="J134" s="296" t="s">
        <v>226</v>
      </c>
      <c r="K134" s="326">
        <f>I76</f>
        <v>900</v>
      </c>
      <c r="L134" s="327">
        <f>K134/K138</f>
        <v>2.2040407904278022E-2</v>
      </c>
      <c r="M134" s="258">
        <v>0</v>
      </c>
    </row>
    <row r="135" spans="10:13">
      <c r="J135" s="297" t="s">
        <v>128</v>
      </c>
      <c r="K135" s="298">
        <f>I30+I55</f>
        <v>550</v>
      </c>
      <c r="L135" s="299">
        <f>K135/K138</f>
        <v>1.3469138163725457E-2</v>
      </c>
      <c r="M135" s="258">
        <v>0</v>
      </c>
    </row>
    <row r="136" spans="10:13">
      <c r="J136" s="300" t="s">
        <v>44</v>
      </c>
      <c r="K136" s="300">
        <f>I6+I60</f>
        <v>455</v>
      </c>
      <c r="L136" s="301">
        <f>K136/K138</f>
        <v>1.1142650662718332E-2</v>
      </c>
      <c r="M136" s="258">
        <v>0</v>
      </c>
    </row>
    <row r="137" spans="10:13">
      <c r="J137" s="302" t="s">
        <v>301</v>
      </c>
      <c r="K137" s="222">
        <f>SUM(K127:K136)</f>
        <v>40834.089999999997</v>
      </c>
      <c r="L137" s="303">
        <f>SUM(L127:L136)</f>
        <v>1</v>
      </c>
      <c r="M137" s="258">
        <v>0</v>
      </c>
    </row>
    <row r="138" spans="10:13">
      <c r="J138" s="302" t="s">
        <v>302</v>
      </c>
      <c r="K138" s="222">
        <f>K115</f>
        <v>40834.089999999997</v>
      </c>
      <c r="L138" s="303">
        <f>L137</f>
        <v>1</v>
      </c>
      <c r="M138" s="258">
        <v>0</v>
      </c>
    </row>
    <row r="139" spans="10:13">
      <c r="J139" s="304" t="s">
        <v>303</v>
      </c>
      <c r="K139" s="305">
        <f>K138-K137</f>
        <v>0</v>
      </c>
      <c r="L139" s="306">
        <v>0</v>
      </c>
      <c r="M139" s="258">
        <v>0</v>
      </c>
    </row>
  </sheetData>
  <hyperlinks>
    <hyperlink ref="A1" r:id="rId1" xr:uid="{00000000-0004-0000-0000-000000000000}"/>
  </hyperlinks>
  <pageMargins left="0.511811024" right="0.511811024" top="0.78740157499999996" bottom="0.78740157499999996" header="0.31496062000000002" footer="0.31496062000000002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RECEITAS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Silva</dc:creator>
  <cp:lastModifiedBy>Jorge Silva</cp:lastModifiedBy>
  <dcterms:created xsi:type="dcterms:W3CDTF">2024-06-06T13:43:00Z</dcterms:created>
  <dcterms:modified xsi:type="dcterms:W3CDTF">2024-07-24T22:56:31Z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62ED1D8D48FF4432AF3773682BD6D763_12</vt:lpwstr>
  </property>
  <property fmtid="{D5CDD505-2E9C-101B-9397-08002B2CF9AE}" pid="3" name="KSOProductBuildVer">
    <vt:lpwstr>1046-12.2.0.17119</vt:lpwstr>
  </property>
</Properties>
</file>