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S:\FINANCEIRO\2024\MATRIZ\06 - JUNHO\"/>
    </mc:Choice>
  </mc:AlternateContent>
  <xr:revisionPtr revIDLastSave="0" documentId="13_ncr:1_{DC8337D0-673F-417A-A625-3827007A3264}" xr6:coauthVersionLast="47" xr6:coauthVersionMax="47" xr10:uidLastSave="{00000000-0000-0000-0000-000000000000}"/>
  <bookViews>
    <workbookView minimized="1" xWindow="2160" yWindow="2160" windowWidth="16200" windowHeight="9360" xr2:uid="{00000000-000D-0000-FFFF-FFFF00000000}"/>
  </bookViews>
  <sheets>
    <sheet name="DEMONSTRATIVO" sheetId="1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3" l="1"/>
  <c r="H53" i="13"/>
  <c r="J53" i="13" s="1"/>
  <c r="I50" i="13"/>
  <c r="G50" i="13"/>
  <c r="H50" i="13" s="1"/>
  <c r="I47" i="13"/>
  <c r="J47" i="13" s="1"/>
  <c r="M44" i="13"/>
  <c r="I44" i="13"/>
  <c r="G44" i="13"/>
  <c r="H44" i="13" s="1"/>
  <c r="M43" i="13"/>
  <c r="M42" i="13"/>
  <c r="M41" i="13"/>
  <c r="I41" i="13"/>
  <c r="G41" i="13"/>
  <c r="M40" i="13"/>
  <c r="G40" i="13"/>
  <c r="M39" i="13"/>
  <c r="M38" i="13"/>
  <c r="I38" i="13"/>
  <c r="M37" i="13"/>
  <c r="G37" i="13"/>
  <c r="D37" i="13"/>
  <c r="I35" i="13"/>
  <c r="I56" i="13" s="1"/>
  <c r="H35" i="13"/>
  <c r="J38" i="13" s="1"/>
  <c r="C35" i="13"/>
  <c r="G34" i="13"/>
  <c r="D32" i="13"/>
  <c r="D31" i="13"/>
  <c r="I30" i="13"/>
  <c r="D29" i="13"/>
  <c r="E34" i="13" s="1"/>
  <c r="D28" i="13"/>
  <c r="D30" i="13" s="1"/>
  <c r="J26" i="13"/>
  <c r="M26" i="13" s="1"/>
  <c r="J25" i="13"/>
  <c r="M25" i="13" s="1"/>
  <c r="I25" i="13"/>
  <c r="K24" i="13"/>
  <c r="J24" i="13"/>
  <c r="M24" i="13" s="1"/>
  <c r="G24" i="13"/>
  <c r="B24" i="13"/>
  <c r="J23" i="13"/>
  <c r="I23" i="13"/>
  <c r="G23" i="13"/>
  <c r="H24" i="13" s="1"/>
  <c r="J22" i="13"/>
  <c r="M22" i="13" s="1"/>
  <c r="I22" i="13"/>
  <c r="J21" i="13"/>
  <c r="I21" i="13"/>
  <c r="G21" i="13"/>
  <c r="G20" i="13"/>
  <c r="K27" i="13" s="1"/>
  <c r="H16" i="13"/>
  <c r="F16" i="13"/>
  <c r="H15" i="13"/>
  <c r="F15" i="13"/>
  <c r="H14" i="13"/>
  <c r="F14" i="13"/>
  <c r="H13" i="13"/>
  <c r="F13" i="13"/>
  <c r="H12" i="13"/>
  <c r="F12" i="13"/>
  <c r="H11" i="13"/>
  <c r="F11" i="13"/>
  <c r="N10" i="13"/>
  <c r="E10" i="13"/>
  <c r="C10" i="13"/>
  <c r="N9" i="13"/>
  <c r="H9" i="13"/>
  <c r="E9" i="13"/>
  <c r="C9" i="13"/>
  <c r="E8" i="13"/>
  <c r="C8" i="13"/>
  <c r="E7" i="13"/>
  <c r="C7" i="13"/>
  <c r="E6" i="13"/>
  <c r="C6" i="13"/>
  <c r="E5" i="13"/>
  <c r="E17" i="13" s="1"/>
  <c r="C5" i="13"/>
  <c r="B5" i="13"/>
  <c r="G4" i="13"/>
  <c r="F4" i="13"/>
  <c r="E4" i="13"/>
  <c r="D4" i="13"/>
  <c r="C4" i="13"/>
  <c r="B16" i="13" l="1"/>
  <c r="D16" i="13" s="1"/>
  <c r="B15" i="13"/>
  <c r="B14" i="13"/>
  <c r="B13" i="13"/>
  <c r="B12" i="13"/>
  <c r="B11" i="13"/>
  <c r="B10" i="13"/>
  <c r="B9" i="13"/>
  <c r="B8" i="13"/>
  <c r="B7" i="13"/>
  <c r="B6" i="13"/>
  <c r="G5" i="13"/>
  <c r="C17" i="13"/>
  <c r="M5" i="13"/>
  <c r="L5" i="13"/>
  <c r="H5" i="13"/>
  <c r="F5" i="13"/>
  <c r="D5" i="13"/>
  <c r="M28" i="13"/>
  <c r="E18" i="13"/>
  <c r="M6" i="13"/>
  <c r="L6" i="13"/>
  <c r="H6" i="13"/>
  <c r="F6" i="13"/>
  <c r="D6" i="13"/>
  <c r="M7" i="13"/>
  <c r="L7" i="13"/>
  <c r="H7" i="13"/>
  <c r="F7" i="13"/>
  <c r="D7" i="13"/>
  <c r="M8" i="13"/>
  <c r="L8" i="13"/>
  <c r="H8" i="13"/>
  <c r="F8" i="13"/>
  <c r="D8" i="13"/>
  <c r="M9" i="13"/>
  <c r="L9" i="13"/>
  <c r="F9" i="13"/>
  <c r="D9" i="13"/>
  <c r="D35" i="13"/>
  <c r="M10" i="13"/>
  <c r="L10" i="13"/>
  <c r="H10" i="13"/>
  <c r="H17" i="13" s="1"/>
  <c r="F10" i="13"/>
  <c r="F17" i="13" s="1"/>
  <c r="D10" i="13"/>
  <c r="H25" i="13"/>
  <c r="G22" i="13"/>
  <c r="G25" i="13" s="1"/>
  <c r="J27" i="13"/>
  <c r="M21" i="13"/>
  <c r="M23" i="13"/>
  <c r="L23" i="13"/>
  <c r="L27" i="13" s="1"/>
  <c r="J28" i="13"/>
  <c r="D33" i="13"/>
  <c r="J44" i="13"/>
  <c r="J50" i="13"/>
  <c r="F18" i="13"/>
  <c r="O27" i="13"/>
  <c r="N30" i="13"/>
  <c r="H18" i="13"/>
  <c r="J30" i="13"/>
  <c r="J35" i="13"/>
  <c r="H41" i="13"/>
  <c r="J41" i="13" s="1"/>
  <c r="M46" i="13"/>
  <c r="N41" i="13" l="1"/>
  <c r="N38" i="13"/>
  <c r="D34" i="13"/>
  <c r="E33" i="13"/>
  <c r="M27" i="13"/>
  <c r="M29" i="13" s="1"/>
  <c r="J29" i="13"/>
  <c r="J31" i="13" s="1"/>
  <c r="D36" i="13"/>
  <c r="D38" i="13" s="1"/>
  <c r="D40" i="13" s="1"/>
  <c r="C18" i="13"/>
  <c r="C25" i="13" s="1"/>
  <c r="M30" i="13"/>
  <c r="C22" i="13"/>
  <c r="G16" i="13"/>
  <c r="G15" i="13"/>
  <c r="I15" i="13" s="1"/>
  <c r="L15" i="13" s="1"/>
  <c r="G14" i="13"/>
  <c r="G13" i="13"/>
  <c r="G12" i="13"/>
  <c r="G11" i="13"/>
  <c r="G10" i="13"/>
  <c r="G9" i="13"/>
  <c r="G8" i="13"/>
  <c r="G7" i="13"/>
  <c r="G6" i="13"/>
  <c r="G17" i="13" s="1"/>
  <c r="C21" i="13"/>
  <c r="B17" i="13"/>
  <c r="M11" i="13"/>
  <c r="L11" i="13"/>
  <c r="D11" i="13"/>
  <c r="M12" i="13"/>
  <c r="L12" i="13"/>
  <c r="D12" i="13"/>
  <c r="M13" i="13"/>
  <c r="L13" i="13"/>
  <c r="D13" i="13"/>
  <c r="M14" i="13"/>
  <c r="D14" i="13"/>
  <c r="L14" i="13" s="1"/>
  <c r="M15" i="13"/>
  <c r="D15" i="13"/>
  <c r="H56" i="13"/>
  <c r="J56" i="13" s="1"/>
  <c r="N37" i="13"/>
  <c r="N44" i="13"/>
  <c r="N42" i="13"/>
  <c r="N40" i="13"/>
  <c r="N39" i="13"/>
  <c r="N43" i="13"/>
  <c r="N26" i="13"/>
  <c r="N23" i="13"/>
  <c r="N22" i="13"/>
  <c r="N25" i="13"/>
  <c r="N24" i="13"/>
  <c r="N21" i="13"/>
  <c r="D17" i="13" l="1"/>
  <c r="D18" i="13" s="1"/>
  <c r="C24" i="13"/>
  <c r="B18" i="13"/>
  <c r="J5" i="13"/>
  <c r="G18" i="13"/>
  <c r="I9" i="13"/>
  <c r="I11" i="13"/>
  <c r="I12" i="13"/>
  <c r="I13" i="13"/>
  <c r="I14" i="13"/>
  <c r="I10" i="13"/>
  <c r="I8" i="13"/>
  <c r="I7" i="13"/>
  <c r="I6" i="13"/>
  <c r="I5" i="13"/>
  <c r="M16" i="13"/>
  <c r="M17" i="13" s="1"/>
  <c r="L16" i="13"/>
  <c r="L17" i="13" s="1"/>
  <c r="L18" i="13" s="1"/>
  <c r="M18" i="13" s="1"/>
  <c r="I16" i="13"/>
  <c r="D24" i="13"/>
  <c r="C23" i="13"/>
  <c r="D23" i="13" s="1"/>
  <c r="D22" i="13"/>
  <c r="M31" i="13"/>
  <c r="N28" i="13"/>
  <c r="D25" i="13"/>
  <c r="M36" i="13"/>
  <c r="N27" i="13"/>
  <c r="N29" i="13" s="1"/>
  <c r="I17" i="13" l="1"/>
  <c r="I18" i="13" s="1"/>
  <c r="J6" i="13"/>
  <c r="K5" i="13"/>
  <c r="M45" i="13"/>
  <c r="M47" i="13" s="1"/>
  <c r="N36" i="13"/>
  <c r="N45" i="13" s="1"/>
  <c r="N46" i="13" s="1"/>
  <c r="J7" i="13" l="1"/>
  <c r="K6" i="13"/>
  <c r="J8" i="13" l="1"/>
  <c r="K7" i="13"/>
  <c r="J9" i="13" l="1"/>
  <c r="K8" i="13"/>
  <c r="J10" i="13" l="1"/>
  <c r="K9" i="13"/>
  <c r="K10" i="13" l="1"/>
  <c r="J11" i="13"/>
  <c r="J12" i="13" l="1"/>
  <c r="K11" i="13"/>
  <c r="K12" i="13" l="1"/>
  <c r="J13" i="13"/>
  <c r="J14" i="13" l="1"/>
  <c r="K13" i="13"/>
  <c r="K17" i="13" s="1"/>
  <c r="K18" i="13" s="1"/>
  <c r="K14" i="13" l="1"/>
  <c r="J15" i="13"/>
  <c r="J17" i="13" l="1"/>
  <c r="J18" i="13" s="1"/>
  <c r="J16" i="13"/>
  <c r="K16" i="13" s="1"/>
  <c r="K15" i="13"/>
</calcChain>
</file>

<file path=xl/sharedStrings.xml><?xml version="1.0" encoding="utf-8"?>
<sst xmlns="http://schemas.openxmlformats.org/spreadsheetml/2006/main" count="118" uniqueCount="82">
  <si>
    <t>MENU PRINCIPAL</t>
  </si>
  <si>
    <t>DEMONSTRATIVO</t>
  </si>
  <si>
    <t>META ANUAL</t>
  </si>
  <si>
    <t xml:space="preserve">                             JS ADVOGADOS - PROJETO 2025</t>
  </si>
  <si>
    <t>META MENSAL</t>
  </si>
  <si>
    <t>CUMPRIDO</t>
  </si>
  <si>
    <t>PERCENTUAL</t>
  </si>
  <si>
    <t>A CUMPRIR</t>
  </si>
  <si>
    <t>DESEMP. MÉD. MÊS</t>
  </si>
  <si>
    <t>RESULTADO</t>
  </si>
  <si>
    <t>JANEIRO</t>
  </si>
  <si>
    <t>META MÊS CUMPRIDA</t>
  </si>
  <si>
    <t>FEVEREIRO</t>
  </si>
  <si>
    <t>META MÊS NÃO CUMPR.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</si>
  <si>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</si>
  <si>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</si>
  <si>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</si>
  <si>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</si>
  <si>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</si>
  <si>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</si>
  <si>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</si>
  <si>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</si>
  <si>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</si>
  <si>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</si>
  <si>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</si>
  <si>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MÉDIA MENSAL</t>
  </si>
  <si>
    <t>RENDA MÍNIMA</t>
  </si>
  <si>
    <t>PARCEIRO</t>
  </si>
  <si>
    <t>RENDA LIQUIDA</t>
  </si>
  <si>
    <t>RESERVA JS ADVOGADOS</t>
  </si>
  <si>
    <t>ACUMULADO</t>
  </si>
  <si>
    <t>EXPECTATIVA</t>
  </si>
  <si>
    <t>REC. LIQUIDA</t>
  </si>
  <si>
    <t>RECEBIDO</t>
  </si>
  <si>
    <t>SUPERÁVIT</t>
  </si>
  <si>
    <t>REPASSES PARCEIROS</t>
  </si>
  <si>
    <t>SALDO REPASSES</t>
  </si>
  <si>
    <t>SIMONE ROSSI</t>
  </si>
  <si>
    <t>PROBABILIDADE</t>
  </si>
  <si>
    <t>RESULTADO MÊS</t>
  </si>
  <si>
    <t>PARCEIROS EXTERNOS</t>
  </si>
  <si>
    <t xml:space="preserve">DEMONSTRATIVO GERAL </t>
  </si>
  <si>
    <t>SUBTOTAL</t>
  </si>
  <si>
    <t>DESPESAS</t>
  </si>
  <si>
    <t xml:space="preserve"> PAGAS</t>
  </si>
  <si>
    <t xml:space="preserve"> A PAGAR</t>
  </si>
  <si>
    <t>TOTAL GERAL</t>
  </si>
  <si>
    <t>SUBTOTAL 1</t>
  </si>
  <si>
    <t>REALIZADOS</t>
  </si>
  <si>
    <t>CONFERENCIA</t>
  </si>
  <si>
    <t>A REALIZAR</t>
  </si>
  <si>
    <t>SUBTOTAL 2</t>
  </si>
  <si>
    <t>TOTAL SAÍDAS (1+2)</t>
  </si>
  <si>
    <t>PREVISTO</t>
  </si>
  <si>
    <t>RECEITAS</t>
  </si>
  <si>
    <t xml:space="preserve"> ÁREAS DE AT. JURÍDICA</t>
  </si>
  <si>
    <t>VALOR RECEBIDO</t>
  </si>
  <si>
    <t>RESULTADO LIQUIDO</t>
  </si>
  <si>
    <t>RECEITA X DESPESAS</t>
  </si>
  <si>
    <t>CIVEL</t>
  </si>
  <si>
    <t>SALDO ANTERIOR</t>
  </si>
  <si>
    <t>PREVIDENCIÁRIO</t>
  </si>
  <si>
    <t>SALDO ACUMULADO</t>
  </si>
  <si>
    <t>FAMILIA</t>
  </si>
  <si>
    <t>RESERVA JS PJ</t>
  </si>
  <si>
    <t>SUCESSÕES</t>
  </si>
  <si>
    <t xml:space="preserve">RESULTADO </t>
  </si>
  <si>
    <t>SALDO REMANESCENTE</t>
  </si>
  <si>
    <t xml:space="preserve"> EMPRES / TRIBUTÁRIO</t>
  </si>
  <si>
    <t>REURB Q.D</t>
  </si>
  <si>
    <t>SALDO A PAGAR</t>
  </si>
  <si>
    <t>TRABALHISTA</t>
  </si>
  <si>
    <t>RACHADINHA</t>
  </si>
  <si>
    <t>EXTRAJUDICIAL</t>
  </si>
  <si>
    <t>CRIMINAL</t>
  </si>
  <si>
    <t>RESERVA RACHADINHA</t>
  </si>
  <si>
    <t>RECEITA BRUTA</t>
  </si>
  <si>
    <t>Conferência</t>
  </si>
  <si>
    <t xml:space="preserve">ESCRITÓRIO </t>
  </si>
  <si>
    <t>RESERVA ESCRITÓRIO</t>
  </si>
  <si>
    <t>SOMATÓRIA GERAL</t>
  </si>
  <si>
    <t>TOTAL RECEBIDO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</si>
</sst>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5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theme="0" tint="-4.9989318521683403E-2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theme="7"/>
        <bgColor indexed="64"/>
      </patternFill>
    </fill>
    <fill>
      <gradientFill degree="90">
        <stop position="0">
          <color theme="8"/>
        </stop>
        <stop position="0.5">
          <color theme="1"/>
        </stop>
        <stop position="1">
          <color theme="8"/>
        </stop>
      </gradient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CC00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7600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2" applyFont="1" applyFill="1"/>
    <xf numFmtId="0" fontId="2" fillId="3" borderId="0" xfId="2" applyFill="1"/>
    <xf numFmtId="164" fontId="3" fillId="4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0" fontId="6" fillId="7" borderId="1" xfId="0" applyNumberFormat="1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/>
    </xf>
    <xf numFmtId="164" fontId="6" fillId="14" borderId="1" xfId="0" applyNumberFormat="1" applyFont="1" applyFill="1" applyBorder="1" applyAlignment="1">
      <alignment horizontal="center"/>
    </xf>
    <xf numFmtId="10" fontId="6" fillId="14" borderId="1" xfId="0" applyNumberFormat="1" applyFont="1" applyFill="1" applyBorder="1" applyAlignment="1">
      <alignment horizontal="center"/>
    </xf>
    <xf numFmtId="164" fontId="6" fillId="15" borderId="1" xfId="0" applyNumberFormat="1" applyFont="1" applyFill="1" applyBorder="1" applyAlignment="1">
      <alignment horizontal="center"/>
    </xf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8" borderId="1" xfId="0" applyNumberFormat="1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10" fontId="5" fillId="20" borderId="1" xfId="0" applyNumberFormat="1" applyFont="1" applyFill="1" applyBorder="1" applyAlignment="1">
      <alignment horizontal="center"/>
    </xf>
    <xf numFmtId="10" fontId="5" fillId="20" borderId="1" xfId="1" applyNumberFormat="1" applyFont="1" applyFill="1" applyBorder="1" applyAlignment="1">
      <alignment horizontal="center"/>
    </xf>
    <xf numFmtId="164" fontId="5" fillId="20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19" borderId="1" xfId="0" applyFont="1" applyFill="1" applyBorder="1" applyAlignment="1">
      <alignment horizontal="center"/>
    </xf>
    <xf numFmtId="164" fontId="7" fillId="19" borderId="1" xfId="0" applyNumberFormat="1" applyFont="1" applyFill="1" applyBorder="1" applyAlignment="1">
      <alignment horizontal="center"/>
    </xf>
    <xf numFmtId="164" fontId="6" fillId="18" borderId="0" xfId="0" applyNumberFormat="1" applyFont="1" applyFill="1" applyAlignment="1">
      <alignment horizontal="center"/>
    </xf>
    <xf numFmtId="10" fontId="6" fillId="18" borderId="0" xfId="1" applyNumberFormat="1" applyFont="1" applyFill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7" fillId="18" borderId="1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0" fontId="6" fillId="6" borderId="0" xfId="1" applyNumberFormat="1" applyFont="1" applyFill="1" applyAlignment="1">
      <alignment horizontal="center"/>
    </xf>
    <xf numFmtId="0" fontId="9" fillId="21" borderId="1" xfId="0" applyFont="1" applyFill="1" applyBorder="1" applyAlignment="1">
      <alignment horizontal="center"/>
    </xf>
    <xf numFmtId="164" fontId="9" fillId="21" borderId="1" xfId="0" applyNumberFormat="1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0" fontId="5" fillId="22" borderId="0" xfId="0" applyFont="1" applyFill="1" applyAlignment="1">
      <alignment horizontal="center"/>
    </xf>
    <xf numFmtId="164" fontId="5" fillId="22" borderId="0" xfId="0" applyNumberFormat="1" applyFont="1" applyFill="1" applyAlignment="1">
      <alignment horizontal="center"/>
    </xf>
    <xf numFmtId="10" fontId="5" fillId="22" borderId="0" xfId="1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6" fillId="23" borderId="0" xfId="0" applyNumberFormat="1" applyFont="1" applyFill="1" applyAlignment="1">
      <alignment horizontal="center"/>
    </xf>
    <xf numFmtId="10" fontId="6" fillId="23" borderId="0" xfId="0" applyNumberFormat="1" applyFont="1" applyFill="1" applyAlignment="1">
      <alignment horizontal="center"/>
    </xf>
    <xf numFmtId="0" fontId="9" fillId="24" borderId="1" xfId="0" applyFont="1" applyFill="1" applyBorder="1" applyAlignment="1">
      <alignment horizontal="center"/>
    </xf>
    <xf numFmtId="164" fontId="9" fillId="25" borderId="1" xfId="0" applyNumberFormat="1" applyFont="1" applyFill="1" applyBorder="1" applyAlignment="1">
      <alignment horizontal="center"/>
    </xf>
    <xf numFmtId="0" fontId="0" fillId="7" borderId="0" xfId="0" applyFill="1"/>
    <xf numFmtId="0" fontId="11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64" fontId="0" fillId="7" borderId="0" xfId="0" applyNumberFormat="1" applyFill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6" borderId="0" xfId="0" applyFill="1"/>
    <xf numFmtId="164" fontId="8" fillId="6" borderId="1" xfId="0" applyNumberFormat="1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center"/>
    </xf>
    <xf numFmtId="10" fontId="0" fillId="26" borderId="1" xfId="1" applyNumberFormat="1" applyFont="1" applyFill="1" applyBorder="1" applyAlignment="1">
      <alignment horizontal="center"/>
    </xf>
    <xf numFmtId="164" fontId="0" fillId="26" borderId="1" xfId="1" applyNumberFormat="1" applyFont="1" applyFill="1" applyBorder="1" applyAlignment="1">
      <alignment horizontal="center"/>
    </xf>
    <xf numFmtId="0" fontId="0" fillId="24" borderId="1" xfId="0" applyFill="1" applyBorder="1"/>
    <xf numFmtId="0" fontId="11" fillId="24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>
      <alignment horizontal="center"/>
    </xf>
    <xf numFmtId="0" fontId="11" fillId="28" borderId="1" xfId="0" applyFont="1" applyFill="1" applyBorder="1" applyAlignment="1">
      <alignment horizontal="left"/>
    </xf>
    <xf numFmtId="164" fontId="8" fillId="28" borderId="1" xfId="0" applyNumberFormat="1" applyFon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2" fillId="30" borderId="1" xfId="0" applyFont="1" applyFill="1" applyBorder="1" applyAlignment="1">
      <alignment horizontal="left"/>
    </xf>
    <xf numFmtId="164" fontId="12" fillId="30" borderId="1" xfId="0" applyNumberFormat="1" applyFont="1" applyFill="1" applyBorder="1" applyAlignment="1">
      <alignment horizontal="center"/>
    </xf>
    <xf numFmtId="164" fontId="0" fillId="29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164" fontId="0" fillId="31" borderId="1" xfId="0" applyNumberFormat="1" applyFill="1" applyBorder="1" applyAlignment="1">
      <alignment horizontal="center"/>
    </xf>
    <xf numFmtId="0" fontId="8" fillId="24" borderId="1" xfId="0" applyFont="1" applyFill="1" applyBorder="1" applyAlignment="1">
      <alignment horizontal="left"/>
    </xf>
    <xf numFmtId="164" fontId="7" fillId="24" borderId="1" xfId="0" applyNumberFormat="1" applyFont="1" applyFill="1" applyBorder="1" applyAlignment="1">
      <alignment horizontal="center"/>
    </xf>
    <xf numFmtId="164" fontId="5" fillId="32" borderId="2" xfId="0" applyNumberFormat="1" applyFont="1" applyFill="1" applyBorder="1" applyAlignment="1">
      <alignment horizontal="center"/>
    </xf>
    <xf numFmtId="10" fontId="12" fillId="32" borderId="1" xfId="1" applyNumberFormat="1" applyFont="1" applyFill="1" applyBorder="1" applyAlignment="1">
      <alignment horizontal="center"/>
    </xf>
    <xf numFmtId="164" fontId="12" fillId="32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5" fillId="33" borderId="2" xfId="0" applyNumberFormat="1" applyFont="1" applyFill="1" applyBorder="1" applyAlignment="1">
      <alignment horizontal="center"/>
    </xf>
    <xf numFmtId="10" fontId="12" fillId="34" borderId="1" xfId="1" applyNumberFormat="1" applyFont="1" applyFill="1" applyBorder="1" applyAlignment="1">
      <alignment horizontal="center"/>
    </xf>
    <xf numFmtId="164" fontId="12" fillId="34" borderId="0" xfId="0" applyNumberFormat="1" applyFont="1" applyFill="1" applyAlignment="1">
      <alignment horizontal="center"/>
    </xf>
    <xf numFmtId="0" fontId="0" fillId="31" borderId="1" xfId="0" applyFill="1" applyBorder="1" applyAlignment="1">
      <alignment horizontal="center"/>
    </xf>
    <xf numFmtId="164" fontId="0" fillId="31" borderId="0" xfId="0" applyNumberFormat="1" applyFill="1" applyAlignment="1">
      <alignment horizontal="center"/>
    </xf>
    <xf numFmtId="164" fontId="3" fillId="35" borderId="2" xfId="0" applyNumberFormat="1" applyFont="1" applyFill="1" applyBorder="1" applyAlignment="1">
      <alignment horizontal="center" vertical="center"/>
    </xf>
    <xf numFmtId="10" fontId="13" fillId="36" borderId="1" xfId="1" applyNumberFormat="1" applyFont="1" applyFill="1" applyBorder="1" applyAlignment="1">
      <alignment horizontal="center"/>
    </xf>
    <xf numFmtId="164" fontId="12" fillId="36" borderId="0" xfId="0" applyNumberFormat="1" applyFont="1" applyFill="1" applyAlignment="1">
      <alignment horizontal="center"/>
    </xf>
    <xf numFmtId="0" fontId="0" fillId="37" borderId="0" xfId="0" applyFill="1"/>
    <xf numFmtId="0" fontId="7" fillId="6" borderId="2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5" fillId="4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10" fontId="6" fillId="21" borderId="1" xfId="1" applyNumberFormat="1" applyFont="1" applyFill="1" applyBorder="1" applyAlignment="1">
      <alignment horizontal="center"/>
    </xf>
    <xf numFmtId="10" fontId="6" fillId="6" borderId="1" xfId="1" applyNumberFormat="1" applyFont="1" applyFill="1" applyBorder="1" applyAlignment="1">
      <alignment horizontal="center"/>
    </xf>
    <xf numFmtId="10" fontId="6" fillId="21" borderId="1" xfId="0" applyNumberFormat="1" applyFont="1" applyFill="1" applyBorder="1" applyAlignment="1">
      <alignment horizontal="center"/>
    </xf>
    <xf numFmtId="10" fontId="6" fillId="7" borderId="1" xfId="1" applyNumberFormat="1" applyFont="1" applyFill="1" applyBorder="1" applyAlignment="1">
      <alignment horizontal="center"/>
    </xf>
    <xf numFmtId="10" fontId="6" fillId="15" borderId="1" xfId="0" applyNumberFormat="1" applyFont="1" applyFill="1" applyBorder="1" applyAlignment="1">
      <alignment horizontal="center"/>
    </xf>
    <xf numFmtId="10" fontId="6" fillId="15" borderId="1" xfId="1" applyNumberFormat="1" applyFont="1" applyFill="1" applyBorder="1" applyAlignment="1">
      <alignment horizontal="center"/>
    </xf>
    <xf numFmtId="10" fontId="5" fillId="20" borderId="5" xfId="1" applyNumberFormat="1" applyFont="1" applyFill="1" applyBorder="1" applyAlignment="1">
      <alignment horizontal="center"/>
    </xf>
    <xf numFmtId="164" fontId="5" fillId="20" borderId="5" xfId="1" applyNumberFormat="1" applyFont="1" applyFill="1" applyBorder="1" applyAlignment="1">
      <alignment horizontal="center"/>
    </xf>
    <xf numFmtId="164" fontId="5" fillId="20" borderId="5" xfId="0" applyNumberFormat="1" applyFont="1" applyFill="1" applyBorder="1" applyAlignment="1">
      <alignment horizontal="center"/>
    </xf>
    <xf numFmtId="0" fontId="0" fillId="21" borderId="1" xfId="0" applyFill="1" applyBorder="1" applyAlignment="1">
      <alignment horizontal="left"/>
    </xf>
    <xf numFmtId="164" fontId="0" fillId="18" borderId="1" xfId="0" applyNumberFormat="1" applyFill="1" applyBorder="1" applyAlignment="1">
      <alignment horizontal="center"/>
    </xf>
    <xf numFmtId="0" fontId="7" fillId="31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16" borderId="1" xfId="0" applyFont="1" applyFill="1" applyBorder="1" applyAlignment="1">
      <alignment horizontal="left"/>
    </xf>
    <xf numFmtId="10" fontId="0" fillId="16" borderId="1" xfId="1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left"/>
    </xf>
    <xf numFmtId="10" fontId="0" fillId="11" borderId="1" xfId="1" applyNumberFormat="1" applyFont="1" applyFill="1" applyBorder="1" applyAlignment="1">
      <alignment horizontal="center"/>
    </xf>
    <xf numFmtId="0" fontId="6" fillId="38" borderId="1" xfId="0" applyFont="1" applyFill="1" applyBorder="1" applyAlignment="1">
      <alignment horizontal="left"/>
    </xf>
    <xf numFmtId="164" fontId="6" fillId="38" borderId="1" xfId="0" applyNumberFormat="1" applyFont="1" applyFill="1" applyBorder="1" applyAlignment="1">
      <alignment horizontal="center"/>
    </xf>
    <xf numFmtId="10" fontId="0" fillId="38" borderId="1" xfId="1" applyNumberFormat="1" applyFont="1" applyFill="1" applyBorder="1" applyAlignment="1">
      <alignment horizontal="center"/>
    </xf>
    <xf numFmtId="0" fontId="0" fillId="39" borderId="1" xfId="0" applyFill="1" applyBorder="1"/>
    <xf numFmtId="164" fontId="0" fillId="39" borderId="1" xfId="0" applyNumberFormat="1" applyFill="1" applyBorder="1" applyAlignment="1">
      <alignment horizontal="center"/>
    </xf>
    <xf numFmtId="10" fontId="0" fillId="39" borderId="1" xfId="1" applyNumberFormat="1" applyFont="1" applyFill="1" applyBorder="1" applyAlignment="1">
      <alignment horizontal="center"/>
    </xf>
    <xf numFmtId="0" fontId="5" fillId="22" borderId="1" xfId="0" applyFont="1" applyFill="1" applyBorder="1" applyAlignment="1">
      <alignment horizontal="left"/>
    </xf>
    <xf numFmtId="164" fontId="5" fillId="22" borderId="1" xfId="0" applyNumberFormat="1" applyFont="1" applyFill="1" applyBorder="1" applyAlignment="1">
      <alignment horizontal="center"/>
    </xf>
    <xf numFmtId="10" fontId="12" fillId="22" borderId="1" xfId="1" applyNumberFormat="1" applyFont="1" applyFill="1" applyBorder="1" applyAlignment="1">
      <alignment horizontal="center"/>
    </xf>
    <xf numFmtId="0" fontId="0" fillId="40" borderId="1" xfId="0" applyFill="1" applyBorder="1" applyAlignment="1">
      <alignment horizontal="left"/>
    </xf>
    <xf numFmtId="164" fontId="0" fillId="40" borderId="1" xfId="0" applyNumberFormat="1" applyFill="1" applyBorder="1" applyAlignment="1">
      <alignment horizontal="center"/>
    </xf>
    <xf numFmtId="10" fontId="0" fillId="40" borderId="1" xfId="1" applyNumberFormat="1" applyFont="1" applyFill="1" applyBorder="1" applyAlignment="1">
      <alignment horizontal="center"/>
    </xf>
    <xf numFmtId="0" fontId="0" fillId="26" borderId="1" xfId="0" applyFill="1" applyBorder="1"/>
    <xf numFmtId="164" fontId="0" fillId="26" borderId="1" xfId="0" applyNumberFormat="1" applyFill="1" applyBorder="1" applyAlignment="1">
      <alignment horizontal="center"/>
    </xf>
    <xf numFmtId="10" fontId="0" fillId="7" borderId="0" xfId="1" applyNumberFormat="1" applyFont="1" applyFill="1" applyAlignment="1">
      <alignment horizontal="center"/>
    </xf>
    <xf numFmtId="0" fontId="12" fillId="25" borderId="0" xfId="0" applyFont="1" applyFill="1"/>
    <xf numFmtId="164" fontId="12" fillId="25" borderId="0" xfId="0" applyNumberFormat="1" applyFont="1" applyFill="1" applyAlignment="1">
      <alignment horizontal="center"/>
    </xf>
    <xf numFmtId="10" fontId="12" fillId="25" borderId="0" xfId="1" applyNumberFormat="1" applyFont="1" applyFill="1" applyAlignment="1">
      <alignment horizontal="center"/>
    </xf>
    <xf numFmtId="164" fontId="0" fillId="6" borderId="1" xfId="0" applyNumberFormat="1" applyFill="1" applyBorder="1"/>
    <xf numFmtId="0" fontId="0" fillId="41" borderId="1" xfId="0" applyFill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164" fontId="0" fillId="42" borderId="0" xfId="0" applyNumberFormat="1" applyFill="1" applyAlignment="1">
      <alignment horizontal="center"/>
    </xf>
    <xf numFmtId="0" fontId="0" fillId="18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164" fontId="0" fillId="43" borderId="0" xfId="0" applyNumberForma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0" fillId="44" borderId="1" xfId="0" applyNumberForma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0" fontId="6" fillId="11" borderId="1" xfId="1" applyNumberFormat="1" applyFont="1" applyFill="1" applyBorder="1" applyAlignment="1">
      <alignment horizontal="center"/>
    </xf>
    <xf numFmtId="164" fontId="11" fillId="45" borderId="1" xfId="0" applyNumberFormat="1" applyFont="1" applyFill="1" applyBorder="1" applyAlignment="1">
      <alignment horizontal="center"/>
    </xf>
    <xf numFmtId="10" fontId="6" fillId="45" borderId="1" xfId="1" applyNumberFormat="1" applyFont="1" applyFill="1" applyBorder="1" applyAlignment="1">
      <alignment horizontal="center"/>
    </xf>
    <xf numFmtId="164" fontId="0" fillId="29" borderId="4" xfId="0" applyNumberFormat="1" applyFill="1" applyBorder="1" applyAlignment="1">
      <alignment horizontal="center"/>
    </xf>
    <xf numFmtId="10" fontId="6" fillId="18" borderId="1" xfId="1" applyNumberFormat="1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10" fontId="5" fillId="32" borderId="1" xfId="1" applyNumberFormat="1" applyFont="1" applyFill="1" applyBorder="1" applyAlignment="1">
      <alignment horizontal="center"/>
    </xf>
    <xf numFmtId="164" fontId="6" fillId="46" borderId="1" xfId="0" applyNumberFormat="1" applyFont="1" applyFill="1" applyBorder="1" applyAlignment="1">
      <alignment horizontal="center" vertical="center" wrapText="1"/>
    </xf>
    <xf numFmtId="164" fontId="6" fillId="46" borderId="1" xfId="0" applyNumberFormat="1" applyFont="1" applyFill="1" applyBorder="1" applyAlignment="1">
      <alignment horizontal="center"/>
    </xf>
    <xf numFmtId="10" fontId="6" fillId="46" borderId="1" xfId="1" applyNumberFormat="1" applyFont="1" applyFill="1" applyBorder="1" applyAlignment="1">
      <alignment horizontal="center"/>
    </xf>
    <xf numFmtId="164" fontId="12" fillId="32" borderId="1" xfId="0" applyNumberFormat="1" applyFont="1" applyFill="1" applyBorder="1" applyAlignment="1">
      <alignment horizontal="center"/>
    </xf>
    <xf numFmtId="164" fontId="12" fillId="32" borderId="4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0" fontId="5" fillId="47" borderId="1" xfId="0" applyFont="1" applyFill="1" applyBorder="1" applyAlignment="1">
      <alignment horizontal="center"/>
    </xf>
    <xf numFmtId="164" fontId="5" fillId="47" borderId="1" xfId="0" applyNumberFormat="1" applyFont="1" applyFill="1" applyBorder="1" applyAlignment="1">
      <alignment horizontal="center"/>
    </xf>
    <xf numFmtId="10" fontId="5" fillId="47" borderId="1" xfId="1" applyNumberFormat="1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164" fontId="6" fillId="48" borderId="1" xfId="0" applyNumberFormat="1" applyFont="1" applyFill="1" applyBorder="1" applyAlignment="1">
      <alignment horizontal="center"/>
    </xf>
    <xf numFmtId="10" fontId="6" fillId="48" borderId="1" xfId="1" applyNumberFormat="1" applyFont="1" applyFill="1" applyBorder="1" applyAlignment="1">
      <alignment horizontal="center"/>
    </xf>
    <xf numFmtId="164" fontId="12" fillId="34" borderId="1" xfId="0" applyNumberFormat="1" applyFont="1" applyFill="1" applyBorder="1" applyAlignment="1">
      <alignment horizontal="center"/>
    </xf>
    <xf numFmtId="164" fontId="12" fillId="34" borderId="4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164" fontId="0" fillId="48" borderId="4" xfId="0" applyNumberFormat="1" applyFill="1" applyBorder="1" applyAlignment="1">
      <alignment horizontal="center"/>
    </xf>
    <xf numFmtId="0" fontId="6" fillId="41" borderId="1" xfId="0" applyFont="1" applyFill="1" applyBorder="1"/>
    <xf numFmtId="164" fontId="6" fillId="41" borderId="1" xfId="0" applyNumberFormat="1" applyFont="1" applyFill="1" applyBorder="1" applyAlignment="1">
      <alignment horizontal="center"/>
    </xf>
    <xf numFmtId="9" fontId="6" fillId="41" borderId="1" xfId="1" applyFont="1" applyFill="1" applyBorder="1" applyAlignment="1">
      <alignment horizontal="center"/>
    </xf>
    <xf numFmtId="164" fontId="12" fillId="36" borderId="1" xfId="0" applyNumberFormat="1" applyFont="1" applyFill="1" applyBorder="1" applyAlignment="1">
      <alignment horizontal="center"/>
    </xf>
    <xf numFmtId="164" fontId="12" fillId="36" borderId="4" xfId="0" applyNumberFormat="1" applyFont="1" applyFill="1" applyBorder="1" applyAlignment="1">
      <alignment horizontal="center"/>
    </xf>
    <xf numFmtId="164" fontId="0" fillId="48" borderId="1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4">
    <cellStyle name="Hiperlink" xfId="2" builtinId="8"/>
    <cellStyle name="Moeda 3" xfId="3" xr:uid="{00000000-0005-0000-0000-000031000000}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0066"/>
      <color rgb="FF760000"/>
      <color rgb="FFFFCC00"/>
      <color rgb="FFFF7C80"/>
      <color rgb="FFF8CBAD"/>
      <color rgb="FF00FFCC"/>
      <color rgb="FFCCCC00"/>
      <color rgb="FFFF6600"/>
      <color rgb="FF66FF99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6.1111111111111102E-2"/>
          <c:y val="0.16245370370370399"/>
          <c:w val="0.93888888888888899"/>
          <c:h val="0.5221511373578300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AD9E-4F07-9529-6433FD734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AD9E-4F07-9529-6433FD734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AD9E-4F07-9529-6433FD734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AD9E-4F07-9529-6433FD734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AD9E-4F07-9529-6433FD734D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AD9E-4F07-9529-6433FD734D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AD9E-4F07-9529-6433FD734D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AD9E-4F07-9529-6433FD734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50000"/>
                      <a:lumOff val="50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DEMONSTRATIVO!$L$36:$L$43</c:f>
              <c:strCache>
                <c:ptCount val="8"/>
                <c:pt idx="0">
                  <c:v>CIVEL</c:v>
                </c:pt>
                <c:pt idx="1">
                  <c:v>PREVIDENCIÁRIO</c:v>
                </c:pt>
                <c:pt idx="2">
                  <c:v>FAMILIA</c:v>
                </c:pt>
                <c:pt idx="3">
                  <c:v>SUCESSÕES</c:v>
                </c:pt>
                <c:pt idx="4">
                  <c:v> EMPRES / TRIBUTÁRIO</c:v>
                </c:pt>
                <c:pt idx="5">
                  <c:v>REURB Q.D</c:v>
                </c:pt>
                <c:pt idx="6">
                  <c:v>TRABALHISTA</c:v>
                </c:pt>
                <c:pt idx="7">
                  <c:v>EXTRAJUDICIAL</c:v>
                </c:pt>
              </c:strCache>
            </c:strRef>
          </c:cat>
          <c:val>
            <c:numRef>
              <c:f>DEMONSTRATIVO!$M$36:$M$43</c:f>
              <c:numCache>
                <c:formatCode>"R$"\ #,##0.00</c:formatCode>
                <c:ptCount val="8"/>
                <c:pt idx="0">
                  <c:v>0.62991547999999897</c:v>
                </c:pt>
                <c:pt idx="1">
                  <c:v>1</c:v>
                </c:pt>
                <c:pt idx="2">
                  <c:v>1.62991548</c:v>
                </c:pt>
                <c:pt idx="3">
                  <c:v>1.62991548</c:v>
                </c:pt>
                <c:pt idx="4">
                  <c:v>0</c:v>
                </c:pt>
                <c:pt idx="5">
                  <c:v>0</c:v>
                </c:pt>
                <c:pt idx="6">
                  <c:v>0.31141052147203502</c:v>
                </c:pt>
                <c:pt idx="7">
                  <c:v>0.14627824750725801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9E-4F07-9529-6433FD734D1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2-AD9E-4F07-9529-6433FD734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4-AD9E-4F07-9529-6433FD734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6-AD9E-4F07-9529-6433FD734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8-AD9E-4F07-9529-6433FD734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A-AD9E-4F07-9529-6433FD734D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C-AD9E-4F07-9529-6433FD734D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E-AD9E-4F07-9529-6433FD734D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0-AD9E-4F07-9529-6433FD734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50000"/>
                      <a:lumOff val="50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DEMONSTRATIVO!$L$36:$L$43</c:f>
              <c:strCache>
                <c:ptCount val="8"/>
                <c:pt idx="0">
                  <c:v>CIVEL</c:v>
                </c:pt>
                <c:pt idx="1">
                  <c:v>PREVIDENCIÁRIO</c:v>
                </c:pt>
                <c:pt idx="2">
                  <c:v>FAMILIA</c:v>
                </c:pt>
                <c:pt idx="3">
                  <c:v>SUCESSÕES</c:v>
                </c:pt>
                <c:pt idx="4">
                  <c:v> EMPRES / TRIBUTÁRIO</c:v>
                </c:pt>
                <c:pt idx="5">
                  <c:v>REURB Q.D</c:v>
                </c:pt>
                <c:pt idx="6">
                  <c:v>TRABALHISTA</c:v>
                </c:pt>
                <c:pt idx="7">
                  <c:v>EXTRAJUDICIAL</c:v>
                </c:pt>
              </c:strCache>
            </c:strRef>
          </c:cat>
          <c:val>
            <c:numRef>
              <c:f>DEMONSTRATIVO!$N$36:$N$43</c:f>
              <c:numCache>
                <c:formatCode>0.00%</c:formatCode>
                <c:ptCount val="8"/>
                <c:pt idx="0">
                  <c:v>1.561744618510047E-5</c:v>
                </c:pt>
                <c:pt idx="1">
                  <c:v>2.4792923306314833E-5</c:v>
                </c:pt>
                <c:pt idx="2">
                  <c:v>4.041036949141533E-5</c:v>
                </c:pt>
                <c:pt idx="3">
                  <c:v>4.041036949141533E-5</c:v>
                </c:pt>
                <c:pt idx="4">
                  <c:v>0</c:v>
                </c:pt>
                <c:pt idx="5">
                  <c:v>0</c:v>
                </c:pt>
                <c:pt idx="6">
                  <c:v>7.7207771756356725E-6</c:v>
                </c:pt>
                <c:pt idx="7">
                  <c:v>3.6266653718295868E-6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9E-4F07-9529-6433FD734D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34</xdr:row>
      <xdr:rowOff>114300</xdr:rowOff>
    </xdr:from>
    <xdr:to>
      <xdr:col>4</xdr:col>
      <xdr:colOff>695325</xdr:colOff>
      <xdr:row>40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 flipV="1">
          <a:off x="6219825" y="659130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611937</xdr:colOff>
      <xdr:row>48</xdr:row>
      <xdr:rowOff>111067</xdr:rowOff>
    </xdr:from>
    <xdr:to>
      <xdr:col>14</xdr:col>
      <xdr:colOff>726956</xdr:colOff>
      <xdr:row>63</xdr:row>
      <xdr:rowOff>23725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3/Receitas/12%20-%20Dezembro%20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JS%20Advogados\FINANCEIRO\2024\MATRIZ\05%20-%20MAIO\1%20-%20GER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%20-%20DESPESA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MATRIZ/05%20-%20MAIO/1%20-%20G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MENU\2024\01%20-%20JANEIRO\1%20-%20JANEIRO%20PLANILHA%20COMPLE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4\01%20-%20JANEIRO\1%20-%20JANEIRO%20PLANILHA%20COMPLE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03%20-%20MAR&#199;O\MAR&#199;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4\04%20-%20ABRIL\ABRI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FINANCEIRO\2024\MATRIZ\05%20-%20MAIO\2%20-%20RECEITAS.xlsx" TargetMode="External"/><Relationship Id="rId1" Type="http://schemas.openxmlformats.org/officeDocument/2006/relationships/externalLinkPath" Target="/FINANCEIRO/2024/MATRIZ/05%20-%20MAIO/2%20-%20RECEITA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4\MATRIZ\05%20-%20MAIO\DESPES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FINANCEIRO\2024\MATRIZ\06%20-%20JUNHO\3%20-%20RECEITAS.xlsx" TargetMode="External"/><Relationship Id="rId1" Type="http://schemas.openxmlformats.org/officeDocument/2006/relationships/externalLinkPath" Target="3%20-%20RECEITA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FINANCEIRO\2024\MATRIZ\06%20-%20JUNHO\4%20-%20PARCEIROS.xlsx" TargetMode="External"/><Relationship Id="rId1" Type="http://schemas.openxmlformats.org/officeDocument/2006/relationships/externalLinkPath" Target="4%20-%20PARCEI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9">
          <cell r="C69" t="str">
            <v>JOSÉ GERALDO MOREIRA MARCONDES</v>
          </cell>
        </row>
      </sheetData>
      <sheetData sheetId="10"/>
      <sheetData sheetId="11">
        <row r="128">
          <cell r="H128" t="str">
            <v xml:space="preserve">CAPTAÇÃO  </v>
          </cell>
          <cell r="I128" t="str">
            <v>ATUAÇÃO TÉCNICA</v>
          </cell>
        </row>
        <row r="155">
          <cell r="J155" t="str">
            <v>RECEITA</v>
          </cell>
          <cell r="K155" t="str">
            <v>PERCENTUAL</v>
          </cell>
          <cell r="L155" t="str">
            <v>DESPESAS</v>
          </cell>
          <cell r="M155" t="str">
            <v>LIQUIDO</v>
          </cell>
          <cell r="N155" t="str">
            <v>DESAFIO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/>
      <sheetData sheetId="1"/>
      <sheetData sheetId="2"/>
      <sheetData sheetId="3">
        <row r="20">
          <cell r="M20">
            <v>125907.844513887</v>
          </cell>
        </row>
        <row r="21">
          <cell r="M21">
            <v>52557.330013886101</v>
          </cell>
        </row>
        <row r="22">
          <cell r="M22">
            <v>34379.478347219301</v>
          </cell>
        </row>
        <row r="23">
          <cell r="M23">
            <v>2193.28666666667</v>
          </cell>
        </row>
        <row r="24">
          <cell r="M24">
            <v>27374.424541663699</v>
          </cell>
        </row>
        <row r="26">
          <cell r="M26">
            <v>3318.25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PESAS"/>
      <sheetName val="DESP. FIXAS"/>
      <sheetName val="DESP. VARIÁVEIS"/>
      <sheetName val="AUXÍLIOS"/>
      <sheetName val="RESSARCIMENTOS"/>
    </sheetNames>
    <sheetDataSet>
      <sheetData sheetId="0">
        <row r="6">
          <cell r="C6">
            <v>10292.42225</v>
          </cell>
          <cell r="D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</sheetData>
      <sheetData sheetId="1"/>
      <sheetData sheetId="2"/>
      <sheetData sheetId="3">
        <row r="17">
          <cell r="C17">
            <v>367144.78</v>
          </cell>
        </row>
        <row r="40">
          <cell r="D40">
            <v>55594.281100011503</v>
          </cell>
        </row>
      </sheetData>
      <sheetData sheetId="4">
        <row r="4">
          <cell r="N4">
            <v>-137.118736112536</v>
          </cell>
        </row>
      </sheetData>
      <sheetData sheetId="5">
        <row r="4">
          <cell r="N4">
            <v>-24.527236112495299</v>
          </cell>
        </row>
      </sheetData>
      <sheetData sheetId="6">
        <row r="4">
          <cell r="N4">
            <v>-4.3688694458614901</v>
          </cell>
        </row>
      </sheetData>
      <sheetData sheetId="7">
        <row r="4">
          <cell r="N4">
            <v>-6.7133333333299596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RECEITAS"/>
      <sheetName val="DESPESAS"/>
      <sheetName val="DEMONSTRATIVO"/>
      <sheetName val="ESCRITÓRI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/>
      <sheetData sheetId="1"/>
      <sheetData sheetId="2"/>
      <sheetData sheetId="3">
        <row r="4">
          <cell r="D4">
            <v>59834.32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"/>
      <sheetName val="DEMONSTRATIV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/>
      <sheetData sheetId="1">
        <row r="75">
          <cell r="I75" t="str">
            <v>TOTAL RECEBIDO</v>
          </cell>
        </row>
      </sheetData>
      <sheetData sheetId="2">
        <row r="60">
          <cell r="D60">
            <v>11328.827600000001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OGADOS"/>
      <sheetName val="DEMONSTRATIV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>
        <row r="1">
          <cell r="A1" t="str">
            <v>MENU PRINCIPAL</v>
          </cell>
        </row>
      </sheetData>
      <sheetData sheetId="1">
        <row r="3">
          <cell r="L3">
            <v>0.1</v>
          </cell>
          <cell r="N3">
            <v>0.33329999999999999</v>
          </cell>
          <cell r="O3">
            <v>0.23330000000000001</v>
          </cell>
          <cell r="P3">
            <v>0.33329999999999999</v>
          </cell>
        </row>
        <row r="85">
          <cell r="P85">
            <v>500</v>
          </cell>
        </row>
      </sheetData>
      <sheetData sheetId="2" refreshError="1"/>
      <sheetData sheetId="3">
        <row r="10">
          <cell r="D10">
            <v>6965.7331500000018</v>
          </cell>
        </row>
      </sheetData>
      <sheetData sheetId="4">
        <row r="3">
          <cell r="H3">
            <v>2500</v>
          </cell>
        </row>
      </sheetData>
      <sheetData sheetId="5">
        <row r="5">
          <cell r="F5">
            <v>13515.39725</v>
          </cell>
          <cell r="I5">
            <v>37896.69</v>
          </cell>
        </row>
        <row r="6">
          <cell r="F6">
            <v>11071.871999999999</v>
          </cell>
          <cell r="I6">
            <v>36698.480000000003</v>
          </cell>
        </row>
      </sheetData>
      <sheetData sheetId="6">
        <row r="4">
          <cell r="G4">
            <v>6433.8657916666652</v>
          </cell>
        </row>
      </sheetData>
      <sheetData sheetId="7">
        <row r="4">
          <cell r="G4">
            <v>6784.0649583333325</v>
          </cell>
        </row>
      </sheetData>
      <sheetData sheetId="8">
        <row r="4">
          <cell r="G4">
            <v>4028.6823250000011</v>
          </cell>
        </row>
      </sheetData>
      <sheetData sheetId="9">
        <row r="4">
          <cell r="G4">
            <v>6374.2885416666686</v>
          </cell>
        </row>
      </sheetData>
      <sheetData sheetId="10" refreshError="1"/>
      <sheetData sheetId="11" refreshError="1"/>
      <sheetData sheetId="12">
        <row r="4">
          <cell r="H4">
            <v>2.5746666666665305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"/>
      <sheetName val="DEMONSTRATIVO"/>
      <sheetName val="J.S"/>
      <sheetName val="JÉTER"/>
      <sheetName val="ELOÍZA"/>
      <sheetName val="CRISTIANO"/>
      <sheetName val="EDUARDO"/>
      <sheetName val="RAIMUNDO"/>
      <sheetName val="LORRAINE"/>
      <sheetName val="ALEXANDRE"/>
      <sheetName val="RE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E8">
            <v>14051.877500000001</v>
          </cell>
          <cell r="H8">
            <v>171817.1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EITAS"/>
      <sheetName val="PREVIDENCIÁRIO"/>
      <sheetName val="SUCESSÕES"/>
      <sheetName val="CÍVEL"/>
      <sheetName val="FAMÍLIA"/>
      <sheetName val="TRABALHISTA"/>
      <sheetName val="CRIMINAL"/>
      <sheetName val="REURB Q.D"/>
      <sheetName val="EMPR-TRIBUT"/>
      <sheetName val="EXTRAJUD"/>
    </sheetNames>
    <sheetDataSet>
      <sheetData sheetId="0">
        <row r="136">
          <cell r="I136">
            <v>60898.19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PESAS"/>
      <sheetName val="DESP. FIXAS"/>
      <sheetName val="DESP. VARIÁVEIS"/>
      <sheetName val="AUXÍLIOS"/>
      <sheetName val="RESSARCIMENTOS"/>
    </sheetNames>
    <sheetDataSet>
      <sheetData sheetId="0">
        <row r="6">
          <cell r="E6">
            <v>11012.26475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EITAS"/>
    </sheetNames>
    <sheetDataSet>
      <sheetData sheetId="0">
        <row r="82">
          <cell r="N82">
            <v>633.33333333333303</v>
          </cell>
        </row>
        <row r="92">
          <cell r="O92"/>
        </row>
        <row r="93">
          <cell r="J93" t="str">
            <v>CHEQUE</v>
          </cell>
          <cell r="L93">
            <v>200</v>
          </cell>
          <cell r="O93">
            <v>466.66666666666703</v>
          </cell>
        </row>
        <row r="94">
          <cell r="I94"/>
          <cell r="L94"/>
          <cell r="R94"/>
        </row>
        <row r="95">
          <cell r="I95">
            <v>40334.089999999997</v>
          </cell>
        </row>
        <row r="120">
          <cell r="L120">
            <v>0.62991547999999897</v>
          </cell>
        </row>
        <row r="121">
          <cell r="L121">
            <v>1</v>
          </cell>
        </row>
        <row r="122">
          <cell r="L122">
            <v>1.62991548</v>
          </cell>
        </row>
        <row r="123">
          <cell r="L123">
            <v>1.62991548</v>
          </cell>
        </row>
        <row r="125">
          <cell r="L125" t="str">
            <v>PERCENTUAL</v>
          </cell>
        </row>
        <row r="126">
          <cell r="L126">
            <v>0.31141052147203502</v>
          </cell>
        </row>
        <row r="127">
          <cell r="L127">
            <v>0.14627824750725801</v>
          </cell>
        </row>
        <row r="128">
          <cell r="L128">
            <v>0.175028865160959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2">
          <cell r="A2" t="str">
            <v>J.S</v>
          </cell>
        </row>
        <row r="4">
          <cell r="L4">
            <v>7537.7265416652426</v>
          </cell>
          <cell r="M4">
            <v>7.7265416652426211</v>
          </cell>
        </row>
        <row r="8">
          <cell r="G8">
            <v>4000</v>
          </cell>
        </row>
      </sheetData>
      <sheetData sheetId="1">
        <row r="2">
          <cell r="A2" t="str">
            <v>JÉTER TOVANI</v>
          </cell>
        </row>
        <row r="4">
          <cell r="L4">
            <v>8423.5910416652841</v>
          </cell>
          <cell r="M4">
            <v>23.591041665284138</v>
          </cell>
        </row>
        <row r="10">
          <cell r="G10">
            <v>4000</v>
          </cell>
        </row>
      </sheetData>
      <sheetData sheetId="2">
        <row r="2">
          <cell r="A2" t="str">
            <v>ELOIZA CARMONA</v>
          </cell>
        </row>
        <row r="4">
          <cell r="L4">
            <v>5468.3097416652508</v>
          </cell>
          <cell r="M4">
            <v>-31.69025833474916</v>
          </cell>
        </row>
        <row r="8">
          <cell r="G8">
            <v>4000</v>
          </cell>
        </row>
      </sheetData>
      <sheetData sheetId="3">
        <row r="4">
          <cell r="K4">
            <v>2900</v>
          </cell>
          <cell r="L4">
            <v>2753.8545000000036</v>
          </cell>
          <cell r="M4">
            <v>-146.14549999999645</v>
          </cell>
        </row>
        <row r="8">
          <cell r="G8">
            <v>2000</v>
          </cell>
        </row>
      </sheetData>
      <sheetData sheetId="4">
        <row r="2">
          <cell r="A2" t="str">
            <v>CRISTIANO PINTO</v>
          </cell>
        </row>
        <row r="4">
          <cell r="K4">
            <v>2680</v>
          </cell>
          <cell r="L4">
            <v>2438.1833333333338</v>
          </cell>
          <cell r="M4">
            <v>-241.81666666666615</v>
          </cell>
        </row>
      </sheetData>
      <sheetData sheetId="5">
        <row r="4">
          <cell r="E4">
            <v>315</v>
          </cell>
          <cell r="I4">
            <v>315</v>
          </cell>
          <cell r="J4">
            <v>0</v>
          </cell>
        </row>
      </sheetData>
      <sheetData sheetId="6">
        <row r="4">
          <cell r="E4">
            <v>0</v>
          </cell>
          <cell r="H4">
            <v>0</v>
          </cell>
          <cell r="I4">
            <v>0</v>
          </cell>
        </row>
      </sheetData>
      <sheetData sheetId="7">
        <row r="4">
          <cell r="E4">
            <v>0</v>
          </cell>
          <cell r="H4">
            <v>0</v>
          </cell>
          <cell r="I4">
            <v>0</v>
          </cell>
        </row>
      </sheetData>
      <sheetData sheetId="8">
        <row r="4">
          <cell r="E4">
            <v>0</v>
          </cell>
          <cell r="H4">
            <v>0</v>
          </cell>
          <cell r="I4">
            <v>0</v>
          </cell>
        </row>
      </sheetData>
      <sheetData sheetId="9">
        <row r="4">
          <cell r="E4">
            <v>2.5</v>
          </cell>
          <cell r="H4">
            <v>0</v>
          </cell>
          <cell r="I4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1%20-%20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O69"/>
  <sheetViews>
    <sheetView tabSelected="1" zoomScale="106" zoomScaleNormal="106" workbookViewId="0"/>
  </sheetViews>
  <sheetFormatPr defaultColWidth="9" defaultRowHeight="15"/>
  <cols>
    <col min="1" max="9" width="20.7109375" customWidth="1"/>
    <col min="10" max="10" width="20.7109375" style="1" customWidth="1"/>
    <col min="11" max="11" width="20.7109375" customWidth="1"/>
    <col min="12" max="12" width="23.5703125" style="2" customWidth="1"/>
    <col min="13" max="13" width="20.7109375" customWidth="1"/>
    <col min="14" max="14" width="22.5703125" style="3" customWidth="1"/>
    <col min="15" max="15" width="13.42578125" customWidth="1"/>
  </cols>
  <sheetData>
    <row r="1" spans="1:14">
      <c r="A1" s="4" t="s">
        <v>0</v>
      </c>
    </row>
    <row r="2" spans="1:14">
      <c r="A2" s="5" t="s">
        <v>1</v>
      </c>
    </row>
    <row r="3" spans="1:14">
      <c r="A3" s="6" t="s">
        <v>2</v>
      </c>
      <c r="B3" s="186" t="s">
        <v>3</v>
      </c>
      <c r="C3" s="187"/>
      <c r="D3" s="188"/>
      <c r="E3" s="7"/>
      <c r="F3" s="8"/>
      <c r="G3" s="9"/>
      <c r="H3" s="9"/>
      <c r="I3" s="9"/>
      <c r="J3" s="102"/>
      <c r="K3" s="9"/>
      <c r="L3" s="103"/>
      <c r="M3" s="104"/>
    </row>
    <row r="4" spans="1:14">
      <c r="A4" s="6">
        <v>500000</v>
      </c>
      <c r="B4" s="6" t="s">
        <v>4</v>
      </c>
      <c r="C4" s="10" t="str">
        <f>[1]DEZEMBRO!$J$155</f>
        <v>RECEITA</v>
      </c>
      <c r="D4" s="11" t="str">
        <f>[1]DEZEMBRO!$K$155</f>
        <v>PERCENTUAL</v>
      </c>
      <c r="E4" s="6" t="str">
        <f>[1]DEZEMBRO!$L$155</f>
        <v>DESPESAS</v>
      </c>
      <c r="F4" s="10" t="str">
        <f>[1]DEZEMBRO!$M$155</f>
        <v>LIQUIDO</v>
      </c>
      <c r="G4" s="10" t="str">
        <f>[1]DEZEMBRO!$N$155</f>
        <v>DESAFIO</v>
      </c>
      <c r="H4" s="11" t="s">
        <v>5</v>
      </c>
      <c r="I4" s="11" t="s">
        <v>6</v>
      </c>
      <c r="J4" s="11" t="s">
        <v>7</v>
      </c>
      <c r="K4" s="105" t="s">
        <v>7</v>
      </c>
      <c r="L4" s="11" t="s">
        <v>8</v>
      </c>
      <c r="M4" s="105" t="s">
        <v>9</v>
      </c>
    </row>
    <row r="5" spans="1:14">
      <c r="A5" s="12" t="s">
        <v>10</v>
      </c>
      <c r="B5" s="12">
        <f>A4/12</f>
        <v>41666.666666666664</v>
      </c>
      <c r="C5" s="13">
        <f>[2]DEMONSTRATIVO!$D$4</f>
        <v>59834.32</v>
      </c>
      <c r="D5" s="14">
        <f>C5/B5</f>
        <v>1.4360236800000001</v>
      </c>
      <c r="E5" s="15">
        <f>[3]DESPESAS!$D$60</f>
        <v>11328.827600000001</v>
      </c>
      <c r="F5" s="13">
        <f t="shared" ref="F5:F16" si="0">C5-E5</f>
        <v>48505.492400000003</v>
      </c>
      <c r="G5" s="12">
        <f>B5</f>
        <v>41666.666666666664</v>
      </c>
      <c r="H5" s="13">
        <f t="shared" ref="H5:H16" si="1">C5</f>
        <v>59834.32</v>
      </c>
      <c r="I5" s="14">
        <f>H5/G17</f>
        <v>0.11966863999999998</v>
      </c>
      <c r="J5" s="106">
        <f>B17-C5</f>
        <v>440165.68000000005</v>
      </c>
      <c r="K5" s="107">
        <f>J5/G17</f>
        <v>0.88033136000000001</v>
      </c>
      <c r="L5" s="108">
        <f t="shared" ref="L5:L13" si="2">C5/B5</f>
        <v>1.4360236800000001</v>
      </c>
      <c r="M5" s="13">
        <f t="shared" ref="M5:M15" si="3">C5-B5</f>
        <v>18167.653333333335</v>
      </c>
      <c r="N5" s="49" t="s">
        <v>11</v>
      </c>
    </row>
    <row r="6" spans="1:14">
      <c r="A6" s="16" t="s">
        <v>12</v>
      </c>
      <c r="B6" s="16">
        <f>B5</f>
        <v>41666.666666666664</v>
      </c>
      <c r="C6" s="15">
        <f>[4]DEMONSTRATIVO!$I$5</f>
        <v>37896.69</v>
      </c>
      <c r="D6" s="17">
        <f t="shared" ref="D6:D16" si="4">C6/B6</f>
        <v>0.90952056000000014</v>
      </c>
      <c r="E6" s="15">
        <f>[4]DEMONSTRATIVO!$F$5</f>
        <v>13515.39725</v>
      </c>
      <c r="F6" s="13">
        <f t="shared" si="0"/>
        <v>24381.292750000001</v>
      </c>
      <c r="G6" s="16">
        <f>G5</f>
        <v>41666.666666666664</v>
      </c>
      <c r="H6" s="15">
        <f t="shared" si="1"/>
        <v>37896.69</v>
      </c>
      <c r="I6" s="17">
        <f>H6/G17</f>
        <v>7.5793379999999994E-2</v>
      </c>
      <c r="J6" s="106">
        <f>J5-C6</f>
        <v>402268.99000000005</v>
      </c>
      <c r="K6" s="109">
        <f>J6/G17</f>
        <v>0.80453797999999999</v>
      </c>
      <c r="L6" s="110">
        <f t="shared" si="2"/>
        <v>0.90952056000000014</v>
      </c>
      <c r="M6" s="15">
        <f t="shared" si="3"/>
        <v>-3769.9766666666619</v>
      </c>
      <c r="N6" s="54" t="s">
        <v>13</v>
      </c>
    </row>
    <row r="7" spans="1:14">
      <c r="A7" s="18" t="s">
        <v>14</v>
      </c>
      <c r="B7" s="18">
        <f>B5</f>
        <v>41666.666666666664</v>
      </c>
      <c r="C7" s="15">
        <f>[4]DEMONSTRATIVO!$I$6</f>
        <v>36698.480000000003</v>
      </c>
      <c r="D7" s="17">
        <f t="shared" si="4"/>
        <v>0.88076352000000013</v>
      </c>
      <c r="E7" s="15">
        <f>[4]DEMONSTRATIVO!$F$6</f>
        <v>11071.871999999999</v>
      </c>
      <c r="F7" s="13">
        <f t="shared" si="0"/>
        <v>25626.608000000004</v>
      </c>
      <c r="G7" s="18">
        <f>G5</f>
        <v>41666.666666666664</v>
      </c>
      <c r="H7" s="15">
        <f t="shared" si="1"/>
        <v>36698.480000000003</v>
      </c>
      <c r="I7" s="17">
        <f>H7/G17</f>
        <v>7.3396959999999997E-2</v>
      </c>
      <c r="J7" s="106">
        <f>J6-C7</f>
        <v>365570.51000000007</v>
      </c>
      <c r="K7" s="109">
        <f>J7/G17</f>
        <v>0.73114102000000003</v>
      </c>
      <c r="L7" s="110">
        <f t="shared" si="2"/>
        <v>0.88076352000000013</v>
      </c>
      <c r="M7" s="15">
        <f t="shared" si="3"/>
        <v>-4968.186666666661</v>
      </c>
      <c r="N7" s="54" t="s">
        <v>13</v>
      </c>
    </row>
    <row r="8" spans="1:14">
      <c r="A8" s="19" t="s">
        <v>15</v>
      </c>
      <c r="B8" s="19">
        <f>B5</f>
        <v>41666.666666666664</v>
      </c>
      <c r="C8" s="13">
        <f>[5]DEMONSTRATIVO!$H$8</f>
        <v>171817.1</v>
      </c>
      <c r="D8" s="14">
        <f t="shared" si="4"/>
        <v>4.1236104000000005</v>
      </c>
      <c r="E8" s="15">
        <f>[5]DEMONSTRATIVO!$E$8</f>
        <v>14051.877500000001</v>
      </c>
      <c r="F8" s="13">
        <f t="shared" si="0"/>
        <v>157765.2225</v>
      </c>
      <c r="G8" s="19">
        <f>G5</f>
        <v>41666.666666666664</v>
      </c>
      <c r="H8" s="13">
        <f t="shared" si="1"/>
        <v>171817.1</v>
      </c>
      <c r="I8" s="14">
        <f>H8/G17</f>
        <v>0.34363419999999995</v>
      </c>
      <c r="J8" s="106">
        <f t="shared" ref="J8:J16" si="5">J7-C8</f>
        <v>193753.41000000006</v>
      </c>
      <c r="K8" s="109">
        <f>J8/G17</f>
        <v>0.38750682000000009</v>
      </c>
      <c r="L8" s="108">
        <f t="shared" si="2"/>
        <v>4.1236104000000005</v>
      </c>
      <c r="M8" s="13">
        <f t="shared" si="3"/>
        <v>130150.43333333335</v>
      </c>
      <c r="N8" s="49" t="s">
        <v>11</v>
      </c>
    </row>
    <row r="9" spans="1:14">
      <c r="A9" s="20" t="s">
        <v>16</v>
      </c>
      <c r="B9" s="20">
        <f>B5</f>
        <v>41666.666666666664</v>
      </c>
      <c r="C9" s="13">
        <f>[6]RECEITAS!$I$136</f>
        <v>60898.19</v>
      </c>
      <c r="D9" s="14">
        <f t="shared" si="4"/>
        <v>1.4615565600000002</v>
      </c>
      <c r="E9" s="15">
        <f>[7]DESPESAS!E6</f>
        <v>11012.26475</v>
      </c>
      <c r="F9" s="13">
        <f t="shared" si="0"/>
        <v>49885.92525</v>
      </c>
      <c r="G9" s="20">
        <f>G5</f>
        <v>41666.666666666664</v>
      </c>
      <c r="H9" s="13">
        <f>[6]RECEITAS!$I$136</f>
        <v>60898.19</v>
      </c>
      <c r="I9" s="14">
        <f>H9/G17</f>
        <v>0.12179638</v>
      </c>
      <c r="J9" s="106">
        <f t="shared" si="5"/>
        <v>132855.22000000006</v>
      </c>
      <c r="K9" s="109">
        <f>J9/G17</f>
        <v>0.2657104400000001</v>
      </c>
      <c r="L9" s="108">
        <f t="shared" si="2"/>
        <v>1.4615565600000002</v>
      </c>
      <c r="M9" s="13">
        <f t="shared" si="3"/>
        <v>19231.523333333338</v>
      </c>
      <c r="N9" s="49" t="str">
        <f>N8</f>
        <v>META MÊS CUMPRIDA</v>
      </c>
    </row>
    <row r="10" spans="1:14">
      <c r="A10" s="21" t="s">
        <v>17</v>
      </c>
      <c r="B10" s="21">
        <f>B5</f>
        <v>41666.666666666664</v>
      </c>
      <c r="C10" s="15">
        <f>[8]RECEITAS!$I$95</f>
        <v>40334.089999999997</v>
      </c>
      <c r="D10" s="17">
        <f t="shared" si="4"/>
        <v>0.96801815999999996</v>
      </c>
      <c r="E10" s="15">
        <f>D30</f>
        <v>10292.42225</v>
      </c>
      <c r="F10" s="13">
        <f t="shared" si="0"/>
        <v>30041.667749999997</v>
      </c>
      <c r="G10" s="21">
        <f>G5</f>
        <v>41666.666666666664</v>
      </c>
      <c r="H10" s="15">
        <f t="shared" si="1"/>
        <v>40334.089999999997</v>
      </c>
      <c r="I10" s="17">
        <f>H10/G17</f>
        <v>8.0668179999999978E-2</v>
      </c>
      <c r="J10" s="106">
        <f t="shared" si="5"/>
        <v>92521.130000000063</v>
      </c>
      <c r="K10" s="109">
        <f>J10/G17</f>
        <v>0.1850422600000001</v>
      </c>
      <c r="L10" s="110">
        <f t="shared" si="2"/>
        <v>0.96801815999999996</v>
      </c>
      <c r="M10" s="15">
        <f t="shared" si="3"/>
        <v>-1332.5766666666677</v>
      </c>
      <c r="N10" s="67" t="str">
        <f>N6</f>
        <v>META MÊS NÃO CUMPR.</v>
      </c>
    </row>
    <row r="11" spans="1:14">
      <c r="A11" s="22" t="s">
        <v>18</v>
      </c>
      <c r="B11" s="22">
        <f>B5</f>
        <v>41666.666666666664</v>
      </c>
      <c r="C11" s="23">
        <v>0</v>
      </c>
      <c r="D11" s="24">
        <f t="shared" si="4"/>
        <v>0</v>
      </c>
      <c r="E11" s="15">
        <v>0</v>
      </c>
      <c r="F11" s="23">
        <f t="shared" si="0"/>
        <v>0</v>
      </c>
      <c r="G11" s="22">
        <f>G5</f>
        <v>41666.666666666664</v>
      </c>
      <c r="H11" s="25">
        <f t="shared" si="1"/>
        <v>0</v>
      </c>
      <c r="I11" s="111">
        <f>H11/G17</f>
        <v>0</v>
      </c>
      <c r="J11" s="25">
        <f t="shared" si="5"/>
        <v>92521.130000000063</v>
      </c>
      <c r="K11" s="111">
        <f>J11/G17</f>
        <v>0.1850422600000001</v>
      </c>
      <c r="L11" s="112">
        <f t="shared" si="2"/>
        <v>0</v>
      </c>
      <c r="M11" s="25">
        <f t="shared" si="3"/>
        <v>-41666.666666666664</v>
      </c>
    </row>
    <row r="12" spans="1:14">
      <c r="A12" s="26" t="s">
        <v>19</v>
      </c>
      <c r="B12" s="26">
        <f>B5</f>
        <v>41666.666666666664</v>
      </c>
      <c r="C12" s="23">
        <v>0</v>
      </c>
      <c r="D12" s="24">
        <f t="shared" si="4"/>
        <v>0</v>
      </c>
      <c r="E12" s="15">
        <v>0</v>
      </c>
      <c r="F12" s="23">
        <f t="shared" si="0"/>
        <v>0</v>
      </c>
      <c r="G12" s="26">
        <f>G5</f>
        <v>41666.666666666664</v>
      </c>
      <c r="H12" s="25">
        <f t="shared" si="1"/>
        <v>0</v>
      </c>
      <c r="I12" s="111">
        <f>H12/G17</f>
        <v>0</v>
      </c>
      <c r="J12" s="25">
        <f t="shared" si="5"/>
        <v>92521.130000000063</v>
      </c>
      <c r="K12" s="111">
        <f>J12/G17</f>
        <v>0.1850422600000001</v>
      </c>
      <c r="L12" s="112">
        <f t="shared" si="2"/>
        <v>0</v>
      </c>
      <c r="M12" s="25">
        <f t="shared" si="3"/>
        <v>-41666.666666666664</v>
      </c>
    </row>
    <row r="13" spans="1:14">
      <c r="A13" s="27" t="s">
        <v>20</v>
      </c>
      <c r="B13" s="27">
        <f>B5</f>
        <v>41666.666666666664</v>
      </c>
      <c r="C13" s="23">
        <v>0</v>
      </c>
      <c r="D13" s="24">
        <f t="shared" si="4"/>
        <v>0</v>
      </c>
      <c r="E13" s="15">
        <v>0</v>
      </c>
      <c r="F13" s="23">
        <f t="shared" si="0"/>
        <v>0</v>
      </c>
      <c r="G13" s="27">
        <f>G5</f>
        <v>41666.666666666664</v>
      </c>
      <c r="H13" s="25">
        <f t="shared" si="1"/>
        <v>0</v>
      </c>
      <c r="I13" s="111">
        <f>H13/G17</f>
        <v>0</v>
      </c>
      <c r="J13" s="25">
        <f t="shared" si="5"/>
        <v>92521.130000000063</v>
      </c>
      <c r="K13" s="111">
        <f>J13/G17</f>
        <v>0.1850422600000001</v>
      </c>
      <c r="L13" s="112">
        <f t="shared" si="2"/>
        <v>0</v>
      </c>
      <c r="M13" s="25">
        <f t="shared" si="3"/>
        <v>-41666.666666666664</v>
      </c>
    </row>
    <row r="14" spans="1:14">
      <c r="A14" s="28" t="s">
        <v>21</v>
      </c>
      <c r="B14" s="28">
        <f>B5</f>
        <v>41666.666666666664</v>
      </c>
      <c r="C14" s="23">
        <v>0</v>
      </c>
      <c r="D14" s="24">
        <f t="shared" si="4"/>
        <v>0</v>
      </c>
      <c r="E14" s="15">
        <v>0</v>
      </c>
      <c r="F14" s="23">
        <f t="shared" si="0"/>
        <v>0</v>
      </c>
      <c r="G14" s="28">
        <f>G5</f>
        <v>41666.666666666664</v>
      </c>
      <c r="H14" s="25">
        <f t="shared" si="1"/>
        <v>0</v>
      </c>
      <c r="I14" s="111">
        <f>H14/G17</f>
        <v>0</v>
      </c>
      <c r="J14" s="25">
        <f t="shared" si="5"/>
        <v>92521.130000000063</v>
      </c>
      <c r="K14" s="111">
        <f>J14/G17</f>
        <v>0.1850422600000001</v>
      </c>
      <c r="L14" s="112">
        <f>D14</f>
        <v>0</v>
      </c>
      <c r="M14" s="25">
        <f t="shared" si="3"/>
        <v>-41666.666666666664</v>
      </c>
    </row>
    <row r="15" spans="1:14">
      <c r="A15" s="13" t="s">
        <v>22</v>
      </c>
      <c r="B15" s="13">
        <f>B5</f>
        <v>41666.666666666664</v>
      </c>
      <c r="C15" s="23">
        <v>0</v>
      </c>
      <c r="D15" s="24">
        <f t="shared" si="4"/>
        <v>0</v>
      </c>
      <c r="E15" s="15">
        <v>0</v>
      </c>
      <c r="F15" s="23">
        <f t="shared" si="0"/>
        <v>0</v>
      </c>
      <c r="G15" s="29">
        <f>G5</f>
        <v>41666.666666666664</v>
      </c>
      <c r="H15" s="25">
        <f t="shared" si="1"/>
        <v>0</v>
      </c>
      <c r="I15" s="111">
        <f>H15/G15</f>
        <v>0</v>
      </c>
      <c r="J15" s="25">
        <f t="shared" si="5"/>
        <v>92521.130000000063</v>
      </c>
      <c r="K15" s="111">
        <f>J15/G17</f>
        <v>0.1850422600000001</v>
      </c>
      <c r="L15" s="112">
        <f>I15</f>
        <v>0</v>
      </c>
      <c r="M15" s="25">
        <f t="shared" si="3"/>
        <v>-41666.666666666664</v>
      </c>
    </row>
    <row r="16" spans="1:14">
      <c r="A16" s="15" t="s">
        <v>23</v>
      </c>
      <c r="B16" s="15">
        <f>B5</f>
        <v>41666.666666666664</v>
      </c>
      <c r="C16" s="23">
        <v>0</v>
      </c>
      <c r="D16" s="24">
        <f t="shared" si="4"/>
        <v>0</v>
      </c>
      <c r="E16" s="15">
        <v>0</v>
      </c>
      <c r="F16" s="23">
        <f t="shared" si="0"/>
        <v>0</v>
      </c>
      <c r="G16" s="15">
        <f>G5</f>
        <v>41666.666666666664</v>
      </c>
      <c r="H16" s="25">
        <f t="shared" si="1"/>
        <v>0</v>
      </c>
      <c r="I16" s="111">
        <f>H16/G16</f>
        <v>0</v>
      </c>
      <c r="J16" s="25">
        <f t="shared" si="5"/>
        <v>92521.130000000063</v>
      </c>
      <c r="K16" s="111">
        <f>J16/G17</f>
        <v>0.1850422600000001</v>
      </c>
      <c r="L16" s="112">
        <f>H16/G16</f>
        <v>0</v>
      </c>
      <c r="M16" s="25">
        <f>H16-G16</f>
        <v>-41666.666666666664</v>
      </c>
    </row>
    <row r="17" spans="1:15">
      <c r="A17" s="30" t="s">
        <v>24</v>
      </c>
      <c r="B17" s="30">
        <f t="shared" ref="B17:I17" si="6">SUM(B5:B16)</f>
        <v>500000.00000000006</v>
      </c>
      <c r="C17" s="30">
        <f t="shared" si="6"/>
        <v>407478.87</v>
      </c>
      <c r="D17" s="31">
        <f t="shared" si="6"/>
        <v>9.7794928800000012</v>
      </c>
      <c r="E17" s="30">
        <f t="shared" si="6"/>
        <v>71272.661350000009</v>
      </c>
      <c r="F17" s="30">
        <f t="shared" si="6"/>
        <v>336206.20865000004</v>
      </c>
      <c r="G17" s="30">
        <f t="shared" si="6"/>
        <v>500000.00000000006</v>
      </c>
      <c r="H17" s="30">
        <f t="shared" si="6"/>
        <v>407478.87</v>
      </c>
      <c r="I17" s="31">
        <f t="shared" si="6"/>
        <v>0.81495773999999999</v>
      </c>
      <c r="J17" s="30">
        <f>J15</f>
        <v>92521.130000000063</v>
      </c>
      <c r="K17" s="31">
        <f>K13</f>
        <v>0.1850422600000001</v>
      </c>
      <c r="L17" s="31">
        <f>SUM(L5:L16)</f>
        <v>9.7794928800000012</v>
      </c>
      <c r="M17" s="30">
        <f>SUM(M5:M16)</f>
        <v>-92521.129999999917</v>
      </c>
    </row>
    <row r="18" spans="1:15">
      <c r="A18" s="30" t="s">
        <v>25</v>
      </c>
      <c r="B18" s="30">
        <f>B17/12</f>
        <v>41666.666666666672</v>
      </c>
      <c r="C18" s="30">
        <f>C17/6</f>
        <v>67913.145000000004</v>
      </c>
      <c r="D18" s="32">
        <f>D17/6</f>
        <v>1.6299154800000002</v>
      </c>
      <c r="E18" s="30">
        <f>E17/5</f>
        <v>14254.532270000002</v>
      </c>
      <c r="F18" s="30">
        <f>F17/4</f>
        <v>84051.552162500011</v>
      </c>
      <c r="G18" s="30">
        <f>G17/12</f>
        <v>41666.666666666672</v>
      </c>
      <c r="H18" s="33">
        <f>H17/6</f>
        <v>67913.145000000004</v>
      </c>
      <c r="I18" s="113">
        <f>I17/6</f>
        <v>0.13582628999999999</v>
      </c>
      <c r="J18" s="114">
        <f>J17/7</f>
        <v>13217.304285714295</v>
      </c>
      <c r="K18" s="113">
        <f>K17/7</f>
        <v>2.6434608571428587E-2</v>
      </c>
      <c r="L18" s="113">
        <f>L17/5</f>
        <v>1.9558985760000003</v>
      </c>
      <c r="M18" s="115">
        <f>B17*L18</f>
        <v>977949.28800000029</v>
      </c>
    </row>
    <row r="19" spans="1:15">
      <c r="A19" s="30" t="s">
        <v>25</v>
      </c>
      <c r="B19" s="32">
        <v>8.3333333333333301E-2</v>
      </c>
      <c r="C19" s="34"/>
      <c r="D19" s="35"/>
      <c r="E19" s="35"/>
      <c r="F19" s="34"/>
      <c r="G19" s="34"/>
      <c r="H19" s="36"/>
    </row>
    <row r="20" spans="1:15">
      <c r="A20" s="37"/>
      <c r="E20" s="35"/>
      <c r="F20" s="38" t="s">
        <v>26</v>
      </c>
      <c r="G20" s="39">
        <f>[9]J.S!$G$8+[9]JÉTER!$G$10+[9]ELOÍZA!$G$8+[9]SIMONE!$G$8</f>
        <v>14000</v>
      </c>
      <c r="H20" s="36"/>
      <c r="I20" s="116" t="s">
        <v>27</v>
      </c>
      <c r="J20" s="117" t="s">
        <v>28</v>
      </c>
      <c r="K20" s="38" t="s">
        <v>26</v>
      </c>
      <c r="L20" s="118" t="s">
        <v>29</v>
      </c>
      <c r="M20" s="119" t="s">
        <v>30</v>
      </c>
      <c r="N20" s="120" t="s">
        <v>6</v>
      </c>
    </row>
    <row r="21" spans="1:15">
      <c r="A21" s="37"/>
      <c r="B21" s="40" t="s">
        <v>31</v>
      </c>
      <c r="C21" s="40">
        <f>B5+B6+B7+B8+B9+B10</f>
        <v>249999.99999999997</v>
      </c>
      <c r="D21" s="41">
        <v>1</v>
      </c>
      <c r="E21" s="35"/>
      <c r="F21" s="42" t="s">
        <v>32</v>
      </c>
      <c r="G21" s="43">
        <f>[9]J.S!$M$4+[9]JÉTER!$M$4+[9]ELOÍZA!$M$4+[9]SIMONE!$L$4+[9]CRISTIANO!$L$4+[9]EDUARDO!$E$4+[9]RAIMUNDO!$E$4+[9]LORRAINE!$E$4+[9]ALEXANDRE!$E$4+[9]RENAN!$E$4</f>
        <v>5509.165158329115</v>
      </c>
      <c r="H21" s="34"/>
      <c r="I21" s="121" t="str">
        <f>[9]JÉTER!$A$2</f>
        <v>JÉTER TOVANI</v>
      </c>
      <c r="J21" s="26">
        <f>[9]JÉTER!$M$4</f>
        <v>23.591041665284138</v>
      </c>
      <c r="K21" s="26">
        <v>4000</v>
      </c>
      <c r="L21" s="26">
        <v>0</v>
      </c>
      <c r="M21" s="26">
        <f>[10]DEMONSTRATIVO!$M$20+J21</f>
        <v>125931.43555555228</v>
      </c>
      <c r="N21" s="122">
        <f>M21/O27</f>
        <v>0.37456606188569941</v>
      </c>
    </row>
    <row r="22" spans="1:15">
      <c r="A22" s="37"/>
      <c r="B22" s="44" t="s">
        <v>33</v>
      </c>
      <c r="C22" s="44">
        <f>C17</f>
        <v>407478.87</v>
      </c>
      <c r="D22" s="45">
        <f>C22/C21</f>
        <v>1.6299154800000002</v>
      </c>
      <c r="E22" s="35"/>
      <c r="F22" s="46" t="s">
        <v>9</v>
      </c>
      <c r="G22" s="47">
        <f>G21-G20</f>
        <v>-8490.834841670885</v>
      </c>
      <c r="H22" s="34" t="s">
        <v>34</v>
      </c>
      <c r="I22" s="123" t="str">
        <f>[9]J.S!$A$2</f>
        <v>J.S</v>
      </c>
      <c r="J22" s="20">
        <f>[9]J.S!$M$4</f>
        <v>7.7265416652426211</v>
      </c>
      <c r="K22" s="20">
        <v>4000</v>
      </c>
      <c r="L22" s="20">
        <v>0</v>
      </c>
      <c r="M22" s="20">
        <f>[10]DEMONSTRATIVO!$M$21+J22</f>
        <v>52565.056555551346</v>
      </c>
      <c r="N22" s="124">
        <f>M22/O27</f>
        <v>0.15634766760144225</v>
      </c>
    </row>
    <row r="23" spans="1:15">
      <c r="A23" s="37"/>
      <c r="B23" s="44" t="s">
        <v>9</v>
      </c>
      <c r="C23" s="44">
        <f>C22-C21</f>
        <v>157478.87000000002</v>
      </c>
      <c r="D23" s="45">
        <f>C23/C21</f>
        <v>0.62991548000000019</v>
      </c>
      <c r="F23" s="48" t="s">
        <v>35</v>
      </c>
      <c r="G23" s="49">
        <f>D31</f>
        <v>27324.627324995778</v>
      </c>
      <c r="H23" s="34"/>
      <c r="I23" s="125" t="str">
        <f>[9]ELOÍZA!$A$2</f>
        <v>ELOIZA CARMONA</v>
      </c>
      <c r="J23" s="126">
        <f>[9]ELOÍZA!$M$4</f>
        <v>-31.69025833474916</v>
      </c>
      <c r="K23" s="126">
        <v>4000</v>
      </c>
      <c r="L23" s="126">
        <f>K23-J23</f>
        <v>4031.6902583347492</v>
      </c>
      <c r="M23" s="126">
        <f>[10]DEMONSTRATIVO!$M$22+J23</f>
        <v>34347.788088884554</v>
      </c>
      <c r="N23" s="127">
        <f>M23/O27</f>
        <v>0.10216286078357807</v>
      </c>
    </row>
    <row r="24" spans="1:15">
      <c r="A24" s="35"/>
      <c r="B24" s="50" t="str">
        <f>A3</f>
        <v>META ANUAL</v>
      </c>
      <c r="C24" s="51">
        <f>B17</f>
        <v>500000.00000000006</v>
      </c>
      <c r="D24" s="52">
        <f>C22/C24</f>
        <v>0.81495773999999988</v>
      </c>
      <c r="E24" s="34"/>
      <c r="F24" s="53" t="s">
        <v>36</v>
      </c>
      <c r="G24" s="54">
        <f>D32</f>
        <v>-385.4621666666626</v>
      </c>
      <c r="H24" s="35">
        <f>G23+G24</f>
        <v>26939.165158329117</v>
      </c>
      <c r="I24" s="128" t="s">
        <v>37</v>
      </c>
      <c r="J24" s="129">
        <f>[9]SIMONE!$L$4</f>
        <v>2753.8545000000036</v>
      </c>
      <c r="K24" s="129">
        <f>[9]SIMONE!$G$8</f>
        <v>2000</v>
      </c>
      <c r="L24" s="129">
        <v>0</v>
      </c>
      <c r="M24" s="129">
        <f>[10]DEMONSTRATIVO!$M$23+J24</f>
        <v>4947.1411666666736</v>
      </c>
      <c r="N24" s="130">
        <f>M24/O27</f>
        <v>1.4714603833556163E-2</v>
      </c>
    </row>
    <row r="25" spans="1:15">
      <c r="A25" s="35"/>
      <c r="B25" s="55" t="s">
        <v>38</v>
      </c>
      <c r="C25" s="55">
        <f>C18*12</f>
        <v>814957.74</v>
      </c>
      <c r="D25" s="56">
        <f>C25/B17</f>
        <v>1.6299154799999998</v>
      </c>
      <c r="E25" s="34"/>
      <c r="F25" s="57" t="s">
        <v>39</v>
      </c>
      <c r="G25" s="58">
        <f>G22</f>
        <v>-8490.834841670885</v>
      </c>
      <c r="H25" s="35">
        <f>G21-H24</f>
        <v>-21430</v>
      </c>
      <c r="I25" s="131" t="str">
        <f>[9]CRISTIANO!$A$2</f>
        <v>CRISTIANO PINTO</v>
      </c>
      <c r="J25" s="132">
        <f>[9]CRISTIANO!$L$4</f>
        <v>2438.1833333333338</v>
      </c>
      <c r="K25" s="132">
        <v>0</v>
      </c>
      <c r="L25" s="132">
        <v>0</v>
      </c>
      <c r="M25" s="132">
        <f>[10]DEMONSTRATIVO!$M$24+J25</f>
        <v>29812.607874997033</v>
      </c>
      <c r="N25" s="133">
        <f>M25/O27</f>
        <v>8.867357921409709E-2</v>
      </c>
    </row>
    <row r="26" spans="1:15">
      <c r="I26" s="134" t="s">
        <v>40</v>
      </c>
      <c r="J26" s="135">
        <f>[9]EDUARDO!$E$4+[9]RAIMUNDO!$E$4+[9]LORRAINE!$E$4+[9]ALEXANDRE!$E$4+[9]RENAN!$E$4</f>
        <v>317.5</v>
      </c>
      <c r="K26" s="135">
        <v>0</v>
      </c>
      <c r="L26" s="135">
        <v>0</v>
      </c>
      <c r="M26" s="135">
        <f>[10]DEMONSTRATIVO!$M$26+J26</f>
        <v>3635.75</v>
      </c>
      <c r="N26" s="136">
        <f>M26/O27</f>
        <v>1.0814047767288308E-2</v>
      </c>
    </row>
    <row r="27" spans="1:15">
      <c r="B27" s="21" t="s">
        <v>17</v>
      </c>
      <c r="C27" s="189" t="s">
        <v>41</v>
      </c>
      <c r="D27" s="190"/>
      <c r="I27" s="137" t="s">
        <v>42</v>
      </c>
      <c r="J27" s="138">
        <f>SUM(J21:J26)</f>
        <v>5509.165158329115</v>
      </c>
      <c r="K27" s="138">
        <f>G20</f>
        <v>14000</v>
      </c>
      <c r="L27" s="138">
        <f>SUM(L21:L25)</f>
        <v>4031.6902583347492</v>
      </c>
      <c r="M27" s="138">
        <f>SUM(M21:M26)</f>
        <v>251239.77924165188</v>
      </c>
      <c r="N27" s="73">
        <f>SUM(N21:N25)</f>
        <v>0.73646477331837301</v>
      </c>
      <c r="O27" s="1">
        <f>F17</f>
        <v>336206.20865000004</v>
      </c>
    </row>
    <row r="28" spans="1:15">
      <c r="B28" s="59" t="s">
        <v>43</v>
      </c>
      <c r="C28" s="60" t="s">
        <v>44</v>
      </c>
      <c r="D28" s="61">
        <f>[11]DESPESAS!$C$6</f>
        <v>10292.42225</v>
      </c>
      <c r="I28" s="59" t="s">
        <v>43</v>
      </c>
      <c r="J28" s="61">
        <f>D30</f>
        <v>10292.42225</v>
      </c>
      <c r="M28" s="67">
        <f>E17</f>
        <v>71272.661350000009</v>
      </c>
      <c r="N28" s="139">
        <f>M28/M30</f>
        <v>0.17491130607582181</v>
      </c>
    </row>
    <row r="29" spans="1:15">
      <c r="C29" s="60" t="s">
        <v>45</v>
      </c>
      <c r="D29" s="62">
        <f>[11]DESPESAS!$D$6</f>
        <v>0</v>
      </c>
      <c r="I29" s="140" t="s">
        <v>46</v>
      </c>
      <c r="J29" s="141">
        <f>J27+J28</f>
        <v>15801.587408329115</v>
      </c>
      <c r="L29"/>
      <c r="M29" s="141">
        <f>M27+M28</f>
        <v>322512.44059165189</v>
      </c>
      <c r="N29" s="142">
        <f>N27+N28</f>
        <v>0.91137607939419485</v>
      </c>
      <c r="O29" s="2"/>
    </row>
    <row r="30" spans="1:15">
      <c r="C30" s="63" t="s">
        <v>47</v>
      </c>
      <c r="D30" s="64">
        <f>D28+D29</f>
        <v>10292.42225</v>
      </c>
      <c r="I30" s="143" t="str">
        <f>C35</f>
        <v>TOTAL RECEBIDO</v>
      </c>
      <c r="J30" s="49">
        <f>D35</f>
        <v>40334.089999999997</v>
      </c>
      <c r="L30"/>
      <c r="M30" s="49">
        <f>C17</f>
        <v>407478.87</v>
      </c>
      <c r="N30" s="49">
        <f>H17</f>
        <v>407478.87</v>
      </c>
    </row>
    <row r="31" spans="1:15">
      <c r="B31" s="59" t="s">
        <v>35</v>
      </c>
      <c r="C31" s="60" t="s">
        <v>48</v>
      </c>
      <c r="D31" s="61">
        <f>[9]J.S!$L$4+[9]JÉTER!$L$4+[9]ELOÍZA!$L$4+[9]SIMONE!$K$4+[9]CRISTIANO!$K$4+[9]EDUARDO!$I$4+[9]RAIMUNDO!$H$4+[9]LORRAINE!$H$4+[9]ALEXANDRE!$H$4+[9]RENAN!$H$4</f>
        <v>27324.627324995778</v>
      </c>
      <c r="E31" s="3"/>
      <c r="I31" s="144" t="s">
        <v>49</v>
      </c>
      <c r="J31" s="145">
        <f>J30-J29</f>
        <v>24532.502591670884</v>
      </c>
      <c r="M31" s="146">
        <f>M30-M29</f>
        <v>84966.429408348107</v>
      </c>
      <c r="N31" s="146"/>
    </row>
    <row r="32" spans="1:15">
      <c r="C32" s="60" t="s">
        <v>50</v>
      </c>
      <c r="D32" s="62">
        <f>[9]J.S!$N$4+[9]JÉTER!$N$4+[9]ELOÍZA!$N$4+[9]SIMONE!$M$4+[9]CRISTIANO!$M$4+[9]EDUARDO!$J$4+[9]RAIMUNDO!$I$4+[9]LORRAINE!$I$4+[9]ALEXANDRE!$I$4+[9]RENAN!$I$4</f>
        <v>-385.4621666666626</v>
      </c>
      <c r="E32" s="3"/>
    </row>
    <row r="33" spans="2:15">
      <c r="C33" s="65" t="s">
        <v>51</v>
      </c>
      <c r="D33" s="64">
        <f>D31+D32</f>
        <v>26939.165158329117</v>
      </c>
      <c r="E33" s="3">
        <f>D31+D32-D33</f>
        <v>0</v>
      </c>
    </row>
    <row r="34" spans="2:15">
      <c r="C34" s="66" t="s">
        <v>52</v>
      </c>
      <c r="D34" s="54">
        <f>D30+D33</f>
        <v>37231.587408329113</v>
      </c>
      <c r="E34" s="67">
        <f>D29+D32</f>
        <v>-385.4621666666626</v>
      </c>
      <c r="G34" s="68" t="str">
        <f>[1]DEZEMBRO!$H$128</f>
        <v xml:space="preserve">CAPTAÇÃO  </v>
      </c>
      <c r="H34" s="69" t="s">
        <v>53</v>
      </c>
      <c r="I34" s="147" t="s">
        <v>9</v>
      </c>
      <c r="J34" s="148" t="s">
        <v>49</v>
      </c>
    </row>
    <row r="35" spans="2:15">
      <c r="B35" s="70" t="s">
        <v>54</v>
      </c>
      <c r="C35" s="71" t="str">
        <f>[3]RECEITAS!I75</f>
        <v>TOTAL RECEBIDO</v>
      </c>
      <c r="D35" s="72">
        <f>C10</f>
        <v>40334.089999999997</v>
      </c>
      <c r="G35" s="73">
        <v>0.1</v>
      </c>
      <c r="H35" s="74">
        <f>[8]RECEITAS!$I$95*10/100</f>
        <v>4033.4089999999997</v>
      </c>
      <c r="I35" s="138">
        <f>[8]RECEITAS!$L$94</f>
        <v>0</v>
      </c>
      <c r="J35" s="149">
        <f>H35-I35</f>
        <v>4033.4089999999997</v>
      </c>
      <c r="L35" s="150" t="s">
        <v>55</v>
      </c>
      <c r="M35" s="150" t="s">
        <v>56</v>
      </c>
      <c r="N35" s="150" t="s">
        <v>6</v>
      </c>
      <c r="O35" s="151" t="s">
        <v>49</v>
      </c>
    </row>
    <row r="36" spans="2:15">
      <c r="B36" s="75" t="s">
        <v>57</v>
      </c>
      <c r="C36" s="76" t="s">
        <v>58</v>
      </c>
      <c r="D36" s="77">
        <f>D35-D34</f>
        <v>3102.5025916708837</v>
      </c>
      <c r="E36" s="3"/>
      <c r="J36"/>
      <c r="L36" s="152" t="s">
        <v>59</v>
      </c>
      <c r="M36" s="20">
        <f>[8]RECEITAS!$L$120</f>
        <v>0.62991547999999897</v>
      </c>
      <c r="N36" s="153">
        <f>M36/M46</f>
        <v>1.561744618510047E-5</v>
      </c>
      <c r="O36" s="151">
        <v>0</v>
      </c>
    </row>
    <row r="37" spans="2:15">
      <c r="C37" s="78" t="s">
        <v>60</v>
      </c>
      <c r="D37" s="79">
        <f>[12]DEMONSTRATIVO!$D$40</f>
        <v>55594.281100011503</v>
      </c>
      <c r="G37" s="80" t="str">
        <f>[8]RECEITAS!$J$93</f>
        <v>CHEQUE</v>
      </c>
      <c r="H37" s="69" t="s">
        <v>53</v>
      </c>
      <c r="I37" s="147" t="s">
        <v>9</v>
      </c>
      <c r="J37" s="148" t="s">
        <v>49</v>
      </c>
      <c r="L37" s="154" t="s">
        <v>61</v>
      </c>
      <c r="M37" s="154">
        <f>[8]RECEITAS!$L$121</f>
        <v>1</v>
      </c>
      <c r="N37" s="155">
        <f>M37/M46</f>
        <v>2.4792923306314833E-5</v>
      </c>
      <c r="O37" s="151">
        <v>0</v>
      </c>
    </row>
    <row r="38" spans="2:15">
      <c r="C38" s="81" t="s">
        <v>62</v>
      </c>
      <c r="D38" s="82">
        <f>D36+D37</f>
        <v>58696.783691682387</v>
      </c>
      <c r="H38" s="83">
        <v>0</v>
      </c>
      <c r="I38" s="156">
        <f>[8]RECEITAS!$L$93</f>
        <v>200</v>
      </c>
      <c r="J38" s="83">
        <f>H35-I35-I38</f>
        <v>3833.4089999999997</v>
      </c>
      <c r="L38" s="28" t="s">
        <v>63</v>
      </c>
      <c r="M38" s="28">
        <f>[8]RECEITAS!$L$122</f>
        <v>1.62991548</v>
      </c>
      <c r="N38" s="157">
        <f>M38/M46</f>
        <v>4.041036949141533E-5</v>
      </c>
      <c r="O38" s="151">
        <v>0</v>
      </c>
    </row>
    <row r="39" spans="2:15">
      <c r="C39" s="84" t="s">
        <v>64</v>
      </c>
      <c r="D39" s="85">
        <v>1000</v>
      </c>
      <c r="L39" s="158" t="s">
        <v>65</v>
      </c>
      <c r="M39" s="158">
        <f>[8]RECEITAS!$L$123</f>
        <v>1.62991548</v>
      </c>
      <c r="N39" s="159">
        <f>M39/M46</f>
        <v>4.041036949141533E-5</v>
      </c>
      <c r="O39" s="151">
        <v>0</v>
      </c>
    </row>
    <row r="40" spans="2:15">
      <c r="B40" s="75" t="s">
        <v>66</v>
      </c>
      <c r="C40" s="86" t="s">
        <v>67</v>
      </c>
      <c r="D40" s="87">
        <f>D38-D39</f>
        <v>57696.783691682387</v>
      </c>
      <c r="G40" s="88" t="str">
        <f>[1]DEZEMBRO!$I$128</f>
        <v>ATUAÇÃO TÉCNICA</v>
      </c>
      <c r="H40" s="69" t="s">
        <v>53</v>
      </c>
      <c r="I40" s="147" t="s">
        <v>9</v>
      </c>
      <c r="J40"/>
      <c r="L40" s="160" t="s">
        <v>68</v>
      </c>
      <c r="M40" s="161">
        <f>[8]RECEITAS!$L$124</f>
        <v>0</v>
      </c>
      <c r="N40" s="162">
        <f>M40/M46</f>
        <v>0</v>
      </c>
      <c r="O40" s="151">
        <v>0</v>
      </c>
    </row>
    <row r="41" spans="2:15">
      <c r="G41" s="89">
        <f>[4]RECEITAS!N3</f>
        <v>0.33329999999999999</v>
      </c>
      <c r="H41" s="90">
        <f>D35*G41</f>
        <v>13443.352196999998</v>
      </c>
      <c r="I41" s="163">
        <f>[8]RECEITAS!$N$82</f>
        <v>633.33333333333303</v>
      </c>
      <c r="J41" s="164">
        <f>I41-H41</f>
        <v>-12810.018863666664</v>
      </c>
      <c r="L41" s="165" t="s">
        <v>69</v>
      </c>
      <c r="M41" s="166" t="str">
        <f>[8]RECEITAS!$L$125</f>
        <v>PERCENTUAL</v>
      </c>
      <c r="N41" s="167" t="e">
        <f>M41/M46</f>
        <v>#VALUE!</v>
      </c>
      <c r="O41" s="151">
        <v>0</v>
      </c>
    </row>
    <row r="42" spans="2:15">
      <c r="E42" s="91" t="s">
        <v>70</v>
      </c>
      <c r="J42"/>
      <c r="L42" s="168" t="s">
        <v>71</v>
      </c>
      <c r="M42" s="169">
        <f>[8]RECEITAS!$L$126</f>
        <v>0.31141052147203502</v>
      </c>
      <c r="N42" s="170">
        <f>M42/M46</f>
        <v>7.7207771756356725E-6</v>
      </c>
      <c r="O42" s="151">
        <v>0</v>
      </c>
    </row>
    <row r="43" spans="2:15">
      <c r="G43" s="92" t="s">
        <v>72</v>
      </c>
      <c r="H43" s="69" t="s">
        <v>53</v>
      </c>
      <c r="I43" s="147" t="s">
        <v>9</v>
      </c>
      <c r="J43" s="148" t="s">
        <v>49</v>
      </c>
      <c r="L43" s="171" t="s">
        <v>73</v>
      </c>
      <c r="M43" s="172">
        <f>[8]RECEITAS!$L$127</f>
        <v>0.14627824750725801</v>
      </c>
      <c r="N43" s="173">
        <f>M43/M46</f>
        <v>3.6266653718295868E-6</v>
      </c>
      <c r="O43" s="151">
        <v>0</v>
      </c>
    </row>
    <row r="44" spans="2:15">
      <c r="G44" s="93">
        <f>[4]RECEITAS!O3</f>
        <v>0.23330000000000001</v>
      </c>
      <c r="H44" s="94">
        <f>[8]RECEITAS!$I$94*G44</f>
        <v>0</v>
      </c>
      <c r="I44" s="174">
        <f>[8]RECEITAS!$O$92</f>
        <v>0</v>
      </c>
      <c r="J44" s="175">
        <f>I44-H44</f>
        <v>0</v>
      </c>
      <c r="L44" s="176" t="s">
        <v>74</v>
      </c>
      <c r="M44" s="176">
        <f>[8]RECEITAS!$L$128</f>
        <v>0.175028865160959</v>
      </c>
      <c r="N44" s="110">
        <f>M44/M46</f>
        <v>4.3394772303269771E-6</v>
      </c>
      <c r="O44" s="151">
        <v>0</v>
      </c>
    </row>
    <row r="45" spans="2:15">
      <c r="J45"/>
      <c r="L45" s="177" t="s">
        <v>24</v>
      </c>
      <c r="M45" s="13">
        <f>SUM(M36:M44)</f>
        <v>5.5224640741402506</v>
      </c>
      <c r="N45" s="14" t="e">
        <f>SUM(N36:N44)</f>
        <v>#VALUE!</v>
      </c>
      <c r="O45" s="151">
        <v>0</v>
      </c>
    </row>
    <row r="46" spans="2:15">
      <c r="G46" s="95" t="s">
        <v>75</v>
      </c>
      <c r="H46" s="69" t="s">
        <v>53</v>
      </c>
      <c r="I46" s="147" t="s">
        <v>9</v>
      </c>
      <c r="J46" s="148" t="s">
        <v>49</v>
      </c>
      <c r="L46" s="177" t="s">
        <v>76</v>
      </c>
      <c r="M46" s="13">
        <f>D35</f>
        <v>40334.089999999997</v>
      </c>
      <c r="N46" s="14" t="e">
        <f>N45</f>
        <v>#VALUE!</v>
      </c>
      <c r="O46" s="151">
        <v>0</v>
      </c>
    </row>
    <row r="47" spans="2:15">
      <c r="H47" s="96">
        <v>500</v>
      </c>
      <c r="I47" s="85">
        <f>[8]RECEITAS!$O$93</f>
        <v>466.66666666666703</v>
      </c>
      <c r="J47" s="178">
        <f>H47-I47</f>
        <v>33.333333333332973</v>
      </c>
      <c r="L47" s="179" t="s">
        <v>77</v>
      </c>
      <c r="M47" s="180">
        <f>M46-M45</f>
        <v>40328.567535925853</v>
      </c>
      <c r="N47" s="181">
        <v>0</v>
      </c>
      <c r="O47" s="151">
        <v>0</v>
      </c>
    </row>
    <row r="49" spans="7:10">
      <c r="G49" s="97" t="s">
        <v>78</v>
      </c>
      <c r="H49" s="69" t="s">
        <v>53</v>
      </c>
      <c r="I49" s="147" t="s">
        <v>9</v>
      </c>
      <c r="J49" s="148" t="s">
        <v>49</v>
      </c>
    </row>
    <row r="50" spans="7:10">
      <c r="G50" s="98">
        <f>[4]RECEITAS!P3</f>
        <v>0.33329999999999999</v>
      </c>
      <c r="H50" s="99">
        <f>[8]RECEITAS!$I$94*G50</f>
        <v>0</v>
      </c>
      <c r="I50" s="182">
        <f>[8]RECEITAS!$R$94</f>
        <v>0</v>
      </c>
      <c r="J50" s="183">
        <f>I50-H50</f>
        <v>0</v>
      </c>
    </row>
    <row r="52" spans="7:10">
      <c r="G52" s="95" t="s">
        <v>79</v>
      </c>
      <c r="H52" s="69" t="s">
        <v>53</v>
      </c>
      <c r="I52" s="147" t="s">
        <v>9</v>
      </c>
      <c r="J52" s="148" t="s">
        <v>49</v>
      </c>
    </row>
    <row r="53" spans="7:10">
      <c r="H53" s="85">
        <f>H47</f>
        <v>500</v>
      </c>
      <c r="I53" s="184">
        <f>[4]RECEITAS!P85</f>
        <v>500</v>
      </c>
      <c r="J53" s="178">
        <f>H53-I53</f>
        <v>0</v>
      </c>
    </row>
    <row r="55" spans="7:10">
      <c r="G55" s="100" t="s">
        <v>80</v>
      </c>
      <c r="H55" s="69" t="s">
        <v>53</v>
      </c>
      <c r="I55" s="147" t="s">
        <v>9</v>
      </c>
      <c r="J55" s="148" t="s">
        <v>49</v>
      </c>
    </row>
    <row r="56" spans="7:10">
      <c r="G56" s="101" t="s">
        <v>81</v>
      </c>
      <c r="H56" s="49">
        <f>H35+H38+H41+H44+H47+H50+H53</f>
        <v>18476.761197</v>
      </c>
      <c r="I56" s="49">
        <f>I35+I38+I41+I44+I47+I50+I53</f>
        <v>1800</v>
      </c>
      <c r="J56" s="185">
        <f>I56-H56</f>
        <v>-16676.761197</v>
      </c>
    </row>
    <row r="57" spans="7:10">
      <c r="J57"/>
    </row>
    <row r="63" spans="7:10">
      <c r="J63"/>
    </row>
    <row r="69" spans="10:10">
      <c r="J69"/>
    </row>
  </sheetData>
  <mergeCells count="2">
    <mergeCell ref="B3:D3"/>
    <mergeCell ref="C27:D27"/>
  </mergeCells>
  <hyperlinks>
    <hyperlink ref="A2" location="MENU!A1" display="DEMONSTRATIVO" xr:uid="{00000000-0004-0000-0000-000000000000}"/>
    <hyperlink ref="A1" r:id="rId1" location="'MENU PRINCIPAL'!A1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DEMONSTRATIVO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Silva</cp:lastModifiedBy>
  <dcterms:created xsi:type="dcterms:W3CDTF">2024-01-13T20:07:00Z</dcterms:created>
  <dcterms:modified xsi:type="dcterms:W3CDTF">2024-07-06T22:09:27Z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C3AE8BFB633A4D89B2D99ADAFFA43D42_12</vt:lpwstr>
  </property>
  <property fmtid="{D5CDD505-2E9C-101B-9397-08002B2CF9AE}" pid="3" name="KSOProductBuildVer">
    <vt:lpwstr>1046-12.2.0.17119</vt:lpwstr>
  </property>
</Properties>
</file>